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theme/themeOverride2.xml" ContentType="application/vnd.openxmlformats-officedocument.themeOverride+xml"/>
  <Override PartName="/xl/charts/chart3.xml" ContentType="application/vnd.openxmlformats-officedocument.drawingml.chart+xml"/>
  <Override PartName="/xl/theme/themeOverride3.xml" ContentType="application/vnd.openxmlformats-officedocument.themeOverride+xml"/>
  <Override PartName="/xl/charts/chart4.xml" ContentType="application/vnd.openxmlformats-officedocument.drawingml.chart+xml"/>
  <Override PartName="/xl/theme/themeOverride4.xml" ContentType="application/vnd.openxmlformats-officedocument.themeOverride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threadedComments/threadedComment2.xml" ContentType="application/vnd.ms-excel.threadedcomments+xml"/>
  <Override PartName="/xl/charts/chart5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6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7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8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9.xml" ContentType="application/vnd.openxmlformats-officedocument.drawingml.chart+xml"/>
  <Override PartName="/xl/theme/themeOverride5.xml" ContentType="application/vnd.openxmlformats-officedocument.themeOverride+xml"/>
  <Override PartName="/xl/charts/chart10.xml" ContentType="application/vnd.openxmlformats-officedocument.drawingml.chart+xml"/>
  <Override PartName="/xl/theme/themeOverride6.xml" ContentType="application/vnd.openxmlformats-officedocument.themeOverride+xml"/>
  <Override PartName="/xl/charts/chart11.xml" ContentType="application/vnd.openxmlformats-officedocument.drawingml.chart+xml"/>
  <Override PartName="/xl/theme/themeOverride7.xml" ContentType="application/vnd.openxmlformats-officedocument.themeOverride+xml"/>
  <Override PartName="/xl/charts/chart12.xml" ContentType="application/vnd.openxmlformats-officedocument.drawingml.chart+xml"/>
  <Override PartName="/xl/theme/themeOverride8.xml" ContentType="application/vnd.openxmlformats-officedocument.themeOverrid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SysAdmin\Log\Research2\prime8_temp_downloads\model_checkouts\"/>
    </mc:Choice>
  </mc:AlternateContent>
  <xr:revisionPtr revIDLastSave="0" documentId="13_ncr:1_{0D46D36D-90F6-42A3-B6E6-7829610FCF48}" xr6:coauthVersionLast="47" xr6:coauthVersionMax="47" xr10:uidLastSave="{00000000-0000-0000-0000-000000000000}"/>
  <bookViews>
    <workbookView xWindow="-120" yWindow="-120" windowWidth="38640" windowHeight="15720" tabRatio="887" firstSheet="1" activeTab="1" xr2:uid="{8AE341E8-7B87-45B6-AC55-8F4BE8FCCBC5}"/>
  </bookViews>
  <sheets>
    <sheet name="CircularReferenceAlert" sheetId="33" state="hidden" r:id="rId1"/>
    <sheet name="ImportantDisclosures" sheetId="30" r:id="rId2"/>
    <sheet name="MENU" sheetId="5" r:id="rId3"/>
    <sheet name="Financial Summary" sheetId="4" r:id="rId4"/>
    <sheet name="Financial Statements" sheetId="1" r:id="rId5"/>
    <sheet name="Assumptions" sheetId="2" r:id="rId6"/>
    <sheet name="Valuation - DCF" sheetId="3" r:id="rId7"/>
    <sheet name="Valuation - Multiple" sheetId="22" r:id="rId8"/>
    <sheet name="GYG network model" sheetId="12" r:id="rId9"/>
    <sheet name="IndexInformation" sheetId="31" r:id="rId10"/>
    <sheet name="ModPubIndex" sheetId="32" r:id="rId11"/>
  </sheets>
  <definedNames>
    <definedName name="Linking_1">#REF!</definedName>
    <definedName name="Linking_10">#REF!</definedName>
    <definedName name="Linking_11">#REF!</definedName>
    <definedName name="Linking_12">#REF!</definedName>
    <definedName name="Linking_13">'Financial Summary'!$E$11:$W$63</definedName>
    <definedName name="Linking_14">#REF!</definedName>
    <definedName name="Linking_15">Assumptions!$N$515:$T$522</definedName>
    <definedName name="Linking_2">#REF!</definedName>
    <definedName name="Linking_3">'Valuation - DCF'!$B$5:$AA$55</definedName>
    <definedName name="Linking_4">'Financial Summary'!$E$11:$V$69</definedName>
    <definedName name="Linking_5">'Financial Summary'!$E$11:$V$63</definedName>
    <definedName name="Linking_6">#REF!</definedName>
    <definedName name="Linking_7">#REF!</definedName>
    <definedName name="Linking_8">'Financial Summary'!$E$11:$V$64</definedName>
    <definedName name="Linking_9">#REF!</definedName>
    <definedName name="_xlnm.Print_Area" localSheetId="3">'Financial Summary'!$E$11:$V$63</definedName>
    <definedName name="_xlnm.Print_Area" localSheetId="2">MENU!$A$3:$N$31</definedName>
    <definedName name="ValidDateTable">#REF!</definedName>
  </definedNames>
  <calcPr calcId="191029" calcMode="manual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65" i="2" l="1"/>
  <c r="P316" i="2"/>
  <c r="P46" i="2"/>
  <c r="P170" i="2" l="1"/>
  <c r="P119" i="12"/>
  <c r="P126" i="12" s="1"/>
  <c r="P116" i="12"/>
  <c r="R112" i="12"/>
  <c r="AA455" i="2"/>
  <c r="AD455" i="2" s="1"/>
  <c r="AG455" i="2" s="1"/>
  <c r="AJ455" i="2" s="1"/>
  <c r="AM455" i="2" s="1"/>
  <c r="AP455" i="2" s="1"/>
  <c r="AS455" i="2" s="1"/>
  <c r="AV455" i="2" s="1"/>
  <c r="Y455" i="2"/>
  <c r="AB455" i="2" s="1"/>
  <c r="AE455" i="2" s="1"/>
  <c r="AH455" i="2" s="1"/>
  <c r="AK455" i="2" s="1"/>
  <c r="AN455" i="2" s="1"/>
  <c r="AQ455" i="2" s="1"/>
  <c r="AT455" i="2" s="1"/>
  <c r="O187" i="2" l="1"/>
  <c r="O188" i="2" s="1"/>
  <c r="O25" i="1" l="1"/>
  <c r="O343" i="2"/>
  <c r="M283" i="2"/>
  <c r="O21" i="2"/>
  <c r="M21" i="2"/>
  <c r="N56" i="1" l="1"/>
  <c r="N356" i="2" l="1"/>
  <c r="N357" i="2"/>
  <c r="M486" i="2"/>
  <c r="N486" i="2" s="1"/>
  <c r="O483" i="2"/>
  <c r="O489" i="2" s="1"/>
  <c r="R282" i="2"/>
  <c r="P282" i="2" s="1"/>
  <c r="N282" i="2"/>
  <c r="X342" i="2"/>
  <c r="AA342" i="2" s="1"/>
  <c r="AD342" i="2" s="1"/>
  <c r="AG342" i="2" s="1"/>
  <c r="AJ342" i="2" s="1"/>
  <c r="AM342" i="2" s="1"/>
  <c r="AP342" i="2" s="1"/>
  <c r="AS342" i="2" s="1"/>
  <c r="AV342" i="2" s="1"/>
  <c r="R195" i="2"/>
  <c r="P147" i="2"/>
  <c r="P150" i="2" s="1"/>
  <c r="O129" i="2"/>
  <c r="N55" i="2"/>
  <c r="O463" i="2"/>
  <c r="O464" i="2" s="1"/>
  <c r="N154" i="1"/>
  <c r="R173" i="2"/>
  <c r="U173" i="2" s="1"/>
  <c r="X173" i="2" s="1"/>
  <c r="AA173" i="2" s="1"/>
  <c r="N173" i="2"/>
  <c r="O169" i="2"/>
  <c r="O175" i="2" s="1"/>
  <c r="O143" i="1"/>
  <c r="O142" i="1" s="1"/>
  <c r="N148" i="1"/>
  <c r="N147" i="1"/>
  <c r="N146" i="1"/>
  <c r="N145" i="1"/>
  <c r="N144" i="1"/>
  <c r="N358" i="2" s="1"/>
  <c r="N141" i="1"/>
  <c r="N137" i="1"/>
  <c r="O136" i="1"/>
  <c r="N135" i="1"/>
  <c r="N134" i="1"/>
  <c r="N130" i="1"/>
  <c r="N129" i="1"/>
  <c r="N124" i="1"/>
  <c r="N123" i="1"/>
  <c r="O110" i="1"/>
  <c r="N110" i="1" s="1"/>
  <c r="N111" i="1"/>
  <c r="N109" i="1"/>
  <c r="N104" i="1"/>
  <c r="N103" i="1"/>
  <c r="N401" i="2" s="1"/>
  <c r="O401" i="2" s="1"/>
  <c r="P399" i="2" s="1"/>
  <c r="N102" i="1"/>
  <c r="N101" i="1"/>
  <c r="N97" i="1"/>
  <c r="N96" i="1"/>
  <c r="N95" i="1"/>
  <c r="N94" i="1"/>
  <c r="N93" i="1"/>
  <c r="N88" i="1"/>
  <c r="N87" i="1"/>
  <c r="N86" i="1"/>
  <c r="N85" i="1"/>
  <c r="N84" i="1"/>
  <c r="N83" i="1"/>
  <c r="N79" i="1"/>
  <c r="N78" i="1"/>
  <c r="N128" i="1" s="1"/>
  <c r="O128" i="1" s="1"/>
  <c r="N77" i="1"/>
  <c r="N76" i="1"/>
  <c r="O75" i="1"/>
  <c r="O502" i="2"/>
  <c r="O500" i="2"/>
  <c r="O496" i="2"/>
  <c r="O495" i="2"/>
  <c r="P479" i="2"/>
  <c r="O458" i="2"/>
  <c r="N458" i="2"/>
  <c r="N445" i="2"/>
  <c r="M438" i="2"/>
  <c r="O392" i="2"/>
  <c r="O389" i="2"/>
  <c r="O384" i="2"/>
  <c r="N383" i="2"/>
  <c r="O372" i="2"/>
  <c r="O371" i="2"/>
  <c r="O349" i="2"/>
  <c r="N347" i="2"/>
  <c r="N341" i="2"/>
  <c r="O335" i="2"/>
  <c r="N327" i="2"/>
  <c r="O325" i="2"/>
  <c r="O326" i="2" s="1"/>
  <c r="N325" i="2"/>
  <c r="O321" i="2"/>
  <c r="O322" i="2" s="1"/>
  <c r="N321" i="2"/>
  <c r="N323" i="2" s="1"/>
  <c r="O315" i="2"/>
  <c r="O308" i="2"/>
  <c r="O254" i="2"/>
  <c r="N249" i="2"/>
  <c r="N244" i="2"/>
  <c r="O224" i="2"/>
  <c r="O238" i="2" s="1"/>
  <c r="O230" i="2"/>
  <c r="O229" i="2"/>
  <c r="O228" i="2"/>
  <c r="O227" i="2"/>
  <c r="O226" i="2"/>
  <c r="N220" i="2"/>
  <c r="N217" i="2"/>
  <c r="N214" i="2"/>
  <c r="N211" i="2"/>
  <c r="N208" i="2"/>
  <c r="N18" i="1" s="1"/>
  <c r="O179" i="2"/>
  <c r="N178" i="2"/>
  <c r="O165" i="2"/>
  <c r="O148" i="2"/>
  <c r="N147" i="2"/>
  <c r="O139" i="2"/>
  <c r="O126" i="2"/>
  <c r="N125" i="2"/>
  <c r="O123" i="2"/>
  <c r="N123" i="2"/>
  <c r="N128" i="2"/>
  <c r="M118" i="2"/>
  <c r="M116" i="2" s="1"/>
  <c r="O116" i="2"/>
  <c r="O105" i="2"/>
  <c r="N104" i="2"/>
  <c r="O102" i="2"/>
  <c r="N101" i="2"/>
  <c r="O99" i="2"/>
  <c r="N99" i="2"/>
  <c r="O89" i="2"/>
  <c r="O197" i="2" s="1"/>
  <c r="O85" i="2"/>
  <c r="N84" i="2"/>
  <c r="N85" i="2" s="1"/>
  <c r="O81" i="2"/>
  <c r="O83" i="2" s="1"/>
  <c r="N81" i="2"/>
  <c r="O75" i="2"/>
  <c r="O72" i="2"/>
  <c r="O64" i="2"/>
  <c r="N63" i="2"/>
  <c r="N495" i="2" s="1"/>
  <c r="O61" i="2"/>
  <c r="O31" i="2" s="1"/>
  <c r="O60" i="2"/>
  <c r="O62" i="2" s="1"/>
  <c r="N60" i="2"/>
  <c r="O46" i="2"/>
  <c r="O245" i="2" s="1"/>
  <c r="N31" i="2"/>
  <c r="N24" i="2"/>
  <c r="N13" i="2"/>
  <c r="N12" i="2"/>
  <c r="N11" i="2"/>
  <c r="N10" i="2"/>
  <c r="AA299" i="2"/>
  <c r="AD300" i="2" s="1"/>
  <c r="AG300" i="2" s="1"/>
  <c r="AJ300" i="2" s="1"/>
  <c r="AA301" i="2"/>
  <c r="G270" i="2"/>
  <c r="K3" i="22"/>
  <c r="L3" i="22" s="1"/>
  <c r="M3" i="22" s="1"/>
  <c r="N3" i="22" s="1"/>
  <c r="O3" i="22" s="1"/>
  <c r="P3" i="22" s="1"/>
  <c r="Q3" i="22" s="1"/>
  <c r="R3" i="22" s="1"/>
  <c r="S3" i="22" s="1"/>
  <c r="S22" i="22"/>
  <c r="S34" i="22" s="1"/>
  <c r="S46" i="22" s="1"/>
  <c r="AU146" i="1"/>
  <c r="AT146" i="1"/>
  <c r="AU145" i="1"/>
  <c r="AT145" i="1"/>
  <c r="AV144" i="1"/>
  <c r="AV141" i="1"/>
  <c r="AV127" i="1"/>
  <c r="M61" i="4"/>
  <c r="AV437" i="2"/>
  <c r="AS437" i="2"/>
  <c r="AV432" i="2"/>
  <c r="AS432" i="2"/>
  <c r="AV500" i="2"/>
  <c r="AV373" i="2"/>
  <c r="AU358" i="2"/>
  <c r="AT358" i="2"/>
  <c r="O342" i="2" l="1"/>
  <c r="O348" i="2"/>
  <c r="N25" i="1"/>
  <c r="O362" i="2"/>
  <c r="O469" i="2"/>
  <c r="O474" i="2" s="1"/>
  <c r="O312" i="2"/>
  <c r="O267" i="2"/>
  <c r="O92" i="2"/>
  <c r="O93" i="2" s="1"/>
  <c r="AA300" i="2"/>
  <c r="O234" i="2"/>
  <c r="O395" i="2"/>
  <c r="AD173" i="2"/>
  <c r="Y173" i="2"/>
  <c r="Z173" i="2" s="1"/>
  <c r="V173" i="2"/>
  <c r="W173" i="2" s="1"/>
  <c r="N64" i="2"/>
  <c r="N75" i="1"/>
  <c r="P173" i="2"/>
  <c r="Q173" i="2" s="1"/>
  <c r="N62" i="2"/>
  <c r="S173" i="2"/>
  <c r="T173" i="2" s="1"/>
  <c r="O237" i="2"/>
  <c r="N326" i="2"/>
  <c r="N14" i="2"/>
  <c r="O235" i="2"/>
  <c r="N254" i="2"/>
  <c r="AD301" i="2"/>
  <c r="AG301" i="2" s="1"/>
  <c r="AJ301" i="2" s="1"/>
  <c r="O493" i="2"/>
  <c r="O490" i="2" s="1"/>
  <c r="O221" i="2"/>
  <c r="O209" i="2"/>
  <c r="O212" i="2"/>
  <c r="N46" i="2"/>
  <c r="N245" i="2" s="1"/>
  <c r="O32" i="2"/>
  <c r="N100" i="2"/>
  <c r="N124" i="2"/>
  <c r="O218" i="2"/>
  <c r="O236" i="2"/>
  <c r="O250" i="2"/>
  <c r="O215" i="2"/>
  <c r="N150" i="2"/>
  <c r="N126" i="2"/>
  <c r="N116" i="2"/>
  <c r="N102" i="2"/>
  <c r="N83" i="2"/>
  <c r="AD299" i="2"/>
  <c r="AV358" i="2"/>
  <c r="AV146" i="1"/>
  <c r="AV145" i="1"/>
  <c r="N32" i="2" l="1"/>
  <c r="AB173" i="2"/>
  <c r="AC173" i="2" s="1"/>
  <c r="AG173" i="2"/>
  <c r="O239" i="2"/>
  <c r="AD302" i="2"/>
  <c r="N151" i="2"/>
  <c r="N496" i="2"/>
  <c r="N493" i="2" s="1"/>
  <c r="N255" i="2"/>
  <c r="N118" i="2"/>
  <c r="AT170" i="2"/>
  <c r="AV149" i="2"/>
  <c r="AV148" i="2"/>
  <c r="AV124" i="2"/>
  <c r="AV100" i="2"/>
  <c r="AV82" i="2"/>
  <c r="AV61" i="2"/>
  <c r="AV31" i="2" s="1"/>
  <c r="AT44" i="2"/>
  <c r="AU31" i="2"/>
  <c r="AT31" i="2"/>
  <c r="AE173" i="2" l="1"/>
  <c r="AF173" i="2" s="1"/>
  <c r="AJ173" i="2"/>
  <c r="AU44" i="2"/>
  <c r="AU500" i="2" s="1"/>
  <c r="AT500" i="2"/>
  <c r="AM173" i="2" l="1"/>
  <c r="AH173" i="2"/>
  <c r="AI173" i="2" s="1"/>
  <c r="M143" i="1"/>
  <c r="N143" i="1" s="1"/>
  <c r="J142" i="1"/>
  <c r="M126" i="1"/>
  <c r="M127" i="1" s="1"/>
  <c r="M110" i="1"/>
  <c r="M75" i="1"/>
  <c r="M454" i="2"/>
  <c r="M379" i="2"/>
  <c r="N379" i="2" s="1"/>
  <c r="M376" i="2"/>
  <c r="N376" i="2" s="1"/>
  <c r="L187" i="2"/>
  <c r="AP173" i="2" l="1"/>
  <c r="AK173" i="2"/>
  <c r="AL173" i="2" s="1"/>
  <c r="N372" i="2"/>
  <c r="N392" i="2"/>
  <c r="N371" i="2"/>
  <c r="AB29" i="3"/>
  <c r="M473" i="2"/>
  <c r="N466" i="2"/>
  <c r="N463" i="2"/>
  <c r="J466" i="2"/>
  <c r="N335" i="2"/>
  <c r="P249" i="2"/>
  <c r="K282" i="2"/>
  <c r="M169" i="2"/>
  <c r="M267" i="2" s="1"/>
  <c r="M277" i="2"/>
  <c r="M165" i="2"/>
  <c r="M276" i="2"/>
  <c r="L165" i="2"/>
  <c r="Q35" i="12"/>
  <c r="Q37" i="12" s="1"/>
  <c r="Q29" i="12"/>
  <c r="U124" i="2"/>
  <c r="M254" i="2"/>
  <c r="N44" i="2"/>
  <c r="N500" i="2" s="1"/>
  <c r="M46" i="2"/>
  <c r="M89" i="2"/>
  <c r="Q38" i="12" l="1"/>
  <c r="Q12" i="12"/>
  <c r="N395" i="2"/>
  <c r="AN173" i="2"/>
  <c r="AO173" i="2" s="1"/>
  <c r="AS173" i="2"/>
  <c r="M250" i="2"/>
  <c r="N165" i="2"/>
  <c r="L169" i="2"/>
  <c r="O166" i="2"/>
  <c r="M271" i="2"/>
  <c r="N169" i="2"/>
  <c r="N267" i="2" s="1"/>
  <c r="U282" i="2"/>
  <c r="X282" i="2" s="1"/>
  <c r="O311" i="2"/>
  <c r="O313" i="2" s="1"/>
  <c r="O316" i="2" s="1"/>
  <c r="N469" i="2"/>
  <c r="N473" i="2"/>
  <c r="M342" i="2"/>
  <c r="Q36" i="12"/>
  <c r="R83" i="2"/>
  <c r="Q83" i="2" s="1"/>
  <c r="M25" i="1"/>
  <c r="L267" i="2" l="1"/>
  <c r="L271" i="2" s="1"/>
  <c r="AQ173" i="2"/>
  <c r="AR173" i="2" s="1"/>
  <c r="AV173" i="2"/>
  <c r="Q282" i="2"/>
  <c r="N170" i="2"/>
  <c r="N312" i="2"/>
  <c r="N250" i="2"/>
  <c r="L473" i="2"/>
  <c r="AT173" i="2" l="1"/>
  <c r="AU173" i="2" s="1"/>
  <c r="J153" i="1"/>
  <c r="N284" i="2"/>
  <c r="N483" i="2" s="1"/>
  <c r="N489" i="2" s="1"/>
  <c r="N490" i="2" s="1"/>
  <c r="Q490" i="2" s="1"/>
  <c r="M69" i="2"/>
  <c r="M338" i="2"/>
  <c r="N334" i="2" s="1"/>
  <c r="N454" i="2"/>
  <c r="N472" i="2" s="1"/>
  <c r="M129" i="2"/>
  <c r="M33" i="1"/>
  <c r="M136" i="1"/>
  <c r="N136" i="1" s="1"/>
  <c r="M105" i="1"/>
  <c r="M98" i="1"/>
  <c r="M89" i="1"/>
  <c r="M64" i="1"/>
  <c r="M61" i="1" s="1"/>
  <c r="M63" i="1"/>
  <c r="M66" i="1" s="1"/>
  <c r="M50" i="1"/>
  <c r="M18" i="1"/>
  <c r="M14" i="1"/>
  <c r="M483" i="2"/>
  <c r="M489" i="2" s="1"/>
  <c r="M43" i="1"/>
  <c r="M469" i="2"/>
  <c r="M389" i="2"/>
  <c r="M358" i="2"/>
  <c r="O358" i="2" s="1"/>
  <c r="M472" i="2" l="1"/>
  <c r="M42" i="1" s="1"/>
  <c r="M44" i="1" s="1"/>
  <c r="M80" i="1"/>
  <c r="M90" i="1" s="1"/>
  <c r="M106" i="1"/>
  <c r="M60" i="1"/>
  <c r="M392" i="2"/>
  <c r="M474" i="2"/>
  <c r="M349" i="2"/>
  <c r="M336" i="2"/>
  <c r="M335" i="2"/>
  <c r="M322" i="2"/>
  <c r="M315" i="2"/>
  <c r="M311" i="2"/>
  <c r="M230" i="2"/>
  <c r="M229" i="2"/>
  <c r="M228" i="2"/>
  <c r="M227" i="2"/>
  <c r="M226" i="2"/>
  <c r="M224" i="2"/>
  <c r="M105" i="2"/>
  <c r="L105" i="2"/>
  <c r="M85" i="2"/>
  <c r="M81" i="2"/>
  <c r="M83" i="2" s="1"/>
  <c r="M75" i="2"/>
  <c r="M72" i="2"/>
  <c r="M64" i="2"/>
  <c r="M60" i="2"/>
  <c r="M62" i="2" s="1"/>
  <c r="M31" i="2"/>
  <c r="M14" i="2"/>
  <c r="M236" i="2" l="1"/>
  <c r="N224" i="2"/>
  <c r="M275" i="2"/>
  <c r="N72" i="2"/>
  <c r="M218" i="2"/>
  <c r="N474" i="2"/>
  <c r="N64" i="1"/>
  <c r="M108" i="1"/>
  <c r="M221" i="2"/>
  <c r="M362" i="2"/>
  <c r="M209" i="2"/>
  <c r="M238" i="2"/>
  <c r="M348" i="2"/>
  <c r="M215" i="2"/>
  <c r="M234" i="2"/>
  <c r="M235" i="2"/>
  <c r="M237" i="2"/>
  <c r="M212" i="2"/>
  <c r="M255" i="2"/>
  <c r="M197" i="2"/>
  <c r="M13" i="1"/>
  <c r="L72" i="2"/>
  <c r="O73" i="2" s="1"/>
  <c r="O1" i="12"/>
  <c r="N238" i="2" l="1"/>
  <c r="N236" i="2"/>
  <c r="N234" i="2"/>
  <c r="N235" i="2"/>
  <c r="N237" i="2"/>
  <c r="M239" i="2"/>
  <c r="E67" i="3" a="1"/>
  <c r="H72" i="3" a="1"/>
  <c r="F75" i="3" a="1"/>
  <c r="G65" i="3" a="1"/>
  <c r="E75" i="3" a="1"/>
  <c r="G70" i="3" a="1"/>
  <c r="H67" i="3" a="1"/>
  <c r="E66" i="3" a="1"/>
  <c r="E70" i="3" a="1"/>
  <c r="H71" i="3" a="1"/>
  <c r="G67" i="3" a="1"/>
  <c r="E72" i="3" a="1"/>
  <c r="G72" i="3" a="1"/>
  <c r="F66" i="3" a="1"/>
  <c r="F72" i="3" a="1"/>
  <c r="G66" i="3" a="1"/>
  <c r="F67" i="3" a="1"/>
  <c r="H66" i="3" a="1"/>
  <c r="G75" i="3" a="1"/>
  <c r="H65" i="3" a="1"/>
  <c r="H70" i="3" a="1"/>
  <c r="F71" i="3" a="1"/>
  <c r="F65" i="3" a="1"/>
  <c r="E65" i="3" a="1"/>
  <c r="F70" i="3" a="1"/>
  <c r="G71" i="3" a="1"/>
  <c r="H75" i="3" a="1"/>
  <c r="E71" i="3" a="1"/>
  <c r="N239" i="2" l="1"/>
  <c r="F71" i="3"/>
  <c r="G71" i="3"/>
  <c r="G66" i="3"/>
  <c r="H66" i="3"/>
  <c r="F72" i="3"/>
  <c r="G70" i="3"/>
  <c r="H71" i="3"/>
  <c r="F67" i="3"/>
  <c r="H70" i="3"/>
  <c r="G75" i="3"/>
  <c r="G65" i="3"/>
  <c r="E66" i="3"/>
  <c r="H72" i="3"/>
  <c r="E72" i="3"/>
  <c r="E75" i="3"/>
  <c r="E65" i="3"/>
  <c r="F70" i="3"/>
  <c r="G72" i="3"/>
  <c r="F75" i="3"/>
  <c r="E71" i="3"/>
  <c r="E70" i="3"/>
  <c r="G67" i="3"/>
  <c r="F65" i="3"/>
  <c r="H65" i="3"/>
  <c r="H67" i="3"/>
  <c r="F66" i="3"/>
  <c r="H75" i="3"/>
  <c r="E67" i="3"/>
  <c r="AL61" i="12"/>
  <c r="AS52" i="12" l="1"/>
  <c r="L321" i="2" l="1"/>
  <c r="L323" i="2" s="1"/>
  <c r="N42" i="1" l="1"/>
  <c r="O472" i="2"/>
  <c r="J321" i="2"/>
  <c r="J25" i="1"/>
  <c r="L46" i="2"/>
  <c r="K141" i="1"/>
  <c r="L143" i="1"/>
  <c r="K143" i="1" s="1"/>
  <c r="L136" i="1"/>
  <c r="K135" i="1"/>
  <c r="K134" i="1"/>
  <c r="K129" i="1"/>
  <c r="K125" i="1"/>
  <c r="K124" i="1"/>
  <c r="K123" i="1"/>
  <c r="K111" i="1"/>
  <c r="K110" i="1"/>
  <c r="K109" i="1"/>
  <c r="K102" i="1"/>
  <c r="K103" i="1"/>
  <c r="K401" i="2" s="1"/>
  <c r="K104" i="1"/>
  <c r="K101" i="1"/>
  <c r="K84" i="1"/>
  <c r="K85" i="1"/>
  <c r="K86" i="1"/>
  <c r="K87" i="1"/>
  <c r="K88" i="1"/>
  <c r="K83" i="1"/>
  <c r="K76" i="1"/>
  <c r="K77" i="1"/>
  <c r="K78" i="1"/>
  <c r="K79" i="1"/>
  <c r="L75" i="1"/>
  <c r="L63" i="1"/>
  <c r="L60" i="1" s="1"/>
  <c r="K62" i="1"/>
  <c r="J50" i="1"/>
  <c r="L50" i="1"/>
  <c r="L33" i="1"/>
  <c r="L25" i="1"/>
  <c r="I25" i="1"/>
  <c r="L18" i="1"/>
  <c r="I18" i="1"/>
  <c r="J18" i="1"/>
  <c r="M19" i="1" s="1"/>
  <c r="L14" i="1"/>
  <c r="K56" i="1"/>
  <c r="L483" i="2"/>
  <c r="K458" i="2"/>
  <c r="L458" i="2"/>
  <c r="J445" i="2"/>
  <c r="K445" i="2" s="1"/>
  <c r="J454" i="2"/>
  <c r="L472" i="2"/>
  <c r="L42" i="1" s="1"/>
  <c r="I450" i="2"/>
  <c r="L469" i="2"/>
  <c r="J438" i="2"/>
  <c r="I438" i="2"/>
  <c r="I424" i="2"/>
  <c r="I415" i="2"/>
  <c r="I416" i="2"/>
  <c r="I417" i="2"/>
  <c r="J407" i="2"/>
  <c r="I407" i="2"/>
  <c r="J401" i="2"/>
  <c r="K399" i="2" s="1"/>
  <c r="I401" i="2"/>
  <c r="J399" i="2" s="1"/>
  <c r="L392" i="2"/>
  <c r="J392" i="2"/>
  <c r="L389" i="2"/>
  <c r="J372" i="2"/>
  <c r="L372" i="2"/>
  <c r="L371" i="2"/>
  <c r="L34" i="1" s="1"/>
  <c r="J371" i="2"/>
  <c r="J374" i="2"/>
  <c r="I374" i="2"/>
  <c r="L370" i="2" s="1"/>
  <c r="J358" i="2"/>
  <c r="J356" i="2"/>
  <c r="K356" i="2" s="1"/>
  <c r="J357" i="2"/>
  <c r="K357" i="2" s="1"/>
  <c r="J360" i="2"/>
  <c r="I360" i="2"/>
  <c r="L355" i="2" s="1"/>
  <c r="L335" i="2"/>
  <c r="I338" i="2"/>
  <c r="J334" i="2" s="1"/>
  <c r="K327" i="2"/>
  <c r="J327" i="2" s="1"/>
  <c r="M26" i="1" l="1"/>
  <c r="M153" i="1"/>
  <c r="O153" i="1"/>
  <c r="L19" i="1"/>
  <c r="L142" i="1"/>
  <c r="K75" i="1"/>
  <c r="L395" i="2"/>
  <c r="L26" i="1"/>
  <c r="L35" i="1"/>
  <c r="J424" i="2"/>
  <c r="I418" i="2"/>
  <c r="L399" i="2"/>
  <c r="J355" i="2"/>
  <c r="L334" i="2"/>
  <c r="J400" i="2"/>
  <c r="I322" i="2" l="1"/>
  <c r="L325" i="2"/>
  <c r="L326" i="2" s="1"/>
  <c r="J323" i="2" l="1"/>
  <c r="J63" i="1"/>
  <c r="L315" i="2"/>
  <c r="L311" i="2"/>
  <c r="L308" i="2"/>
  <c r="K306" i="2"/>
  <c r="K284" i="2"/>
  <c r="K483" i="2" s="1"/>
  <c r="K283" i="2"/>
  <c r="K311" i="2"/>
  <c r="L277" i="2"/>
  <c r="L254" i="2"/>
  <c r="K249" i="2"/>
  <c r="K244" i="2"/>
  <c r="L230" i="2"/>
  <c r="L229" i="2"/>
  <c r="L228" i="2"/>
  <c r="L227" i="2"/>
  <c r="L226" i="2"/>
  <c r="L224" i="2"/>
  <c r="K220" i="2"/>
  <c r="N230" i="2" s="1"/>
  <c r="K217" i="2"/>
  <c r="N229" i="2" s="1"/>
  <c r="K214" i="2"/>
  <c r="N228" i="2" s="1"/>
  <c r="K211" i="2"/>
  <c r="N227" i="2" s="1"/>
  <c r="K208" i="2"/>
  <c r="I187" i="2"/>
  <c r="K178" i="2"/>
  <c r="K14" i="1" s="1"/>
  <c r="J183" i="2"/>
  <c r="J184" i="2"/>
  <c r="L129" i="2"/>
  <c r="K125" i="2"/>
  <c r="K101" i="2"/>
  <c r="L89" i="2"/>
  <c r="O90" i="2" s="1"/>
  <c r="L81" i="2"/>
  <c r="L83" i="2" s="1"/>
  <c r="K84" i="2"/>
  <c r="K85" i="2" s="1"/>
  <c r="N86" i="2" s="1"/>
  <c r="K81" i="2"/>
  <c r="K63" i="2"/>
  <c r="K64" i="2" s="1"/>
  <c r="N65" i="2" s="1"/>
  <c r="K60" i="2"/>
  <c r="K55" i="2"/>
  <c r="L245" i="2"/>
  <c r="K44" i="2"/>
  <c r="K24" i="2"/>
  <c r="K13" i="2"/>
  <c r="K12" i="2"/>
  <c r="K11" i="2"/>
  <c r="K10" i="2"/>
  <c r="L14" i="2"/>
  <c r="L218" i="2" s="1"/>
  <c r="N365" i="2" l="1"/>
  <c r="N363" i="2"/>
  <c r="K18" i="1"/>
  <c r="N226" i="2"/>
  <c r="K46" i="2"/>
  <c r="L362" i="2"/>
  <c r="K25" i="1"/>
  <c r="K321" i="2"/>
  <c r="J64" i="1"/>
  <c r="L215" i="2"/>
  <c r="L342" i="2"/>
  <c r="L348" i="2"/>
  <c r="L255" i="2"/>
  <c r="K14" i="2"/>
  <c r="L212" i="2"/>
  <c r="L234" i="2"/>
  <c r="L236" i="2"/>
  <c r="L238" i="2"/>
  <c r="L250" i="2"/>
  <c r="K254" i="2"/>
  <c r="K277" i="2"/>
  <c r="K62" i="2"/>
  <c r="K83" i="2"/>
  <c r="L235" i="2"/>
  <c r="L237" i="2"/>
  <c r="L209" i="2"/>
  <c r="L221" i="2"/>
  <c r="N167" i="2" l="1"/>
  <c r="N21" i="2" s="1"/>
  <c r="K218" i="2"/>
  <c r="BH11" i="2"/>
  <c r="K255" i="2"/>
  <c r="K323" i="2"/>
  <c r="K64" i="1" s="1"/>
  <c r="K63" i="1"/>
  <c r="L239" i="2"/>
  <c r="G44" i="4" l="1"/>
  <c r="P143" i="12" l="1"/>
  <c r="P147" i="12" s="1"/>
  <c r="P142" i="12"/>
  <c r="P146" i="12" s="1"/>
  <c r="BI33" i="2" l="1"/>
  <c r="J57" i="4" l="1"/>
  <c r="G57" i="4"/>
  <c r="J55" i="4"/>
  <c r="I55" i="4"/>
  <c r="H54" i="4"/>
  <c r="G54" i="4"/>
  <c r="J52" i="4"/>
  <c r="I52" i="4"/>
  <c r="H52" i="4"/>
  <c r="G52" i="4"/>
  <c r="I277" i="2" l="1"/>
  <c r="X384" i="2"/>
  <c r="AA384" i="2" s="1"/>
  <c r="AD384" i="2" s="1"/>
  <c r="AG384" i="2" s="1"/>
  <c r="AJ384" i="2" s="1"/>
  <c r="AM384" i="2" s="1"/>
  <c r="AP384" i="2" s="1"/>
  <c r="AS384" i="2" s="1"/>
  <c r="AV384" i="2" s="1"/>
  <c r="J158" i="2"/>
  <c r="K158" i="2" s="1"/>
  <c r="L158" i="2" s="1"/>
  <c r="M158" i="2" s="1"/>
  <c r="N158" i="2" s="1"/>
  <c r="I54" i="4"/>
  <c r="J179" i="2"/>
  <c r="I179" i="2"/>
  <c r="AR18" i="12"/>
  <c r="AS18" i="12" s="1"/>
  <c r="AR11" i="12"/>
  <c r="BF8" i="12"/>
  <c r="BF11" i="12" s="1"/>
  <c r="BE8" i="12"/>
  <c r="BE11" i="12" s="1"/>
  <c r="AS8" i="12"/>
  <c r="AU8" i="12"/>
  <c r="AU11" i="12" s="1"/>
  <c r="AV8" i="12"/>
  <c r="AV11" i="12" s="1"/>
  <c r="AW8" i="12"/>
  <c r="AW11" i="12" s="1"/>
  <c r="AX8" i="12"/>
  <c r="AX11" i="12" s="1"/>
  <c r="AY8" i="12"/>
  <c r="AY11" i="12" s="1"/>
  <c r="AZ8" i="12"/>
  <c r="AZ11" i="12" s="1"/>
  <c r="BA8" i="12"/>
  <c r="BA11" i="12" s="1"/>
  <c r="BB8" i="12"/>
  <c r="BB11" i="12" s="1"/>
  <c r="BC8" i="12"/>
  <c r="BC11" i="12" s="1"/>
  <c r="BD8" i="12"/>
  <c r="BD11" i="12" s="1"/>
  <c r="AR8" i="12"/>
  <c r="AS11" i="12" l="1"/>
  <c r="I142" i="1" l="1"/>
  <c r="G142" i="1"/>
  <c r="F142" i="1"/>
  <c r="H16" i="4"/>
  <c r="H43" i="4"/>
  <c r="G43" i="4"/>
  <c r="G16" i="4"/>
  <c r="H61" i="4"/>
  <c r="I61" i="4"/>
  <c r="J61" i="4"/>
  <c r="K61" i="4"/>
  <c r="L61" i="4"/>
  <c r="H63" i="4"/>
  <c r="G63" i="4"/>
  <c r="G51" i="4"/>
  <c r="G62" i="4"/>
  <c r="G61" i="4"/>
  <c r="Q43" i="4" l="1"/>
  <c r="Q42" i="4"/>
  <c r="Q39" i="4"/>
  <c r="Q38" i="4"/>
  <c r="Q35" i="4"/>
  <c r="Q34" i="4"/>
  <c r="Q33" i="4"/>
  <c r="Q32" i="4"/>
  <c r="J463" i="2" l="1"/>
  <c r="X467" i="2" l="1"/>
  <c r="K347" i="2"/>
  <c r="N349" i="2" s="1"/>
  <c r="D50" i="3"/>
  <c r="AL44" i="2"/>
  <c r="AN44" i="2"/>
  <c r="AO44" i="2" s="1"/>
  <c r="AQ44" i="2"/>
  <c r="AR44" i="2" s="1"/>
  <c r="S250" i="2"/>
  <c r="AN170" i="2"/>
  <c r="AK170" i="2"/>
  <c r="Y170" i="2"/>
  <c r="AB170" i="2"/>
  <c r="AE170" i="2"/>
  <c r="AH170" i="2"/>
  <c r="J308" i="2"/>
  <c r="R311" i="2"/>
  <c r="N311" i="2"/>
  <c r="H306" i="2"/>
  <c r="F315" i="2"/>
  <c r="F311" i="2"/>
  <c r="G311" i="2"/>
  <c r="I311" i="2"/>
  <c r="J311" i="2"/>
  <c r="J315" i="2"/>
  <c r="Y44" i="2"/>
  <c r="V44" i="2"/>
  <c r="S44" i="2"/>
  <c r="S358" i="2"/>
  <c r="Y250" i="2"/>
  <c r="AA250" i="2" s="1"/>
  <c r="AB250" i="2" s="1"/>
  <c r="AD250" i="2" s="1"/>
  <c r="V250" i="2"/>
  <c r="K336" i="2" l="1"/>
  <c r="P128" i="12"/>
  <c r="P144" i="12"/>
  <c r="P148" i="12" s="1"/>
  <c r="AA467" i="2"/>
  <c r="S282" i="2"/>
  <c r="AE250" i="2"/>
  <c r="AG250" i="2" s="1"/>
  <c r="AH250" i="2" s="1"/>
  <c r="AJ250" i="2" s="1"/>
  <c r="AK250" i="2" s="1"/>
  <c r="AM250" i="2" s="1"/>
  <c r="AN250" i="2" s="1"/>
  <c r="AP250" i="2" s="1"/>
  <c r="AQ250" i="2" s="1"/>
  <c r="AS250" i="2" s="1"/>
  <c r="AT250" i="2" s="1"/>
  <c r="AV250" i="2" l="1"/>
  <c r="AD467" i="2"/>
  <c r="T282" i="2"/>
  <c r="AA282" i="2" l="1"/>
  <c r="V282" i="2"/>
  <c r="W282" i="2" s="1"/>
  <c r="AG467" i="2"/>
  <c r="Y282" i="2" l="1"/>
  <c r="Z282" i="2" s="1"/>
  <c r="AD282" i="2"/>
  <c r="AJ467" i="2"/>
  <c r="AB282" i="2" l="1"/>
  <c r="AC282" i="2" s="1"/>
  <c r="AG282" i="2"/>
  <c r="AM467" i="2"/>
  <c r="AJ282" i="2" l="1"/>
  <c r="AE282" i="2"/>
  <c r="AF282" i="2" s="1"/>
  <c r="AP467" i="2"/>
  <c r="AM282" i="2" l="1"/>
  <c r="AH282" i="2"/>
  <c r="AI282" i="2" s="1"/>
  <c r="AS467" i="2"/>
  <c r="AV467" i="2" s="1"/>
  <c r="AK282" i="2" l="1"/>
  <c r="AL282" i="2" s="1"/>
  <c r="AP282" i="2"/>
  <c r="AS282" i="2" l="1"/>
  <c r="AN282" i="2"/>
  <c r="AO282" i="2" s="1"/>
  <c r="G292" i="2"/>
  <c r="F472" i="2"/>
  <c r="AS149" i="2"/>
  <c r="AP149" i="2"/>
  <c r="AM149" i="2"/>
  <c r="AJ149" i="2"/>
  <c r="AG149" i="2"/>
  <c r="AD149" i="2"/>
  <c r="AA149" i="2"/>
  <c r="X149" i="2"/>
  <c r="AQ282" i="2" l="1"/>
  <c r="AR282" i="2" s="1"/>
  <c r="AV282" i="2"/>
  <c r="AV311" i="2" s="1"/>
  <c r="L154" i="1"/>
  <c r="D53" i="3"/>
  <c r="D54" i="3" s="1"/>
  <c r="AB30" i="3" s="1"/>
  <c r="J165" i="2"/>
  <c r="M166" i="2" s="1"/>
  <c r="AT282" i="2" l="1"/>
  <c r="AT311" i="2" s="1"/>
  <c r="J169" i="2"/>
  <c r="J267" i="2" l="1"/>
  <c r="J271" i="2" s="1"/>
  <c r="AU282" i="2"/>
  <c r="AU311" i="2" s="1"/>
  <c r="AQ145" i="1" l="1"/>
  <c r="AR145" i="1"/>
  <c r="AQ146" i="1"/>
  <c r="AR146" i="1"/>
  <c r="AS141" i="1"/>
  <c r="AS144" i="1"/>
  <c r="AS127" i="1"/>
  <c r="AS373" i="2"/>
  <c r="AQ358" i="2"/>
  <c r="AR358" i="2"/>
  <c r="AS148" i="2"/>
  <c r="AQ500" i="2"/>
  <c r="AS500" i="2"/>
  <c r="AS124" i="2"/>
  <c r="AS100" i="2"/>
  <c r="AS82" i="2"/>
  <c r="AS61" i="2"/>
  <c r="AS31" i="2" s="1"/>
  <c r="AR500" i="2"/>
  <c r="AQ31" i="2"/>
  <c r="AR31" i="2"/>
  <c r="G35" i="22"/>
  <c r="G47" i="22" s="1"/>
  <c r="J22" i="22"/>
  <c r="J34" i="22" s="1"/>
  <c r="J46" i="22" s="1"/>
  <c r="K22" i="22"/>
  <c r="K34" i="22" s="1"/>
  <c r="K46" i="22" s="1"/>
  <c r="L22" i="22"/>
  <c r="L34" i="22" s="1"/>
  <c r="L46" i="22" s="1"/>
  <c r="M22" i="22"/>
  <c r="M34" i="22" s="1"/>
  <c r="M46" i="22" s="1"/>
  <c r="N22" i="22"/>
  <c r="N34" i="22" s="1"/>
  <c r="N46" i="22" s="1"/>
  <c r="O22" i="22"/>
  <c r="O34" i="22" s="1"/>
  <c r="O46" i="22" s="1"/>
  <c r="P22" i="22"/>
  <c r="P34" i="22" s="1"/>
  <c r="P46" i="22" s="1"/>
  <c r="Q22" i="22"/>
  <c r="Q34" i="22" s="1"/>
  <c r="Q46" i="22" s="1"/>
  <c r="R22" i="22"/>
  <c r="R34" i="22" s="1"/>
  <c r="R46" i="22" s="1"/>
  <c r="I22" i="22"/>
  <c r="I34" i="22" s="1"/>
  <c r="I46" i="22" s="1"/>
  <c r="G24" i="22"/>
  <c r="G25" i="22" s="1"/>
  <c r="G26" i="22" s="1"/>
  <c r="G27" i="22" s="1"/>
  <c r="G12" i="22"/>
  <c r="G13" i="22" s="1"/>
  <c r="G14" i="22" s="1"/>
  <c r="S9" i="22"/>
  <c r="S15" i="22" l="1"/>
  <c r="S14" i="22"/>
  <c r="S13" i="22"/>
  <c r="S12" i="22"/>
  <c r="S11" i="22"/>
  <c r="I9" i="22"/>
  <c r="I15" i="22" s="1"/>
  <c r="G28" i="22"/>
  <c r="G29" i="22" s="1"/>
  <c r="G30" i="22" s="1"/>
  <c r="G31" i="22" s="1"/>
  <c r="G43" i="22" s="1"/>
  <c r="G55" i="22" s="1"/>
  <c r="AS146" i="1"/>
  <c r="H9" i="22"/>
  <c r="AS145" i="1"/>
  <c r="AS358" i="2"/>
  <c r="G38" i="22"/>
  <c r="G50" i="22" s="1"/>
  <c r="G37" i="22"/>
  <c r="G49" i="22" s="1"/>
  <c r="G36" i="22"/>
  <c r="G48" i="22" s="1"/>
  <c r="G39" i="22"/>
  <c r="G51" i="22" s="1"/>
  <c r="R9" i="22"/>
  <c r="R15" i="22" s="1"/>
  <c r="N9" i="22"/>
  <c r="N15" i="22" s="1"/>
  <c r="Q9" i="22"/>
  <c r="Q15" i="22" s="1"/>
  <c r="M9" i="22"/>
  <c r="P9" i="22"/>
  <c r="P15" i="22" s="1"/>
  <c r="L9" i="22"/>
  <c r="L15" i="22" s="1"/>
  <c r="O9" i="22"/>
  <c r="O15" i="22" s="1"/>
  <c r="K9" i="22"/>
  <c r="K15" i="22" s="1"/>
  <c r="J9" i="22"/>
  <c r="J15" i="22" s="1"/>
  <c r="M15" i="22" l="1"/>
  <c r="G41" i="22"/>
  <c r="G53" i="22" s="1"/>
  <c r="G42" i="22"/>
  <c r="G54" i="22" s="1"/>
  <c r="G40" i="22"/>
  <c r="G52" i="22" s="1"/>
  <c r="I11" i="22"/>
  <c r="I13" i="22"/>
  <c r="I12" i="22"/>
  <c r="I14" i="22"/>
  <c r="R13" i="22"/>
  <c r="O13" i="22"/>
  <c r="O12" i="22"/>
  <c r="O14" i="22"/>
  <c r="Q12" i="22"/>
  <c r="Q13" i="22"/>
  <c r="Q14" i="22"/>
  <c r="L13" i="22"/>
  <c r="L12" i="22"/>
  <c r="L14" i="22"/>
  <c r="N12" i="22"/>
  <c r="N14" i="22"/>
  <c r="N13" i="22"/>
  <c r="J12" i="22"/>
  <c r="J14" i="22"/>
  <c r="J13" i="22"/>
  <c r="P13" i="22"/>
  <c r="P14" i="22"/>
  <c r="P12" i="22"/>
  <c r="R12" i="22"/>
  <c r="R14" i="22"/>
  <c r="K12" i="22"/>
  <c r="K14" i="22"/>
  <c r="K13" i="22"/>
  <c r="M14" i="22"/>
  <c r="M13" i="22"/>
  <c r="M12" i="22"/>
  <c r="O11" i="22"/>
  <c r="Q11" i="22"/>
  <c r="L11" i="22"/>
  <c r="N11" i="22"/>
  <c r="J11" i="22"/>
  <c r="P11" i="22"/>
  <c r="R11" i="22"/>
  <c r="K11" i="22"/>
  <c r="M11" i="22"/>
  <c r="AO358" i="2" l="1"/>
  <c r="AN358" i="2"/>
  <c r="AL358" i="2"/>
  <c r="AK358" i="2"/>
  <c r="AI358" i="2"/>
  <c r="AH358" i="2"/>
  <c r="AF358" i="2"/>
  <c r="AE358" i="2"/>
  <c r="AC358" i="2"/>
  <c r="AB358" i="2"/>
  <c r="AG127" i="1"/>
  <c r="AJ127" i="1"/>
  <c r="AM127" i="1"/>
  <c r="AP127" i="1"/>
  <c r="AG136" i="1"/>
  <c r="AJ136" i="1"/>
  <c r="AM136" i="1"/>
  <c r="AP136" i="1"/>
  <c r="AG141" i="1"/>
  <c r="AJ141" i="1"/>
  <c r="AM141" i="1"/>
  <c r="AP141" i="1"/>
  <c r="AG144" i="1"/>
  <c r="AJ144" i="1"/>
  <c r="AM144" i="1"/>
  <c r="AP144" i="1"/>
  <c r="AE145" i="1"/>
  <c r="AF145" i="1"/>
  <c r="AH145" i="1"/>
  <c r="AI145" i="1"/>
  <c r="AK145" i="1"/>
  <c r="AL145" i="1"/>
  <c r="AN145" i="1"/>
  <c r="AO145" i="1"/>
  <c r="AE146" i="1"/>
  <c r="AF146" i="1"/>
  <c r="AH146" i="1"/>
  <c r="AI146" i="1"/>
  <c r="AK146" i="1"/>
  <c r="AL146" i="1"/>
  <c r="AN146" i="1"/>
  <c r="AO146" i="1"/>
  <c r="AG154" i="1"/>
  <c r="AJ154" i="1"/>
  <c r="AM154" i="1"/>
  <c r="AP154" i="1"/>
  <c r="AD154" i="1"/>
  <c r="AC146" i="1"/>
  <c r="AB146" i="1"/>
  <c r="AC145" i="1"/>
  <c r="AB145" i="1"/>
  <c r="AD144" i="1"/>
  <c r="AD141" i="1"/>
  <c r="AD136" i="1"/>
  <c r="AD127" i="1"/>
  <c r="AC5" i="1"/>
  <c r="AD5" i="1"/>
  <c r="AE5" i="1"/>
  <c r="AF5" i="1"/>
  <c r="AG5" i="1"/>
  <c r="AH5" i="1"/>
  <c r="AI5" i="1"/>
  <c r="AJ5" i="1"/>
  <c r="AK5" i="1"/>
  <c r="AL5" i="1"/>
  <c r="AM5" i="1"/>
  <c r="AN5" i="1"/>
  <c r="AO5" i="1"/>
  <c r="AP5" i="1"/>
  <c r="AB5" i="1"/>
  <c r="AB500" i="2"/>
  <c r="AD500" i="2"/>
  <c r="AE500" i="2"/>
  <c r="AG500" i="2"/>
  <c r="AH500" i="2"/>
  <c r="AJ500" i="2"/>
  <c r="AK500" i="2"/>
  <c r="AM500" i="2"/>
  <c r="AN500" i="2"/>
  <c r="AP500" i="2"/>
  <c r="AD432" i="2"/>
  <c r="AG432" i="2"/>
  <c r="AJ432" i="2"/>
  <c r="AM432" i="2"/>
  <c r="AP432" i="2"/>
  <c r="AD437" i="2"/>
  <c r="AG437" i="2"/>
  <c r="AJ437" i="2"/>
  <c r="AM437" i="2"/>
  <c r="AP437" i="2"/>
  <c r="AD373" i="2"/>
  <c r="AG373" i="2"/>
  <c r="AJ373" i="2"/>
  <c r="AM373" i="2"/>
  <c r="AP373" i="2"/>
  <c r="AD148" i="2"/>
  <c r="AG148" i="2"/>
  <c r="AJ148" i="2"/>
  <c r="AM148" i="2"/>
  <c r="AP148" i="2"/>
  <c r="AD124" i="2"/>
  <c r="AG124" i="2"/>
  <c r="AJ124" i="2"/>
  <c r="AM124" i="2"/>
  <c r="AP124" i="2"/>
  <c r="AD100" i="2"/>
  <c r="AG100" i="2"/>
  <c r="AJ100" i="2"/>
  <c r="AM100" i="2"/>
  <c r="AP100" i="2"/>
  <c r="AP82" i="2"/>
  <c r="AM82" i="2"/>
  <c r="AJ82" i="2"/>
  <c r="AG82" i="2"/>
  <c r="AD82" i="2"/>
  <c r="AD61" i="2"/>
  <c r="AD31" i="2" s="1"/>
  <c r="AG61" i="2"/>
  <c r="AG31" i="2" s="1"/>
  <c r="AJ61" i="2"/>
  <c r="AJ31" i="2" s="1"/>
  <c r="AM61" i="2"/>
  <c r="AM31" i="2" s="1"/>
  <c r="AP61" i="2"/>
  <c r="AP31" i="2" s="1"/>
  <c r="AB31" i="2"/>
  <c r="AC31" i="2"/>
  <c r="AE31" i="2"/>
  <c r="AF31" i="2"/>
  <c r="AH31" i="2"/>
  <c r="AI31" i="2"/>
  <c r="AK31" i="2"/>
  <c r="AL31" i="2"/>
  <c r="AN31" i="2"/>
  <c r="AO31" i="2"/>
  <c r="AC44" i="2"/>
  <c r="AC500" i="2" s="1"/>
  <c r="AF44" i="2"/>
  <c r="AF500" i="2" s="1"/>
  <c r="AI44" i="2"/>
  <c r="AI500" i="2" s="1"/>
  <c r="AL500" i="2"/>
  <c r="AO500" i="2"/>
  <c r="AA1" i="12"/>
  <c r="AB1" i="12"/>
  <c r="AC1" i="12"/>
  <c r="AD1" i="12"/>
  <c r="AE1" i="12"/>
  <c r="AF1" i="12"/>
  <c r="AG1" i="12"/>
  <c r="AH1" i="12"/>
  <c r="AP358" i="2" l="1"/>
  <c r="AD145" i="1"/>
  <c r="AM358" i="2"/>
  <c r="AG145" i="1"/>
  <c r="AD146" i="1"/>
  <c r="AP146" i="1"/>
  <c r="AP145" i="1"/>
  <c r="AJ145" i="1"/>
  <c r="AM146" i="1"/>
  <c r="AJ358" i="2"/>
  <c r="AG146" i="1"/>
  <c r="AM145" i="1"/>
  <c r="AD358" i="2"/>
  <c r="AJ146" i="1"/>
  <c r="AG358" i="2"/>
  <c r="S25" i="12"/>
  <c r="S29" i="12" s="1"/>
  <c r="R25" i="12"/>
  <c r="R29" i="12" s="1"/>
  <c r="Q26" i="12"/>
  <c r="AI23" i="12"/>
  <c r="AI81" i="12" s="1"/>
  <c r="AI105" i="12" s="1"/>
  <c r="P1" i="12"/>
  <c r="Q1" i="12"/>
  <c r="R1" i="12"/>
  <c r="S1" i="12"/>
  <c r="T1" i="12"/>
  <c r="U1" i="12"/>
  <c r="V1" i="12"/>
  <c r="W1" i="12"/>
  <c r="X1" i="12"/>
  <c r="Y1" i="12"/>
  <c r="Z1" i="12"/>
  <c r="R116" i="12"/>
  <c r="S116" i="12" s="1"/>
  <c r="T116" i="12" s="1"/>
  <c r="O36" i="12"/>
  <c r="O38" i="12" s="1"/>
  <c r="P36" i="12"/>
  <c r="O29" i="12"/>
  <c r="O26" i="12" s="1"/>
  <c r="O119" i="12"/>
  <c r="O126" i="12" s="1"/>
  <c r="O128" i="12" s="1"/>
  <c r="Q85" i="12"/>
  <c r="AT6" i="12"/>
  <c r="AQ6" i="12"/>
  <c r="L153" i="1"/>
  <c r="I153" i="1"/>
  <c r="R49" i="2" l="1"/>
  <c r="AT8" i="12"/>
  <c r="AD49" i="2"/>
  <c r="AM49" i="2"/>
  <c r="AA49" i="2"/>
  <c r="AS49" i="2"/>
  <c r="AJ49" i="2"/>
  <c r="X49" i="2"/>
  <c r="AG49" i="2"/>
  <c r="U49" i="2"/>
  <c r="T117" i="12"/>
  <c r="Q117" i="12"/>
  <c r="R117" i="12"/>
  <c r="S117" i="12"/>
  <c r="T35" i="12"/>
  <c r="T6" i="12" s="1"/>
  <c r="H24" i="2"/>
  <c r="G21" i="12"/>
  <c r="H21" i="12"/>
  <c r="G20" i="12"/>
  <c r="H20" i="12"/>
  <c r="I21" i="12"/>
  <c r="J21" i="12"/>
  <c r="K21" i="12"/>
  <c r="L21" i="12"/>
  <c r="I20" i="12"/>
  <c r="J20" i="12"/>
  <c r="K20" i="12"/>
  <c r="L20" i="12"/>
  <c r="F148" i="1"/>
  <c r="Q45" i="4" s="1"/>
  <c r="Q44" i="4" s="1"/>
  <c r="I148" i="1"/>
  <c r="F153" i="1"/>
  <c r="F98" i="1"/>
  <c r="F105" i="1"/>
  <c r="I105" i="1"/>
  <c r="F111" i="1"/>
  <c r="F110" i="1"/>
  <c r="F109" i="1"/>
  <c r="I98" i="1"/>
  <c r="F89" i="1"/>
  <c r="I89" i="1"/>
  <c r="I80" i="1"/>
  <c r="P62" i="2" l="1"/>
  <c r="P32" i="2" s="1"/>
  <c r="R62" i="2"/>
  <c r="F113" i="1"/>
  <c r="AT11" i="12"/>
  <c r="AS62" i="2"/>
  <c r="AQ49" i="2"/>
  <c r="AD62" i="2"/>
  <c r="AB49" i="2"/>
  <c r="AC49" i="2" s="1"/>
  <c r="AE49" i="2"/>
  <c r="AF49" i="2" s="1"/>
  <c r="AG62" i="2"/>
  <c r="I113" i="1"/>
  <c r="I106" i="1"/>
  <c r="F106" i="1"/>
  <c r="F90" i="1"/>
  <c r="I90" i="1"/>
  <c r="Q62" i="2" l="1"/>
  <c r="Q49" i="2"/>
  <c r="AB62" i="2"/>
  <c r="AB83" i="2"/>
  <c r="AB191" i="2" s="1"/>
  <c r="AF83" i="2"/>
  <c r="AF62" i="2"/>
  <c r="AE62" i="2"/>
  <c r="AE83" i="2"/>
  <c r="AE191" i="2" s="1"/>
  <c r="AR49" i="2"/>
  <c r="AQ83" i="2"/>
  <c r="AQ191" i="2" s="1"/>
  <c r="AQ62" i="2"/>
  <c r="AC62" i="2"/>
  <c r="AC83" i="2"/>
  <c r="F108" i="1"/>
  <c r="F116" i="1"/>
  <c r="F115" i="1"/>
  <c r="I115" i="1"/>
  <c r="I116" i="1"/>
  <c r="I108" i="1"/>
  <c r="J296" i="2"/>
  <c r="G315" i="2"/>
  <c r="G296" i="2" s="1"/>
  <c r="I315" i="2"/>
  <c r="I296" i="2" s="1"/>
  <c r="F296" i="2"/>
  <c r="U487" i="2"/>
  <c r="X487" i="2" s="1"/>
  <c r="AA487" i="2" s="1"/>
  <c r="AD487" i="2" s="1"/>
  <c r="I496" i="2"/>
  <c r="J495" i="2"/>
  <c r="I495" i="2"/>
  <c r="G495" i="2"/>
  <c r="L489" i="2"/>
  <c r="J483" i="2"/>
  <c r="G483" i="2"/>
  <c r="I483" i="2"/>
  <c r="F483" i="2"/>
  <c r="AA127" i="1"/>
  <c r="AA136" i="1"/>
  <c r="AA141" i="1"/>
  <c r="AA144" i="1"/>
  <c r="Y145" i="1"/>
  <c r="Z145" i="1"/>
  <c r="Y146" i="1"/>
  <c r="Z146" i="1"/>
  <c r="AA154" i="1"/>
  <c r="G25" i="1"/>
  <c r="F25" i="1"/>
  <c r="AQ32" i="2" l="1"/>
  <c r="AE32" i="2"/>
  <c r="AB32" i="2"/>
  <c r="AF32" i="2"/>
  <c r="AC191" i="2"/>
  <c r="AD83" i="2"/>
  <c r="AR62" i="2"/>
  <c r="AR83" i="2"/>
  <c r="AF191" i="2"/>
  <c r="AG83" i="2"/>
  <c r="AC32" i="2"/>
  <c r="AG487" i="2"/>
  <c r="I493" i="2"/>
  <c r="R486" i="2"/>
  <c r="AA145" i="1"/>
  <c r="AA146" i="1"/>
  <c r="AA437" i="2"/>
  <c r="AA432" i="2"/>
  <c r="Y358" i="2"/>
  <c r="Z358" i="2"/>
  <c r="X110" i="2"/>
  <c r="W110" i="2" s="1"/>
  <c r="R110" i="2"/>
  <c r="Q110" i="2" l="1"/>
  <c r="AR32" i="2"/>
  <c r="AG191" i="2"/>
  <c r="AG32" i="2"/>
  <c r="AD191" i="2"/>
  <c r="AD32" i="2"/>
  <c r="AS83" i="2"/>
  <c r="AR191" i="2"/>
  <c r="AJ487" i="2"/>
  <c r="U486" i="2"/>
  <c r="S486" i="2" s="1"/>
  <c r="P486" i="2"/>
  <c r="AA358" i="2"/>
  <c r="S110" i="2"/>
  <c r="U110" i="2" s="1"/>
  <c r="T110" i="2" s="1"/>
  <c r="Y110" i="2"/>
  <c r="AA110" i="2" s="1"/>
  <c r="R134" i="2"/>
  <c r="I126" i="2"/>
  <c r="AA373" i="2"/>
  <c r="J64" i="2"/>
  <c r="M65" i="2" s="1"/>
  <c r="N49" i="2"/>
  <c r="V49" i="2"/>
  <c r="W49" i="2" s="1"/>
  <c r="Y49" i="2"/>
  <c r="Z49" i="2" s="1"/>
  <c r="J46" i="2"/>
  <c r="L185" i="2"/>
  <c r="M365" i="2" l="1"/>
  <c r="M363" i="2"/>
  <c r="J54" i="4"/>
  <c r="AS191" i="2"/>
  <c r="AS32" i="2"/>
  <c r="S49" i="2"/>
  <c r="U62" i="2"/>
  <c r="Z110" i="2"/>
  <c r="AB110" i="2"/>
  <c r="AM487" i="2"/>
  <c r="X486" i="2"/>
  <c r="V486" i="2" s="1"/>
  <c r="Q486" i="2"/>
  <c r="T486" i="2"/>
  <c r="Q134" i="2"/>
  <c r="S134" i="2"/>
  <c r="U134" i="2" s="1"/>
  <c r="T49" i="2" l="1"/>
  <c r="AP487" i="2"/>
  <c r="AS487" i="2" s="1"/>
  <c r="AV487" i="2" s="1"/>
  <c r="AD110" i="2"/>
  <c r="AA486" i="2"/>
  <c r="W486" i="2"/>
  <c r="T134" i="2"/>
  <c r="X134" i="2"/>
  <c r="Y486" i="2" l="1"/>
  <c r="Z486" i="2" s="1"/>
  <c r="AD486" i="2"/>
  <c r="AC110" i="2"/>
  <c r="AE110" i="2"/>
  <c r="W134" i="2"/>
  <c r="Y134" i="2"/>
  <c r="AA134" i="2" s="1"/>
  <c r="I89" i="2"/>
  <c r="I185" i="2" l="1"/>
  <c r="L90" i="2"/>
  <c r="AG110" i="2"/>
  <c r="Z134" i="2"/>
  <c r="AB134" i="2"/>
  <c r="AB486" i="2"/>
  <c r="AG486" i="2"/>
  <c r="I197" i="2"/>
  <c r="AE486" i="2" l="1"/>
  <c r="AF486" i="2" s="1"/>
  <c r="AJ486" i="2"/>
  <c r="AD134" i="2"/>
  <c r="AC486" i="2"/>
  <c r="AH110" i="2"/>
  <c r="AF110" i="2"/>
  <c r="M185" i="2"/>
  <c r="O185" i="2" s="1"/>
  <c r="N191" i="2"/>
  <c r="M191" i="2"/>
  <c r="K191" i="2"/>
  <c r="F191" i="2"/>
  <c r="F192" i="2" s="1"/>
  <c r="G198" i="2"/>
  <c r="H198" i="2" s="1"/>
  <c r="G190" i="2"/>
  <c r="H190" i="2" s="1"/>
  <c r="I190" i="2" s="1"/>
  <c r="J190" i="2" s="1"/>
  <c r="K190" i="2" s="1"/>
  <c r="L190" i="2" s="1"/>
  <c r="M190" i="2" s="1"/>
  <c r="N190" i="2" s="1"/>
  <c r="O190" i="2" s="1"/>
  <c r="J502" i="2"/>
  <c r="I502" i="2"/>
  <c r="G502" i="2"/>
  <c r="H501" i="2"/>
  <c r="G501" i="2"/>
  <c r="AA500" i="2"/>
  <c r="Y500" i="2"/>
  <c r="X500" i="2"/>
  <c r="V500" i="2"/>
  <c r="U500" i="2"/>
  <c r="S500" i="2"/>
  <c r="R500" i="2"/>
  <c r="P500" i="2"/>
  <c r="M500" i="2"/>
  <c r="L500" i="2"/>
  <c r="J500" i="2"/>
  <c r="I500" i="2"/>
  <c r="G500" i="2"/>
  <c r="AJ110" i="2" l="1"/>
  <c r="AH486" i="2"/>
  <c r="AI486" i="2" s="1"/>
  <c r="AM486" i="2"/>
  <c r="AE134" i="2"/>
  <c r="AC134" i="2"/>
  <c r="U283" i="2"/>
  <c r="S283" i="2" s="1"/>
  <c r="N283" i="2"/>
  <c r="P190" i="2"/>
  <c r="Q190" i="2" s="1"/>
  <c r="R190" i="2" s="1"/>
  <c r="I198" i="2"/>
  <c r="I199" i="2" s="1"/>
  <c r="P283" i="2"/>
  <c r="N192" i="2"/>
  <c r="K192" i="2"/>
  <c r="M192" i="2"/>
  <c r="J254" i="2"/>
  <c r="I254" i="2"/>
  <c r="G254" i="2"/>
  <c r="F254" i="2"/>
  <c r="S190" i="2" l="1"/>
  <c r="T190" i="2" s="1"/>
  <c r="U190" i="2" s="1"/>
  <c r="V190" i="2" s="1"/>
  <c r="W190" i="2" s="1"/>
  <c r="X190" i="2" s="1"/>
  <c r="Y190" i="2" s="1"/>
  <c r="Z190" i="2" s="1"/>
  <c r="AA190" i="2" s="1"/>
  <c r="AB190" i="2" s="1"/>
  <c r="H23" i="4"/>
  <c r="G23" i="4"/>
  <c r="P195" i="2"/>
  <c r="AG134" i="2"/>
  <c r="AK110" i="2"/>
  <c r="AI110" i="2"/>
  <c r="AB192" i="2"/>
  <c r="AC190" i="2"/>
  <c r="AK486" i="2"/>
  <c r="AL486" i="2" s="1"/>
  <c r="AP486" i="2"/>
  <c r="AS486" i="2" s="1"/>
  <c r="AV486" i="2" s="1"/>
  <c r="AT486" i="2" s="1"/>
  <c r="AU486" i="2" s="1"/>
  <c r="P311" i="2"/>
  <c r="T283" i="2"/>
  <c r="Q283" i="2"/>
  <c r="X283" i="2"/>
  <c r="J198" i="2"/>
  <c r="K198" i="2" s="1"/>
  <c r="L198" i="2" s="1"/>
  <c r="M198" i="2" s="1"/>
  <c r="N198" i="2" s="1"/>
  <c r="O198" i="2" s="1"/>
  <c r="O199" i="2" s="1"/>
  <c r="P185" i="2"/>
  <c r="U311" i="2"/>
  <c r="P198" i="2" l="1"/>
  <c r="Q198" i="2" s="1"/>
  <c r="R198" i="2" s="1"/>
  <c r="S196" i="2"/>
  <c r="U196" i="2" s="1"/>
  <c r="V196" i="2" s="1"/>
  <c r="X196" i="2" s="1"/>
  <c r="Y196" i="2" s="1"/>
  <c r="AA196" i="2" s="1"/>
  <c r="AB196" i="2" s="1"/>
  <c r="AD196" i="2" s="1"/>
  <c r="AE196" i="2" s="1"/>
  <c r="AG196" i="2" s="1"/>
  <c r="AH196" i="2" s="1"/>
  <c r="AJ196" i="2" s="1"/>
  <c r="AK196" i="2" s="1"/>
  <c r="AM196" i="2" s="1"/>
  <c r="AN196" i="2" s="1"/>
  <c r="AP196" i="2" s="1"/>
  <c r="AS196" i="2" s="1"/>
  <c r="AQ486" i="2"/>
  <c r="AR486" i="2" s="1"/>
  <c r="AC192" i="2"/>
  <c r="AD190" i="2"/>
  <c r="AM110" i="2"/>
  <c r="AN486" i="2"/>
  <c r="AH134" i="2"/>
  <c r="AF134" i="2"/>
  <c r="Q311" i="2"/>
  <c r="AA283" i="2"/>
  <c r="AD283" i="2" s="1"/>
  <c r="V283" i="2"/>
  <c r="S311" i="2"/>
  <c r="R185" i="2"/>
  <c r="X311" i="2"/>
  <c r="S198" i="2" l="1"/>
  <c r="T198" i="2" s="1"/>
  <c r="U198" i="2" s="1"/>
  <c r="V198" i="2" s="1"/>
  <c r="W198" i="2" s="1"/>
  <c r="X198" i="2" s="1"/>
  <c r="Y198" i="2" s="1"/>
  <c r="Z198" i="2" s="1"/>
  <c r="AA198" i="2" s="1"/>
  <c r="AB198" i="2" s="1"/>
  <c r="AC198" i="2" s="1"/>
  <c r="AD198" i="2" s="1"/>
  <c r="AE198" i="2" s="1"/>
  <c r="AQ196" i="2"/>
  <c r="AV196" i="2"/>
  <c r="AT196" i="2" s="1"/>
  <c r="S195" i="2"/>
  <c r="V195" i="2" s="1"/>
  <c r="Y195" i="2" s="1"/>
  <c r="AB195" i="2" s="1"/>
  <c r="AE195" i="2" s="1"/>
  <c r="AB283" i="2"/>
  <c r="AC283" i="2" s="1"/>
  <c r="AG283" i="2"/>
  <c r="AJ134" i="2"/>
  <c r="AE190" i="2"/>
  <c r="AD192" i="2"/>
  <c r="AO486" i="2"/>
  <c r="AL110" i="2"/>
  <c r="AN110" i="2"/>
  <c r="T311" i="2"/>
  <c r="Y283" i="2"/>
  <c r="W283" i="2"/>
  <c r="V311" i="2"/>
  <c r="S185" i="2"/>
  <c r="F277" i="2"/>
  <c r="AF198" i="2" l="1"/>
  <c r="AG198" i="2" s="1"/>
  <c r="AH195" i="2"/>
  <c r="AE192" i="2"/>
  <c r="AF190" i="2"/>
  <c r="AK134" i="2"/>
  <c r="AI134" i="2"/>
  <c r="AA311" i="2"/>
  <c r="AP110" i="2"/>
  <c r="AQ110" i="2" s="1"/>
  <c r="AE283" i="2"/>
  <c r="AF283" i="2" s="1"/>
  <c r="AJ283" i="2"/>
  <c r="W311" i="2"/>
  <c r="Z283" i="2"/>
  <c r="Y311" i="2"/>
  <c r="U185" i="2"/>
  <c r="AA148" i="2"/>
  <c r="AA124" i="2"/>
  <c r="G33" i="2"/>
  <c r="H30" i="2" s="1"/>
  <c r="AA62" i="2"/>
  <c r="AA32" i="12" l="1"/>
  <c r="AP49" i="2"/>
  <c r="AS110" i="2"/>
  <c r="AT110" i="2" s="1"/>
  <c r="AK195" i="2"/>
  <c r="AH198" i="2"/>
  <c r="AG190" i="2"/>
  <c r="AF192" i="2"/>
  <c r="AH283" i="2"/>
  <c r="AI283" i="2" s="1"/>
  <c r="AM283" i="2"/>
  <c r="AO110" i="2"/>
  <c r="AB311" i="2"/>
  <c r="AD311" i="2"/>
  <c r="AM134" i="2"/>
  <c r="Z311" i="2"/>
  <c r="V185" i="2"/>
  <c r="J212" i="2"/>
  <c r="J209" i="2"/>
  <c r="K500" i="2"/>
  <c r="X62" i="2"/>
  <c r="W83" i="2"/>
  <c r="W191" i="2" s="1"/>
  <c r="W192" i="2" s="1"/>
  <c r="AV110" i="2" l="1"/>
  <c r="AC32" i="12"/>
  <c r="AD32" i="12" s="1"/>
  <c r="AF32" i="12" s="1"/>
  <c r="AG32" i="12" s="1"/>
  <c r="AI32" i="12" s="1"/>
  <c r="AV49" i="2"/>
  <c r="AR110" i="2"/>
  <c r="AI198" i="2"/>
  <c r="AJ198" i="2" s="1"/>
  <c r="AN195" i="2"/>
  <c r="AQ195" i="2" s="1"/>
  <c r="AT195" i="2" s="1"/>
  <c r="AG311" i="2"/>
  <c r="AE311" i="2"/>
  <c r="AH190" i="2"/>
  <c r="AG192" i="2"/>
  <c r="AL134" i="2"/>
  <c r="AN134" i="2"/>
  <c r="AK283" i="2"/>
  <c r="AL283" i="2" s="1"/>
  <c r="AP283" i="2"/>
  <c r="AS283" i="2" s="1"/>
  <c r="AC311" i="2"/>
  <c r="AH49" i="2"/>
  <c r="AJ62" i="2"/>
  <c r="X185" i="2"/>
  <c r="W62" i="2"/>
  <c r="V83" i="2"/>
  <c r="V62" i="2"/>
  <c r="Z62" i="2"/>
  <c r="Y83" i="2"/>
  <c r="Y191" i="2" s="1"/>
  <c r="Y192" i="2" s="1"/>
  <c r="Y62" i="2"/>
  <c r="S83" i="2"/>
  <c r="S191" i="2" s="1"/>
  <c r="S192" i="2" s="1"/>
  <c r="S62" i="2"/>
  <c r="AT454" i="2" l="1"/>
  <c r="AV454" i="2"/>
  <c r="AQ283" i="2"/>
  <c r="AR283" i="2" s="1"/>
  <c r="AV283" i="2"/>
  <c r="AT283" i="2" s="1"/>
  <c r="AU283" i="2" s="1"/>
  <c r="AV62" i="2"/>
  <c r="AT49" i="2"/>
  <c r="AU49" i="2" s="1"/>
  <c r="AU110" i="2"/>
  <c r="AK198" i="2"/>
  <c r="AH62" i="2"/>
  <c r="AH83" i="2"/>
  <c r="AH191" i="2" s="1"/>
  <c r="AH192" i="2" s="1"/>
  <c r="AN283" i="2"/>
  <c r="AO283" i="2" s="1"/>
  <c r="AP134" i="2"/>
  <c r="AQ134" i="2" s="1"/>
  <c r="AF311" i="2"/>
  <c r="AJ311" i="2"/>
  <c r="AI49" i="2"/>
  <c r="AI190" i="2"/>
  <c r="AK49" i="2"/>
  <c r="AL49" i="2" s="1"/>
  <c r="AM62" i="2"/>
  <c r="AI25" i="12"/>
  <c r="AI35" i="12"/>
  <c r="Y185" i="2"/>
  <c r="X83" i="2"/>
  <c r="X191" i="2" s="1"/>
  <c r="X192" i="2" s="1"/>
  <c r="V191" i="2"/>
  <c r="V192" i="2" s="1"/>
  <c r="Z83" i="2"/>
  <c r="T83" i="2"/>
  <c r="T62" i="2"/>
  <c r="AU454" i="2" l="1"/>
  <c r="AT83" i="2"/>
  <c r="AT191" i="2" s="1"/>
  <c r="AT62" i="2"/>
  <c r="AU83" i="2"/>
  <c r="AU62" i="2"/>
  <c r="AS134" i="2"/>
  <c r="AT134" i="2" s="1"/>
  <c r="AL198" i="2"/>
  <c r="AM198" i="2" s="1"/>
  <c r="AI62" i="2"/>
  <c r="AI83" i="2"/>
  <c r="AO134" i="2"/>
  <c r="AL62" i="2"/>
  <c r="AL83" i="2"/>
  <c r="AM311" i="2"/>
  <c r="AK62" i="2"/>
  <c r="AK83" i="2"/>
  <c r="AK191" i="2" s="1"/>
  <c r="AJ190" i="2"/>
  <c r="AI311" i="2"/>
  <c r="AH311" i="2"/>
  <c r="AH32" i="2"/>
  <c r="AI37" i="12"/>
  <c r="AI36" i="12"/>
  <c r="AI6" i="12"/>
  <c r="AP62" i="2"/>
  <c r="AN49" i="2"/>
  <c r="AO49" i="2" s="1"/>
  <c r="AI85" i="12"/>
  <c r="AI29" i="12"/>
  <c r="AA185" i="2"/>
  <c r="AB185" i="2" s="1"/>
  <c r="U83" i="2"/>
  <c r="T191" i="2"/>
  <c r="T192" i="2" s="1"/>
  <c r="AA83" i="2"/>
  <c r="AA191" i="2" s="1"/>
  <c r="AA192" i="2" s="1"/>
  <c r="Z191" i="2"/>
  <c r="Z192" i="2" s="1"/>
  <c r="AT32" i="2" l="1"/>
  <c r="AU32" i="2"/>
  <c r="AV134" i="2"/>
  <c r="AU191" i="2"/>
  <c r="AV83" i="2"/>
  <c r="AQ311" i="2"/>
  <c r="AS311" i="2"/>
  <c r="AR134" i="2"/>
  <c r="AN198" i="2"/>
  <c r="AD185" i="2"/>
  <c r="AK32" i="2"/>
  <c r="AN62" i="2"/>
  <c r="AN83" i="2"/>
  <c r="AN191" i="2" s="1"/>
  <c r="AK190" i="2"/>
  <c r="AL311" i="2"/>
  <c r="AK311" i="2"/>
  <c r="AM83" i="2"/>
  <c r="AL191" i="2"/>
  <c r="AI191" i="2"/>
  <c r="AI192" i="2" s="1"/>
  <c r="AJ83" i="2"/>
  <c r="AO62" i="2"/>
  <c r="AO83" i="2"/>
  <c r="AP311" i="2"/>
  <c r="AL32" i="2"/>
  <c r="AI32" i="2"/>
  <c r="AI91" i="12"/>
  <c r="AI26" i="12"/>
  <c r="AI30" i="12" s="1"/>
  <c r="AI38" i="12"/>
  <c r="AI12" i="12"/>
  <c r="AI18" i="12" s="1"/>
  <c r="U32" i="2"/>
  <c r="U191" i="2"/>
  <c r="U192" i="2" s="1"/>
  <c r="AV191" i="2" l="1"/>
  <c r="AV32" i="2"/>
  <c r="AU134" i="2"/>
  <c r="AR311" i="2"/>
  <c r="AE185" i="2"/>
  <c r="AO198" i="2"/>
  <c r="AP198" i="2" s="1"/>
  <c r="AQ198" i="2" s="1"/>
  <c r="AP83" i="2"/>
  <c r="AO191" i="2"/>
  <c r="AN32" i="2"/>
  <c r="AL190" i="2"/>
  <c r="AK192" i="2"/>
  <c r="AO32" i="2"/>
  <c r="AM191" i="2"/>
  <c r="AM32" i="2"/>
  <c r="AO311" i="2"/>
  <c r="AN311" i="2"/>
  <c r="AJ191" i="2"/>
  <c r="AJ192" i="2" s="1"/>
  <c r="AJ32" i="2"/>
  <c r="AR198" i="2" l="1"/>
  <c r="AS198" i="2" s="1"/>
  <c r="AT198" i="2" s="1"/>
  <c r="AU198" i="2" s="1"/>
  <c r="AV198" i="2" s="1"/>
  <c r="AG185" i="2"/>
  <c r="AM190" i="2"/>
  <c r="AL192" i="2"/>
  <c r="AP191" i="2"/>
  <c r="AP32" i="2"/>
  <c r="AH185" i="2" l="1"/>
  <c r="AN190" i="2"/>
  <c r="AM192" i="2"/>
  <c r="AJ185" i="2" l="1"/>
  <c r="AO190" i="2"/>
  <c r="AN192" i="2"/>
  <c r="AK185" i="2" l="1"/>
  <c r="AO192" i="2"/>
  <c r="AP190" i="2"/>
  <c r="AP192" i="2" l="1"/>
  <c r="AQ190" i="2"/>
  <c r="AM185" i="2"/>
  <c r="AR190" i="2" l="1"/>
  <c r="AQ192" i="2"/>
  <c r="AN185" i="2"/>
  <c r="AS190" i="2" l="1"/>
  <c r="AR192" i="2"/>
  <c r="AP185" i="2"/>
  <c r="AQ185" i="2" s="1"/>
  <c r="AS192" i="2" l="1"/>
  <c r="AT190" i="2"/>
  <c r="AS185" i="2"/>
  <c r="AT185" i="2" s="1"/>
  <c r="AV185" i="2" l="1"/>
  <c r="AT192" i="2"/>
  <c r="AU190" i="2"/>
  <c r="AU192" i="2" l="1"/>
  <c r="AV190" i="2"/>
  <c r="AV192" i="2" s="1"/>
  <c r="Q91" i="12" l="1"/>
  <c r="O91" i="12"/>
  <c r="O92" i="12" s="1"/>
  <c r="Q89" i="12"/>
  <c r="P88" i="12"/>
  <c r="O85" i="12"/>
  <c r="O86" i="12" s="1"/>
  <c r="Q83" i="12"/>
  <c r="R83" i="12" s="1"/>
  <c r="S83" i="12" s="1"/>
  <c r="P82" i="12"/>
  <c r="G52" i="12"/>
  <c r="H52" i="12" s="1"/>
  <c r="E50" i="12"/>
  <c r="F50" i="12" s="1"/>
  <c r="E38" i="12"/>
  <c r="P38" i="12"/>
  <c r="AH35" i="12"/>
  <c r="AH37" i="12" s="1"/>
  <c r="AH38" i="12" s="1"/>
  <c r="AG35" i="12"/>
  <c r="AG37" i="12" s="1"/>
  <c r="AG38" i="12" s="1"/>
  <c r="AF35" i="12"/>
  <c r="AF36" i="12" s="1"/>
  <c r="AE35" i="12"/>
  <c r="AE36" i="12" s="1"/>
  <c r="AD35" i="12"/>
  <c r="AD37" i="12" s="1"/>
  <c r="AD38" i="12" s="1"/>
  <c r="AC35" i="12"/>
  <c r="AC37" i="12" s="1"/>
  <c r="AC38" i="12" s="1"/>
  <c r="AB35" i="12"/>
  <c r="AB36" i="12" s="1"/>
  <c r="AA35" i="12"/>
  <c r="AA36" i="12" s="1"/>
  <c r="Z35" i="12"/>
  <c r="Z37" i="12" s="1"/>
  <c r="Z38" i="12" s="1"/>
  <c r="Y35" i="12"/>
  <c r="Y37" i="12" s="1"/>
  <c r="Y38" i="12" s="1"/>
  <c r="X35" i="12"/>
  <c r="X36" i="12" s="1"/>
  <c r="W35" i="12"/>
  <c r="W36" i="12" s="1"/>
  <c r="V35" i="12"/>
  <c r="V37" i="12" s="1"/>
  <c r="V38" i="12" s="1"/>
  <c r="U35" i="12"/>
  <c r="U37" i="12" s="1"/>
  <c r="U38" i="12" s="1"/>
  <c r="T36" i="12"/>
  <c r="S35" i="12"/>
  <c r="S36" i="12" s="1"/>
  <c r="Q30" i="12"/>
  <c r="AH25" i="12"/>
  <c r="AH85" i="12" s="1"/>
  <c r="AG25" i="12"/>
  <c r="AG29" i="12" s="1"/>
  <c r="AG91" i="12" s="1"/>
  <c r="AF25" i="12"/>
  <c r="AF85" i="12" s="1"/>
  <c r="AE25" i="12"/>
  <c r="AE29" i="12" s="1"/>
  <c r="AE91" i="12" s="1"/>
  <c r="AD25" i="12"/>
  <c r="AD85" i="12" s="1"/>
  <c r="AC25" i="12"/>
  <c r="AB25" i="12"/>
  <c r="AB85" i="12" s="1"/>
  <c r="AA25" i="12"/>
  <c r="Z25" i="12"/>
  <c r="Z85" i="12" s="1"/>
  <c r="Y25" i="12"/>
  <c r="Y29" i="12" s="1"/>
  <c r="Y91" i="12" s="1"/>
  <c r="X25" i="12"/>
  <c r="X85" i="12" s="1"/>
  <c r="W25" i="12"/>
  <c r="V25" i="12"/>
  <c r="V85" i="12" s="1"/>
  <c r="U25" i="12"/>
  <c r="T25" i="12"/>
  <c r="P25" i="12"/>
  <c r="AH23" i="12"/>
  <c r="AH81" i="12" s="1"/>
  <c r="AH105" i="12" s="1"/>
  <c r="AG23" i="12"/>
  <c r="AG81" i="12" s="1"/>
  <c r="AG105" i="12" s="1"/>
  <c r="AF23" i="12"/>
  <c r="AF81" i="12" s="1"/>
  <c r="AF105" i="12" s="1"/>
  <c r="AE23" i="12"/>
  <c r="AE81" i="12" s="1"/>
  <c r="AE105" i="12" s="1"/>
  <c r="AD23" i="12"/>
  <c r="AD81" i="12" s="1"/>
  <c r="AD105" i="12" s="1"/>
  <c r="AC23" i="12"/>
  <c r="AC81" i="12" s="1"/>
  <c r="AC105" i="12" s="1"/>
  <c r="AB23" i="12"/>
  <c r="AB81" i="12" s="1"/>
  <c r="AB105" i="12" s="1"/>
  <c r="AA23" i="12"/>
  <c r="AA81" i="12" s="1"/>
  <c r="AA105" i="12" s="1"/>
  <c r="Z23" i="12"/>
  <c r="Z81" i="12" s="1"/>
  <c r="Z105" i="12" s="1"/>
  <c r="Y23" i="12"/>
  <c r="Y81" i="12" s="1"/>
  <c r="Y105" i="12" s="1"/>
  <c r="X23" i="12"/>
  <c r="X81" i="12" s="1"/>
  <c r="X105" i="12" s="1"/>
  <c r="W23" i="12"/>
  <c r="W81" i="12" s="1"/>
  <c r="W105" i="12" s="1"/>
  <c r="V23" i="12"/>
  <c r="V81" i="12" s="1"/>
  <c r="V105" i="12" s="1"/>
  <c r="U23" i="12"/>
  <c r="U81" i="12" s="1"/>
  <c r="U105" i="12" s="1"/>
  <c r="T23" i="12"/>
  <c r="T81" i="12" s="1"/>
  <c r="T105" i="12" s="1"/>
  <c r="T141" i="12" s="1"/>
  <c r="S23" i="12"/>
  <c r="S81" i="12" s="1"/>
  <c r="S105" i="12" s="1"/>
  <c r="S141" i="12" s="1"/>
  <c r="R23" i="12"/>
  <c r="R81" i="12" s="1"/>
  <c r="R105" i="12" s="1"/>
  <c r="R141" i="12" s="1"/>
  <c r="Q23" i="12"/>
  <c r="Q81" i="12" s="1"/>
  <c r="Q105" i="12" s="1"/>
  <c r="Q141" i="12" s="1"/>
  <c r="P23" i="12"/>
  <c r="P81" i="12" s="1"/>
  <c r="P141" i="12" s="1"/>
  <c r="O23" i="12"/>
  <c r="O81" i="12" s="1"/>
  <c r="O105" i="12" s="1"/>
  <c r="N23" i="12"/>
  <c r="M23" i="12"/>
  <c r="M19" i="12"/>
  <c r="P18" i="12"/>
  <c r="O18" i="12"/>
  <c r="N18" i="12"/>
  <c r="M18" i="12"/>
  <c r="M17" i="12"/>
  <c r="N11" i="12"/>
  <c r="N13" i="12" s="1"/>
  <c r="N5" i="12"/>
  <c r="U29" i="12" l="1"/>
  <c r="U91" i="12" s="1"/>
  <c r="O94" i="12"/>
  <c r="O98" i="12" s="1"/>
  <c r="O110" i="12" s="1"/>
  <c r="O111" i="12" s="1"/>
  <c r="P85" i="12"/>
  <c r="P86" i="12" s="1"/>
  <c r="T85" i="12"/>
  <c r="T29" i="12"/>
  <c r="T91" i="12" s="1"/>
  <c r="T135" i="12"/>
  <c r="T115" i="12" s="1"/>
  <c r="M20" i="12"/>
  <c r="M21" i="12"/>
  <c r="S6" i="12"/>
  <c r="AE6" i="12"/>
  <c r="AA6" i="12"/>
  <c r="AD6" i="12"/>
  <c r="V6" i="12"/>
  <c r="AD12" i="12"/>
  <c r="W6" i="12"/>
  <c r="AH12" i="12"/>
  <c r="Z6" i="12"/>
  <c r="AH6" i="12"/>
  <c r="N17" i="12"/>
  <c r="U12" i="12"/>
  <c r="AG12" i="12"/>
  <c r="AF6" i="12"/>
  <c r="AB6" i="12"/>
  <c r="X6" i="12"/>
  <c r="U6" i="12"/>
  <c r="Y6" i="12"/>
  <c r="AC6" i="12"/>
  <c r="AG6" i="12"/>
  <c r="Y12" i="12"/>
  <c r="AC12" i="12"/>
  <c r="AF37" i="12"/>
  <c r="AF12" i="12" s="1"/>
  <c r="Q82" i="12"/>
  <c r="Q86" i="12" s="1"/>
  <c r="AE37" i="12"/>
  <c r="AE38" i="12" s="1"/>
  <c r="X37" i="12"/>
  <c r="X12" i="12" s="1"/>
  <c r="O11" i="12"/>
  <c r="O13" i="12" s="1"/>
  <c r="N7" i="12"/>
  <c r="AD29" i="12"/>
  <c r="AD91" i="12" s="1"/>
  <c r="W37" i="12"/>
  <c r="AD36" i="12"/>
  <c r="AF29" i="12"/>
  <c r="AH36" i="12"/>
  <c r="Z12" i="12"/>
  <c r="V12" i="12"/>
  <c r="X29" i="12"/>
  <c r="X91" i="12" s="1"/>
  <c r="V36" i="12"/>
  <c r="S37" i="12"/>
  <c r="AA37" i="12"/>
  <c r="AB29" i="12"/>
  <c r="AB91" i="12" s="1"/>
  <c r="Z36" i="12"/>
  <c r="T37" i="12"/>
  <c r="AB37" i="12"/>
  <c r="AC85" i="12"/>
  <c r="AE85" i="12"/>
  <c r="Y85" i="12"/>
  <c r="Y26" i="12"/>
  <c r="Y30" i="12" s="1"/>
  <c r="Z29" i="12"/>
  <c r="Z91" i="12" s="1"/>
  <c r="U36" i="12"/>
  <c r="AC36" i="12"/>
  <c r="Q88" i="12"/>
  <c r="Q92" i="12" s="1"/>
  <c r="R89" i="12"/>
  <c r="S85" i="12"/>
  <c r="S91" i="12"/>
  <c r="W85" i="12"/>
  <c r="W29" i="12"/>
  <c r="AA29" i="12"/>
  <c r="AA91" i="12" s="1"/>
  <c r="AA85" i="12"/>
  <c r="AE26" i="12"/>
  <c r="AE30" i="12" s="1"/>
  <c r="P29" i="12"/>
  <c r="P91" i="12" s="1"/>
  <c r="P92" i="12" s="1"/>
  <c r="V29" i="12"/>
  <c r="V91" i="12" s="1"/>
  <c r="AG26" i="12"/>
  <c r="AG30" i="12" s="1"/>
  <c r="AG85" i="12"/>
  <c r="T83" i="12"/>
  <c r="U85" i="12"/>
  <c r="AC29" i="12"/>
  <c r="AC91" i="12" s="1"/>
  <c r="AH29" i="12"/>
  <c r="Y36" i="12"/>
  <c r="AG36" i="12"/>
  <c r="P94" i="12" l="1"/>
  <c r="P98" i="12" s="1"/>
  <c r="P110" i="12" s="1"/>
  <c r="P111" i="12" s="1"/>
  <c r="U26" i="12"/>
  <c r="U30" i="12" s="1"/>
  <c r="T143" i="12"/>
  <c r="T147" i="12" s="1"/>
  <c r="P26" i="12"/>
  <c r="P30" i="12" s="1"/>
  <c r="P32" i="12"/>
  <c r="X18" i="12"/>
  <c r="Q6" i="12"/>
  <c r="Q18" i="12" s="1"/>
  <c r="V18" i="12"/>
  <c r="AD18" i="12"/>
  <c r="Y18" i="12"/>
  <c r="AA26" i="12"/>
  <c r="AA30" i="12" s="1"/>
  <c r="AG18" i="12"/>
  <c r="Z18" i="12"/>
  <c r="R82" i="12"/>
  <c r="S82" i="12" s="1"/>
  <c r="T82" i="12" s="1"/>
  <c r="T86" i="12" s="1"/>
  <c r="AH18" i="12"/>
  <c r="AE12" i="12"/>
  <c r="AE18" i="12" s="1"/>
  <c r="AF18" i="12"/>
  <c r="U18" i="12"/>
  <c r="AF38" i="12"/>
  <c r="AC18" i="12"/>
  <c r="P11" i="12"/>
  <c r="P13" i="12" s="1"/>
  <c r="X38" i="12"/>
  <c r="AD26" i="12"/>
  <c r="AD30" i="12" s="1"/>
  <c r="O5" i="12"/>
  <c r="W38" i="12"/>
  <c r="W12" i="12"/>
  <c r="W18" i="12" s="1"/>
  <c r="Z26" i="12"/>
  <c r="Z30" i="12" s="1"/>
  <c r="S26" i="12"/>
  <c r="S30" i="12" s="1"/>
  <c r="N19" i="12"/>
  <c r="S38" i="12"/>
  <c r="S12" i="12"/>
  <c r="S18" i="12" s="1"/>
  <c r="AF91" i="12"/>
  <c r="AF26" i="12"/>
  <c r="AF30" i="12" s="1"/>
  <c r="V26" i="12"/>
  <c r="V30" i="12" s="1"/>
  <c r="AB12" i="12"/>
  <c r="AB18" i="12" s="1"/>
  <c r="AB38" i="12"/>
  <c r="AB26" i="12"/>
  <c r="AB30" i="12" s="1"/>
  <c r="T26" i="12"/>
  <c r="T30" i="12" s="1"/>
  <c r="AC26" i="12"/>
  <c r="AC30" i="12" s="1"/>
  <c r="T12" i="12"/>
  <c r="T18" i="12" s="1"/>
  <c r="T38" i="12"/>
  <c r="AA38" i="12"/>
  <c r="AA12" i="12"/>
  <c r="AA18" i="12" s="1"/>
  <c r="X26" i="12"/>
  <c r="X30" i="12" s="1"/>
  <c r="S89" i="12"/>
  <c r="R88" i="12"/>
  <c r="W91" i="12"/>
  <c r="W26" i="12"/>
  <c r="W30" i="12" s="1"/>
  <c r="AH91" i="12"/>
  <c r="AH26" i="12"/>
  <c r="AH30" i="12" s="1"/>
  <c r="U83" i="12"/>
  <c r="Q94" i="12"/>
  <c r="Q98" i="12" s="1"/>
  <c r="Q110" i="12" s="1"/>
  <c r="Q99" i="12" l="1"/>
  <c r="Q11" i="12"/>
  <c r="Q13" i="12" s="1"/>
  <c r="P14" i="12"/>
  <c r="P95" i="12"/>
  <c r="N20" i="12"/>
  <c r="N21" i="12"/>
  <c r="S86" i="12"/>
  <c r="O7" i="12"/>
  <c r="O17" i="12"/>
  <c r="AM48" i="12" s="1"/>
  <c r="R33" i="12"/>
  <c r="T89" i="12"/>
  <c r="S88" i="12"/>
  <c r="S92" i="12" s="1"/>
  <c r="Q95" i="12"/>
  <c r="V83" i="12"/>
  <c r="U82" i="12"/>
  <c r="U86" i="12" s="1"/>
  <c r="Q14" i="12" l="1"/>
  <c r="S94" i="12"/>
  <c r="S95" i="12" s="1"/>
  <c r="O19" i="12"/>
  <c r="O22" i="12" s="1"/>
  <c r="P5" i="12"/>
  <c r="V82" i="12"/>
  <c r="V86" i="12" s="1"/>
  <c r="W83" i="12"/>
  <c r="U89" i="12"/>
  <c r="T88" i="12"/>
  <c r="T92" i="12" s="1"/>
  <c r="T94" i="12" s="1"/>
  <c r="T98" i="12" s="1"/>
  <c r="T110" i="12" s="1"/>
  <c r="Q96" i="12"/>
  <c r="R11" i="12"/>
  <c r="R35" i="12"/>
  <c r="R37" i="12" s="1"/>
  <c r="S98" i="12" l="1"/>
  <c r="S110" i="12" s="1"/>
  <c r="O21" i="12"/>
  <c r="AL5" i="12"/>
  <c r="O44" i="12"/>
  <c r="O20" i="12"/>
  <c r="Q191" i="2"/>
  <c r="Q192" i="2" s="1"/>
  <c r="P17" i="12"/>
  <c r="AN48" i="12" s="1"/>
  <c r="P7" i="12"/>
  <c r="O45" i="12"/>
  <c r="O24" i="12"/>
  <c r="AM47" i="12" s="1"/>
  <c r="R85" i="12"/>
  <c r="R86" i="12" s="1"/>
  <c r="R38" i="12"/>
  <c r="R12" i="12"/>
  <c r="R13" i="12" s="1"/>
  <c r="R14" i="12" s="1"/>
  <c r="T95" i="12"/>
  <c r="X83" i="12"/>
  <c r="W82" i="12"/>
  <c r="W86" i="12" s="1"/>
  <c r="R26" i="12"/>
  <c r="R30" i="12" s="1"/>
  <c r="U88" i="12"/>
  <c r="U92" i="12" s="1"/>
  <c r="U94" i="12" s="1"/>
  <c r="V89" i="12"/>
  <c r="R6" i="12"/>
  <c r="R36" i="12"/>
  <c r="AN54" i="12" l="1"/>
  <c r="AM46" i="12"/>
  <c r="AM52" i="12" s="1"/>
  <c r="AM57" i="12" s="1"/>
  <c r="R18" i="12"/>
  <c r="P24" i="12"/>
  <c r="AN47" i="12" s="1"/>
  <c r="Q5" i="12"/>
  <c r="P19" i="12"/>
  <c r="AM5" i="12" s="1"/>
  <c r="AM6" i="12" s="1"/>
  <c r="O28" i="12"/>
  <c r="P28" i="12" s="1"/>
  <c r="Q28" i="12" s="1"/>
  <c r="R28" i="12" s="1"/>
  <c r="S28" i="12" s="1"/>
  <c r="T28" i="12" s="1"/>
  <c r="U28" i="12" s="1"/>
  <c r="V28" i="12" s="1"/>
  <c r="W28" i="12" s="1"/>
  <c r="X28" i="12" s="1"/>
  <c r="Y28" i="12" s="1"/>
  <c r="Z28" i="12" s="1"/>
  <c r="AA28" i="12" s="1"/>
  <c r="AB28" i="12" s="1"/>
  <c r="AC28" i="12" s="1"/>
  <c r="AD28" i="12" s="1"/>
  <c r="AE28" i="12" s="1"/>
  <c r="AF28" i="12" s="1"/>
  <c r="AG28" i="12" s="1"/>
  <c r="AH28" i="12" s="1"/>
  <c r="AI28" i="12" s="1"/>
  <c r="W89" i="12"/>
  <c r="V88" i="12"/>
  <c r="V92" i="12" s="1"/>
  <c r="V94" i="12" s="1"/>
  <c r="R91" i="12"/>
  <c r="R92" i="12" s="1"/>
  <c r="U95" i="12"/>
  <c r="U98" i="12"/>
  <c r="U110" i="12" s="1"/>
  <c r="S11" i="12"/>
  <c r="S13" i="12" s="1"/>
  <c r="S14" i="12" s="1"/>
  <c r="X82" i="12"/>
  <c r="X86" i="12" s="1"/>
  <c r="Y83" i="12"/>
  <c r="AN46" i="12" l="1"/>
  <c r="AN52" i="12" s="1"/>
  <c r="AN53" i="12" s="1"/>
  <c r="AN55" i="12" s="1"/>
  <c r="AN57" i="12" s="1"/>
  <c r="P20" i="12"/>
  <c r="P21" i="12"/>
  <c r="Q17" i="12"/>
  <c r="AO48" i="12" s="1"/>
  <c r="Q7" i="12"/>
  <c r="P41" i="12"/>
  <c r="P42" i="12" s="1"/>
  <c r="Q24" i="12"/>
  <c r="AO47" i="12" s="1"/>
  <c r="P45" i="12"/>
  <c r="P44" i="12"/>
  <c r="O41" i="12"/>
  <c r="O42" i="12" s="1"/>
  <c r="R94" i="12"/>
  <c r="V98" i="12"/>
  <c r="V110" i="12" s="1"/>
  <c r="V95" i="12"/>
  <c r="Y82" i="12"/>
  <c r="Y86" i="12" s="1"/>
  <c r="Z83" i="12"/>
  <c r="T11" i="12"/>
  <c r="T13" i="12" s="1"/>
  <c r="W88" i="12"/>
  <c r="W92" i="12" s="1"/>
  <c r="W94" i="12" s="1"/>
  <c r="X89" i="12"/>
  <c r="AO46" i="12" l="1"/>
  <c r="AO52" i="12" s="1"/>
  <c r="AO53" i="12" s="1"/>
  <c r="AO54" i="12"/>
  <c r="T14" i="12"/>
  <c r="AR9" i="12"/>
  <c r="Q41" i="12"/>
  <c r="Q42" i="12" s="1"/>
  <c r="R24" i="12"/>
  <c r="AP47" i="12" s="1"/>
  <c r="R5" i="12"/>
  <c r="Q19" i="12"/>
  <c r="U11" i="12"/>
  <c r="U13" i="12" s="1"/>
  <c r="U14" i="12" s="1"/>
  <c r="Y89" i="12"/>
  <c r="X88" i="12"/>
  <c r="X92" i="12" s="1"/>
  <c r="X94" i="12" s="1"/>
  <c r="W98" i="12"/>
  <c r="W110" i="12" s="1"/>
  <c r="W95" i="12"/>
  <c r="Z82" i="12"/>
  <c r="Z86" i="12" s="1"/>
  <c r="AA83" i="12"/>
  <c r="R98" i="12"/>
  <c r="R110" i="12" s="1"/>
  <c r="R95" i="12"/>
  <c r="T96" i="12" s="1"/>
  <c r="AO55" i="12" l="1"/>
  <c r="AO57" i="12" s="1"/>
  <c r="AR10" i="12"/>
  <c r="AS9" i="12"/>
  <c r="AN5" i="12"/>
  <c r="AN6" i="12" s="1"/>
  <c r="Q20" i="12"/>
  <c r="Q21" i="12"/>
  <c r="Q45" i="12"/>
  <c r="Q44" i="12"/>
  <c r="R7" i="12"/>
  <c r="R17" i="12"/>
  <c r="AP48" i="12" s="1"/>
  <c r="R41" i="12"/>
  <c r="R42" i="12" s="1"/>
  <c r="S24" i="12"/>
  <c r="AQ47" i="12" s="1"/>
  <c r="AB83" i="12"/>
  <c r="AA82" i="12"/>
  <c r="AA86" i="12" s="1"/>
  <c r="X98" i="12"/>
  <c r="X95" i="12"/>
  <c r="X96" i="12" s="1"/>
  <c r="V11" i="12"/>
  <c r="V13" i="12" s="1"/>
  <c r="V14" i="12" s="1"/>
  <c r="Y88" i="12"/>
  <c r="Y92" i="12" s="1"/>
  <c r="Z89" i="12"/>
  <c r="W96" i="12"/>
  <c r="V96" i="12"/>
  <c r="S96" i="12"/>
  <c r="R96" i="12"/>
  <c r="U96" i="12"/>
  <c r="R99" i="12"/>
  <c r="U99" i="12"/>
  <c r="W99" i="12"/>
  <c r="T99" i="12"/>
  <c r="S99" i="12"/>
  <c r="V99" i="12"/>
  <c r="AP46" i="12" l="1"/>
  <c r="AP52" i="12" s="1"/>
  <c r="AP53" i="12" s="1"/>
  <c r="AP54" i="12"/>
  <c r="AS10" i="12"/>
  <c r="AT9" i="12"/>
  <c r="X99" i="12"/>
  <c r="X110" i="12"/>
  <c r="R19" i="12"/>
  <c r="S5" i="12"/>
  <c r="S41" i="12"/>
  <c r="S42" i="12" s="1"/>
  <c r="T24" i="12"/>
  <c r="W11" i="12"/>
  <c r="W13" i="12" s="1"/>
  <c r="W14" i="12" s="1"/>
  <c r="AA89" i="12"/>
  <c r="Z88" i="12"/>
  <c r="Z92" i="12" s="1"/>
  <c r="Z94" i="12" s="1"/>
  <c r="AC83" i="12"/>
  <c r="AB82" i="12"/>
  <c r="AB86" i="12" s="1"/>
  <c r="Y94" i="12"/>
  <c r="AO5" i="12" l="1"/>
  <c r="AP5" i="12" s="1"/>
  <c r="AQ5" i="12" s="1"/>
  <c r="R22" i="12"/>
  <c r="T41" i="12"/>
  <c r="T42" i="12" s="1"/>
  <c r="AR47" i="12"/>
  <c r="AP55" i="12"/>
  <c r="AP57" i="12" s="1"/>
  <c r="AU9" i="12"/>
  <c r="AT10" i="12"/>
  <c r="R21" i="12"/>
  <c r="R20" i="12"/>
  <c r="U24" i="12"/>
  <c r="S7" i="12"/>
  <c r="S17" i="12"/>
  <c r="AQ48" i="12" s="1"/>
  <c r="R45" i="12"/>
  <c r="R44" i="12"/>
  <c r="Y95" i="12"/>
  <c r="Y98" i="12"/>
  <c r="Y110" i="12" s="1"/>
  <c r="AC82" i="12"/>
  <c r="AC86" i="12" s="1"/>
  <c r="AD83" i="12"/>
  <c r="Z98" i="12"/>
  <c r="Z110" i="12" s="1"/>
  <c r="Z95" i="12"/>
  <c r="AA88" i="12"/>
  <c r="AA92" i="12" s="1"/>
  <c r="AB89" i="12"/>
  <c r="X11" i="12"/>
  <c r="X13" i="12" s="1"/>
  <c r="X14" i="12" s="1"/>
  <c r="AO6" i="12" l="1"/>
  <c r="AQ46" i="12"/>
  <c r="AQ52" i="12" s="1"/>
  <c r="AQ53" i="12" s="1"/>
  <c r="AQ54" i="12"/>
  <c r="AV9" i="12"/>
  <c r="AU10" i="12"/>
  <c r="T5" i="12"/>
  <c r="T17" i="12" s="1"/>
  <c r="AR48" i="12" s="1"/>
  <c r="S19" i="12"/>
  <c r="U41" i="12"/>
  <c r="U42" i="12" s="1"/>
  <c r="V24" i="12"/>
  <c r="Y11" i="12"/>
  <c r="Y13" i="12" s="1"/>
  <c r="Y14" i="12" s="1"/>
  <c r="AD82" i="12"/>
  <c r="AD86" i="12" s="1"/>
  <c r="AE83" i="12"/>
  <c r="AB88" i="12"/>
  <c r="AB92" i="12" s="1"/>
  <c r="AB94" i="12" s="1"/>
  <c r="AC89" i="12"/>
  <c r="Y99" i="12"/>
  <c r="Z99" i="12"/>
  <c r="AA94" i="12"/>
  <c r="Z96" i="12"/>
  <c r="Y96" i="12"/>
  <c r="AQ55" i="12" l="1"/>
  <c r="AQ57" i="12" s="1"/>
  <c r="AR46" i="12"/>
  <c r="AR52" i="12" s="1"/>
  <c r="AR54" i="12"/>
  <c r="AS54" i="12"/>
  <c r="AV10" i="12"/>
  <c r="AW9" i="12"/>
  <c r="S21" i="12"/>
  <c r="S20" i="12"/>
  <c r="W24" i="12"/>
  <c r="V41" i="12"/>
  <c r="V42" i="12" s="1"/>
  <c r="S45" i="12"/>
  <c r="S44" i="12"/>
  <c r="T7" i="12"/>
  <c r="AC88" i="12"/>
  <c r="AC92" i="12" s="1"/>
  <c r="AC94" i="12" s="1"/>
  <c r="AD89" i="12"/>
  <c r="AA98" i="12"/>
  <c r="AA110" i="12" s="1"/>
  <c r="AA95" i="12"/>
  <c r="AB98" i="12"/>
  <c r="AB95" i="12"/>
  <c r="Z11" i="12"/>
  <c r="Z13" i="12" s="1"/>
  <c r="Z14" i="12" s="1"/>
  <c r="AF83" i="12"/>
  <c r="AE82" i="12"/>
  <c r="AE86" i="12" s="1"/>
  <c r="AR53" i="12" l="1"/>
  <c r="AR55" i="12" s="1"/>
  <c r="AR57" i="12" s="1"/>
  <c r="AS53" i="12"/>
  <c r="AS55" i="12" s="1"/>
  <c r="AR12" i="12"/>
  <c r="T19" i="12"/>
  <c r="AX9" i="12"/>
  <c r="AW10" i="12"/>
  <c r="U5" i="12"/>
  <c r="W41" i="12"/>
  <c r="W42" i="12" s="1"/>
  <c r="X24" i="12"/>
  <c r="AG83" i="12"/>
  <c r="AF82" i="12"/>
  <c r="AF86" i="12" s="1"/>
  <c r="AB96" i="12"/>
  <c r="AA96" i="12"/>
  <c r="AA11" i="12"/>
  <c r="AA13" i="12" s="1"/>
  <c r="AA14" i="12" s="1"/>
  <c r="AB99" i="12"/>
  <c r="AA99" i="12"/>
  <c r="AE89" i="12"/>
  <c r="AD88" i="12"/>
  <c r="AD92" i="12" s="1"/>
  <c r="AD94" i="12" s="1"/>
  <c r="AC95" i="12"/>
  <c r="AC96" i="12" s="1"/>
  <c r="AC98" i="12"/>
  <c r="AC99" i="12" s="1"/>
  <c r="T22" i="12" l="1"/>
  <c r="T16" i="12"/>
  <c r="T20" i="12"/>
  <c r="AY9" i="12"/>
  <c r="AX10" i="12"/>
  <c r="T21" i="12"/>
  <c r="AS12" i="12"/>
  <c r="AR15" i="12"/>
  <c r="X41" i="12"/>
  <c r="X42" i="12" s="1"/>
  <c r="Y24" i="12"/>
  <c r="U17" i="12"/>
  <c r="U7" i="12"/>
  <c r="T45" i="12"/>
  <c r="T44" i="12"/>
  <c r="AB11" i="12"/>
  <c r="AB13" i="12" s="1"/>
  <c r="AB14" i="12" s="1"/>
  <c r="AD98" i="12"/>
  <c r="AD99" i="12" s="1"/>
  <c r="AD95" i="12"/>
  <c r="AD96" i="12" s="1"/>
  <c r="AF89" i="12"/>
  <c r="AE88" i="12"/>
  <c r="AE92" i="12" s="1"/>
  <c r="AE94" i="12" s="1"/>
  <c r="AH83" i="12"/>
  <c r="AI83" i="12" s="1"/>
  <c r="AG82" i="12"/>
  <c r="AG86" i="12" s="1"/>
  <c r="AS13" i="12" l="1"/>
  <c r="AT12" i="12"/>
  <c r="AS15" i="12"/>
  <c r="AZ9" i="12"/>
  <c r="AY10" i="12"/>
  <c r="V5" i="12"/>
  <c r="U19" i="12"/>
  <c r="Y41" i="12"/>
  <c r="Y42" i="12" s="1"/>
  <c r="Z24" i="12"/>
  <c r="AF88" i="12"/>
  <c r="AF92" i="12" s="1"/>
  <c r="AF94" i="12" s="1"/>
  <c r="AG89" i="12"/>
  <c r="AC11" i="12"/>
  <c r="AC13" i="12" s="1"/>
  <c r="AC14" i="12" s="1"/>
  <c r="AH82" i="12"/>
  <c r="AH86" i="12" s="1"/>
  <c r="AH87" i="12" s="1"/>
  <c r="AE98" i="12"/>
  <c r="AE99" i="12" s="1"/>
  <c r="AE95" i="12"/>
  <c r="AE96" i="12" s="1"/>
  <c r="AU12" i="12" l="1"/>
  <c r="AT13" i="12"/>
  <c r="AT15" i="12"/>
  <c r="BA9" i="12"/>
  <c r="AZ10" i="12"/>
  <c r="AI82" i="12"/>
  <c r="AI86" i="12" s="1"/>
  <c r="AI87" i="12" s="1"/>
  <c r="U45" i="12"/>
  <c r="U20" i="12"/>
  <c r="U21" i="12"/>
  <c r="AA24" i="12"/>
  <c r="Z41" i="12"/>
  <c r="Z42" i="12" s="1"/>
  <c r="U44" i="12"/>
  <c r="V17" i="12"/>
  <c r="V7" i="12"/>
  <c r="AF98" i="12"/>
  <c r="AF99" i="12" s="1"/>
  <c r="AF95" i="12"/>
  <c r="AF96" i="12" s="1"/>
  <c r="AD11" i="12"/>
  <c r="AD13" i="12" s="1"/>
  <c r="AD14" i="12" s="1"/>
  <c r="AG88" i="12"/>
  <c r="AG92" i="12" s="1"/>
  <c r="AG94" i="12" s="1"/>
  <c r="AH89" i="12"/>
  <c r="AI89" i="12" s="1"/>
  <c r="AV12" i="12" l="1"/>
  <c r="AU13" i="12"/>
  <c r="AU15" i="12"/>
  <c r="BB9" i="12"/>
  <c r="BA10" i="12"/>
  <c r="W5" i="12"/>
  <c r="V19" i="12"/>
  <c r="AA41" i="12"/>
  <c r="AA42" i="12" s="1"/>
  <c r="AB24" i="12"/>
  <c r="AH88" i="12"/>
  <c r="AH92" i="12" s="1"/>
  <c r="AH93" i="12" s="1"/>
  <c r="AE11" i="12"/>
  <c r="AE13" i="12" s="1"/>
  <c r="AE14" i="12" s="1"/>
  <c r="AG95" i="12"/>
  <c r="AG96" i="12" s="1"/>
  <c r="AG98" i="12"/>
  <c r="AG99" i="12" s="1"/>
  <c r="AV13" i="12" l="1"/>
  <c r="AW12" i="12"/>
  <c r="AV15" i="12"/>
  <c r="BC9" i="12"/>
  <c r="BB10" i="12"/>
  <c r="AI88" i="12"/>
  <c r="AI92" i="12" s="1"/>
  <c r="V45" i="12"/>
  <c r="V20" i="12"/>
  <c r="V21" i="12"/>
  <c r="AH94" i="12"/>
  <c r="AH95" i="12" s="1"/>
  <c r="AH96" i="12" s="1"/>
  <c r="V44" i="12"/>
  <c r="AC24" i="12"/>
  <c r="AB41" i="12"/>
  <c r="AB42" i="12" s="1"/>
  <c r="W17" i="12"/>
  <c r="W7" i="12"/>
  <c r="AF11" i="12"/>
  <c r="AF13" i="12" s="1"/>
  <c r="AF14" i="12" s="1"/>
  <c r="BC10" i="12" l="1"/>
  <c r="BD9" i="12"/>
  <c r="AW13" i="12"/>
  <c r="AX12" i="12"/>
  <c r="AW15" i="12"/>
  <c r="AI93" i="12"/>
  <c r="AI94" i="12"/>
  <c r="AH98" i="12"/>
  <c r="AH99" i="12" s="1"/>
  <c r="AD24" i="12"/>
  <c r="AC41" i="12"/>
  <c r="AC42" i="12" s="1"/>
  <c r="W19" i="12"/>
  <c r="X5" i="12"/>
  <c r="AG11" i="12"/>
  <c r="AG13" i="12" s="1"/>
  <c r="AG14" i="12" s="1"/>
  <c r="AX13" i="12" l="1"/>
  <c r="AY12" i="12"/>
  <c r="AX15" i="12"/>
  <c r="BD10" i="12"/>
  <c r="BE9" i="12"/>
  <c r="AI98" i="12"/>
  <c r="AI99" i="12" s="1"/>
  <c r="AI95" i="12"/>
  <c r="AI96" i="12" s="1"/>
  <c r="W20" i="12"/>
  <c r="W21" i="12"/>
  <c r="X17" i="12"/>
  <c r="X7" i="12"/>
  <c r="W45" i="12"/>
  <c r="W44" i="12"/>
  <c r="AE24" i="12"/>
  <c r="AD41" i="12"/>
  <c r="AD42" i="12" s="1"/>
  <c r="AH11" i="12"/>
  <c r="AH13" i="12" s="1"/>
  <c r="BF9" i="12" l="1"/>
  <c r="BE10" i="12"/>
  <c r="AY13" i="12"/>
  <c r="AZ12" i="12"/>
  <c r="AY15" i="12"/>
  <c r="AH14" i="12"/>
  <c r="AI11" i="12"/>
  <c r="AI13" i="12" s="1"/>
  <c r="Y5" i="12"/>
  <c r="X19" i="12"/>
  <c r="AF24" i="12"/>
  <c r="AE41" i="12"/>
  <c r="AE42" i="12" s="1"/>
  <c r="BA12" i="12" l="1"/>
  <c r="AZ13" i="12"/>
  <c r="AZ15" i="12"/>
  <c r="BF10" i="12"/>
  <c r="AI14" i="12"/>
  <c r="X21" i="12"/>
  <c r="X20" i="12"/>
  <c r="AF41" i="12"/>
  <c r="AF42" i="12" s="1"/>
  <c r="AG24" i="12"/>
  <c r="X45" i="12"/>
  <c r="X44" i="12"/>
  <c r="Y17" i="12"/>
  <c r="Y7" i="12"/>
  <c r="BB12" i="12" l="1"/>
  <c r="BA13" i="12"/>
  <c r="BA15" i="12"/>
  <c r="Z5" i="12"/>
  <c r="Y19" i="12"/>
  <c r="AG41" i="12"/>
  <c r="AG42" i="12" s="1"/>
  <c r="AH24" i="12"/>
  <c r="AI24" i="12" s="1"/>
  <c r="BC12" i="12" l="1"/>
  <c r="BB13" i="12"/>
  <c r="BB15" i="12"/>
  <c r="AH41" i="12"/>
  <c r="AH42" i="12" s="1"/>
  <c r="AI41" i="12"/>
  <c r="AI42" i="12" s="1"/>
  <c r="Y45" i="12"/>
  <c r="Y20" i="12"/>
  <c r="Y21" i="12"/>
  <c r="Y44" i="12"/>
  <c r="Z7" i="12"/>
  <c r="Z17" i="12"/>
  <c r="BC13" i="12" l="1"/>
  <c r="BD12" i="12"/>
  <c r="BC15" i="12"/>
  <c r="AA5" i="12"/>
  <c r="Z19" i="12"/>
  <c r="BE12" i="12" l="1"/>
  <c r="BD13" i="12"/>
  <c r="BD15" i="12"/>
  <c r="Z21" i="12"/>
  <c r="Z20" i="12"/>
  <c r="Z45" i="12"/>
  <c r="Z44" i="12"/>
  <c r="AA7" i="12"/>
  <c r="AA17" i="12"/>
  <c r="BF12" i="12" l="1"/>
  <c r="BE13" i="12"/>
  <c r="BE15" i="12"/>
  <c r="AB5" i="12"/>
  <c r="AA19" i="12"/>
  <c r="AA20" i="12" s="1"/>
  <c r="BF13" i="12" l="1"/>
  <c r="BF15" i="12"/>
  <c r="AA21" i="12"/>
  <c r="AA45" i="12"/>
  <c r="AA44" i="12"/>
  <c r="AB17" i="12"/>
  <c r="AB7" i="12"/>
  <c r="AC5" i="12" l="1"/>
  <c r="AB19" i="12"/>
  <c r="AB21" i="12" l="1"/>
  <c r="AB20" i="12"/>
  <c r="S9" i="3" s="1"/>
  <c r="AB45" i="12"/>
  <c r="AB44" i="12"/>
  <c r="AC17" i="12"/>
  <c r="AC7" i="12"/>
  <c r="AD5" i="12" l="1"/>
  <c r="AC19" i="12"/>
  <c r="AC45" i="12" l="1"/>
  <c r="AC20" i="12"/>
  <c r="T9" i="3" s="1"/>
  <c r="AC21" i="12"/>
  <c r="AC44" i="12"/>
  <c r="AD7" i="12"/>
  <c r="AD17" i="12"/>
  <c r="AD19" i="12" l="1"/>
  <c r="AE5" i="12"/>
  <c r="AD20" i="12" l="1"/>
  <c r="U9" i="3" s="1"/>
  <c r="AD21" i="12"/>
  <c r="AE7" i="12"/>
  <c r="AE17" i="12"/>
  <c r="AD45" i="12"/>
  <c r="AD44" i="12"/>
  <c r="AF5" i="12" l="1"/>
  <c r="AE19" i="12"/>
  <c r="AE20" i="12" l="1"/>
  <c r="V9" i="3" s="1"/>
  <c r="AE21" i="12"/>
  <c r="AE45" i="12"/>
  <c r="AE44" i="12"/>
  <c r="AF17" i="12"/>
  <c r="AF7" i="12"/>
  <c r="AG5" i="12" l="1"/>
  <c r="AF19" i="12"/>
  <c r="AF45" i="12" l="1"/>
  <c r="AF21" i="12"/>
  <c r="AF20" i="12"/>
  <c r="W9" i="3" s="1"/>
  <c r="AF44" i="12"/>
  <c r="AG17" i="12"/>
  <c r="AG7" i="12"/>
  <c r="AG19" i="12" l="1"/>
  <c r="AH5" i="12"/>
  <c r="AG20" i="12" l="1"/>
  <c r="X9" i="3" s="1"/>
  <c r="AG21" i="12"/>
  <c r="AH17" i="12"/>
  <c r="AH7" i="12"/>
  <c r="AG45" i="12"/>
  <c r="AG44" i="12"/>
  <c r="AH19" i="12" l="1"/>
  <c r="AH44" i="12" s="1"/>
  <c r="AI5" i="12"/>
  <c r="AH21" i="12" l="1"/>
  <c r="AH45" i="12"/>
  <c r="AH20" i="12"/>
  <c r="AI17" i="12"/>
  <c r="AI7" i="12"/>
  <c r="AI19" i="12" s="1"/>
  <c r="AI22" i="12" s="1"/>
  <c r="X373" i="2"/>
  <c r="U373" i="2"/>
  <c r="R373" i="2"/>
  <c r="X154" i="1"/>
  <c r="U154" i="1"/>
  <c r="R154" i="1"/>
  <c r="W146" i="1"/>
  <c r="W145" i="1"/>
  <c r="V146" i="1"/>
  <c r="V145" i="1"/>
  <c r="T146" i="1"/>
  <c r="T145" i="1"/>
  <c r="S146" i="1"/>
  <c r="S145" i="1"/>
  <c r="Q146" i="1"/>
  <c r="Q145" i="1"/>
  <c r="P146" i="1"/>
  <c r="P145" i="1"/>
  <c r="X141" i="1"/>
  <c r="X136" i="1"/>
  <c r="X127" i="1"/>
  <c r="U141" i="1"/>
  <c r="U136" i="1"/>
  <c r="U127" i="1"/>
  <c r="R141" i="1"/>
  <c r="R136" i="1"/>
  <c r="R127" i="1"/>
  <c r="J148" i="1"/>
  <c r="Y9" i="3" l="1"/>
  <c r="AI44" i="12"/>
  <c r="U145" i="1"/>
  <c r="R145" i="1"/>
  <c r="X145" i="1"/>
  <c r="X146" i="1"/>
  <c r="U146" i="1"/>
  <c r="R146" i="1"/>
  <c r="W43" i="4" l="1"/>
  <c r="V43" i="4"/>
  <c r="U43" i="4"/>
  <c r="AI20" i="12"/>
  <c r="Z9" i="3" s="1"/>
  <c r="AA9" i="3" s="1"/>
  <c r="AB9" i="3" s="1"/>
  <c r="AI21" i="12"/>
  <c r="AI45" i="12"/>
  <c r="J370" i="2"/>
  <c r="J338" i="2"/>
  <c r="K334" i="2" s="1"/>
  <c r="J336" i="2"/>
  <c r="J130" i="1"/>
  <c r="K130" i="1" s="1"/>
  <c r="J373" i="2" l="1"/>
  <c r="R144" i="1"/>
  <c r="P79" i="1"/>
  <c r="Q79" i="1" s="1"/>
  <c r="R79" i="1" s="1"/>
  <c r="U144" i="1" l="1"/>
  <c r="X144" i="1"/>
  <c r="J415" i="2" l="1"/>
  <c r="J110" i="1" l="1"/>
  <c r="I389" i="2" l="1"/>
  <c r="I288" i="2" s="1"/>
  <c r="AA100" i="2" l="1"/>
  <c r="AA82" i="2"/>
  <c r="AA61" i="2"/>
  <c r="AA31" i="2" s="1"/>
  <c r="Y31" i="2"/>
  <c r="Z31" i="2"/>
  <c r="Y32" i="2"/>
  <c r="Z32" i="2"/>
  <c r="Z44" i="2"/>
  <c r="Z500" i="2" s="1"/>
  <c r="F107" i="2"/>
  <c r="AA32" i="2" l="1"/>
  <c r="J60" i="2"/>
  <c r="F116" i="2"/>
  <c r="G42" i="2"/>
  <c r="H42" i="2" s="1"/>
  <c r="I42" i="2" l="1"/>
  <c r="J42" i="2" s="1"/>
  <c r="K42" i="2" s="1"/>
  <c r="L42" i="2" l="1"/>
  <c r="T42" i="2" l="1"/>
  <c r="U42" i="2" s="1"/>
  <c r="V42" i="2" s="1"/>
  <c r="W42" i="2" s="1"/>
  <c r="X42" i="2" s="1"/>
  <c r="Y42" i="2" s="1"/>
  <c r="Z42" i="2" s="1"/>
  <c r="AA42" i="2" s="1"/>
  <c r="AB42" i="2" s="1"/>
  <c r="AC42" i="2" s="1"/>
  <c r="AD42" i="2" s="1"/>
  <c r="AE42" i="2" s="1"/>
  <c r="AF42" i="2" s="1"/>
  <c r="AG42" i="2" s="1"/>
  <c r="AH42" i="2" s="1"/>
  <c r="AI42" i="2" s="1"/>
  <c r="AJ42" i="2" s="1"/>
  <c r="AK42" i="2" s="1"/>
  <c r="AL42" i="2" s="1"/>
  <c r="AM42" i="2" s="1"/>
  <c r="AN42" i="2" s="1"/>
  <c r="AO42" i="2" s="1"/>
  <c r="AP42" i="2" s="1"/>
  <c r="AQ42" i="2" s="1"/>
  <c r="AR42" i="2" s="1"/>
  <c r="AS42" i="2" s="1"/>
  <c r="AT42" i="2" s="1"/>
  <c r="AU42" i="2" l="1"/>
  <c r="G479" i="2"/>
  <c r="H479" i="2" s="1"/>
  <c r="I479" i="2" s="1"/>
  <c r="J479" i="2" s="1"/>
  <c r="K479" i="2" s="1"/>
  <c r="J450" i="2"/>
  <c r="G63" i="1"/>
  <c r="G66" i="1" s="1"/>
  <c r="H63" i="1"/>
  <c r="H66" i="1" s="1"/>
  <c r="G64" i="1"/>
  <c r="H64" i="1"/>
  <c r="F66" i="1"/>
  <c r="H56" i="1"/>
  <c r="G50" i="1"/>
  <c r="I50" i="1"/>
  <c r="H37" i="4" s="1"/>
  <c r="F50" i="1"/>
  <c r="G37" i="4" s="1"/>
  <c r="H307" i="2"/>
  <c r="G308" i="2"/>
  <c r="I308" i="2"/>
  <c r="F308" i="2"/>
  <c r="I33" i="1"/>
  <c r="F33" i="1"/>
  <c r="AV42" i="2" l="1"/>
  <c r="H50" i="1"/>
  <c r="H315" i="2"/>
  <c r="H296" i="2" s="1"/>
  <c r="K66" i="1"/>
  <c r="R321" i="2"/>
  <c r="M325" i="2"/>
  <c r="M326" i="2" s="1"/>
  <c r="L479" i="2"/>
  <c r="M479" i="2" s="1"/>
  <c r="H308" i="2"/>
  <c r="Q321" i="2" l="1"/>
  <c r="P321" i="2"/>
  <c r="P325" i="2"/>
  <c r="P327" i="2" s="1"/>
  <c r="Q325" i="2" s="1"/>
  <c r="R325" i="2"/>
  <c r="R327" i="2" s="1"/>
  <c r="U325" i="2" l="1"/>
  <c r="U327" i="2" s="1"/>
  <c r="X321" i="2" s="1"/>
  <c r="U321" i="2"/>
  <c r="Q327" i="2"/>
  <c r="S325" i="2"/>
  <c r="S327" i="2" s="1"/>
  <c r="T325" i="2" s="1"/>
  <c r="T327" i="2" s="1"/>
  <c r="P358" i="2"/>
  <c r="Q358" i="2"/>
  <c r="X325" i="2" l="1"/>
  <c r="X327" i="2" s="1"/>
  <c r="AA321" i="2" s="1"/>
  <c r="Y321" i="2" s="1"/>
  <c r="V325" i="2"/>
  <c r="V327" i="2" s="1"/>
  <c r="W325" i="2" s="1"/>
  <c r="W327" i="2" s="1"/>
  <c r="S321" i="2"/>
  <c r="T321" i="2"/>
  <c r="W321" i="2"/>
  <c r="V321" i="2"/>
  <c r="R358" i="2"/>
  <c r="AA325" i="2" l="1"/>
  <c r="AA327" i="2" s="1"/>
  <c r="AD321" i="2" s="1"/>
  <c r="AC321" i="2" s="1"/>
  <c r="Z321" i="2"/>
  <c r="Y325" i="2"/>
  <c r="Y327" i="2" s="1"/>
  <c r="Z325" i="2" s="1"/>
  <c r="Z327" i="2" s="1"/>
  <c r="Q479" i="2"/>
  <c r="AB321" i="2" l="1"/>
  <c r="AB325" i="2"/>
  <c r="AB327" i="2" s="1"/>
  <c r="AC325" i="2" s="1"/>
  <c r="AC327" i="2" s="1"/>
  <c r="AD325" i="2"/>
  <c r="AD327" i="2" s="1"/>
  <c r="AG321" i="2" s="1"/>
  <c r="AF321" i="2" s="1"/>
  <c r="T358" i="2"/>
  <c r="U358" i="2" s="1"/>
  <c r="V358" i="2"/>
  <c r="S479" i="2"/>
  <c r="AE321" i="2" l="1"/>
  <c r="AG325" i="2"/>
  <c r="AG327" i="2" s="1"/>
  <c r="AJ321" i="2" s="1"/>
  <c r="AH321" i="2" s="1"/>
  <c r="AE325" i="2"/>
  <c r="AE327" i="2" s="1"/>
  <c r="AF325" i="2" s="1"/>
  <c r="AF327" i="2" s="1"/>
  <c r="T479" i="2"/>
  <c r="U479" i="2" s="1"/>
  <c r="AI321" i="2" l="1"/>
  <c r="AJ325" i="2"/>
  <c r="AJ327" i="2" s="1"/>
  <c r="AM321" i="2" s="1"/>
  <c r="AL321" i="2" s="1"/>
  <c r="AH325" i="2"/>
  <c r="AH327" i="2" s="1"/>
  <c r="AI325" i="2" s="1"/>
  <c r="AI327" i="2" s="1"/>
  <c r="W358" i="2"/>
  <c r="X358" i="2" s="1"/>
  <c r="V479" i="2"/>
  <c r="AK321" i="2" l="1"/>
  <c r="AK325" i="2"/>
  <c r="AK327" i="2" s="1"/>
  <c r="AL325" i="2" s="1"/>
  <c r="AL327" i="2" s="1"/>
  <c r="AM325" i="2"/>
  <c r="AM327" i="2" s="1"/>
  <c r="AP321" i="2" s="1"/>
  <c r="AN321" i="2" s="1"/>
  <c r="W479" i="2"/>
  <c r="X479" i="2" s="1"/>
  <c r="Y479" i="2" s="1"/>
  <c r="AO321" i="2" l="1"/>
  <c r="AN325" i="2"/>
  <c r="AN327" i="2" s="1"/>
  <c r="AO325" i="2" s="1"/>
  <c r="AO327" i="2" s="1"/>
  <c r="AP325" i="2"/>
  <c r="AP327" i="2" s="1"/>
  <c r="AS321" i="2" s="1"/>
  <c r="AR321" i="2" s="1"/>
  <c r="Z479" i="2"/>
  <c r="F18" i="1"/>
  <c r="G18" i="1"/>
  <c r="AQ321" i="2" l="1"/>
  <c r="AQ325" i="2"/>
  <c r="AQ327" i="2" s="1"/>
  <c r="AR325" i="2" s="1"/>
  <c r="AR327" i="2" s="1"/>
  <c r="AS325" i="2"/>
  <c r="AS327" i="2" s="1"/>
  <c r="AA479" i="2"/>
  <c r="AB479" i="2" s="1"/>
  <c r="AC479" i="2" s="1"/>
  <c r="AD479" i="2" s="1"/>
  <c r="AE479" i="2" s="1"/>
  <c r="AF479" i="2" s="1"/>
  <c r="AG479" i="2" s="1"/>
  <c r="AH479" i="2" s="1"/>
  <c r="AI479" i="2" s="1"/>
  <c r="AJ479" i="2" s="1"/>
  <c r="AK479" i="2" s="1"/>
  <c r="AL479" i="2" s="1"/>
  <c r="AM479" i="2" s="1"/>
  <c r="AN479" i="2" s="1"/>
  <c r="AO479" i="2" s="1"/>
  <c r="AP479" i="2" s="1"/>
  <c r="AQ479" i="2" s="1"/>
  <c r="I19" i="1"/>
  <c r="J19" i="1"/>
  <c r="K153" i="1"/>
  <c r="P101" i="1"/>
  <c r="Q101" i="1" s="1"/>
  <c r="R101" i="1" s="1"/>
  <c r="AV325" i="2" l="1"/>
  <c r="AV327" i="2" s="1"/>
  <c r="AT325" i="2"/>
  <c r="AT327" i="2" s="1"/>
  <c r="AU325" i="2" s="1"/>
  <c r="AU327" i="2" s="1"/>
  <c r="AV321" i="2"/>
  <c r="AR479" i="2"/>
  <c r="P78" i="1"/>
  <c r="Q78" i="1" s="1"/>
  <c r="R78" i="1" s="1"/>
  <c r="K128" i="1"/>
  <c r="L128" i="1" s="1"/>
  <c r="I472" i="2"/>
  <c r="AU321" i="2" l="1"/>
  <c r="AU63" i="1" s="1"/>
  <c r="AU66" i="1" s="1"/>
  <c r="AT321" i="2"/>
  <c r="AT63" i="1" s="1"/>
  <c r="AT66" i="1" s="1"/>
  <c r="AV63" i="1"/>
  <c r="AV66" i="1" s="1"/>
  <c r="J472" i="2"/>
  <c r="J42" i="1" s="1"/>
  <c r="J469" i="2"/>
  <c r="AS479" i="2"/>
  <c r="AT479" i="2" s="1"/>
  <c r="AU479" i="2" s="1"/>
  <c r="AV479" i="2" s="1"/>
  <c r="J467" i="2"/>
  <c r="K466" i="2"/>
  <c r="S101" i="1" l="1"/>
  <c r="T101" i="1" l="1"/>
  <c r="U101" i="1" s="1"/>
  <c r="Q128" i="1"/>
  <c r="P128" i="1"/>
  <c r="H142" i="1"/>
  <c r="H143" i="1"/>
  <c r="H144" i="1"/>
  <c r="H145" i="1"/>
  <c r="H146" i="1"/>
  <c r="H141" i="1"/>
  <c r="G148" i="1"/>
  <c r="H136" i="1"/>
  <c r="H135" i="1"/>
  <c r="H134" i="1"/>
  <c r="J137" i="1"/>
  <c r="I137" i="1"/>
  <c r="G137" i="1"/>
  <c r="F137" i="1"/>
  <c r="Q41" i="4" s="1"/>
  <c r="Q40" i="4" s="1"/>
  <c r="H124" i="1"/>
  <c r="H125" i="1"/>
  <c r="H126" i="1"/>
  <c r="H127" i="1"/>
  <c r="H128" i="1"/>
  <c r="H123" i="1"/>
  <c r="G130" i="1"/>
  <c r="H129" i="1"/>
  <c r="I130" i="1"/>
  <c r="F130" i="1"/>
  <c r="Q37" i="4" s="1"/>
  <c r="Q36" i="4" s="1"/>
  <c r="G42" i="1"/>
  <c r="H42" i="1"/>
  <c r="G43" i="1"/>
  <c r="H43" i="1"/>
  <c r="I473" i="2"/>
  <c r="I43" i="1" s="1"/>
  <c r="I42" i="1"/>
  <c r="F473" i="2"/>
  <c r="F43" i="1" s="1"/>
  <c r="F42" i="1"/>
  <c r="F14" i="3"/>
  <c r="I469" i="2"/>
  <c r="I474" i="2" s="1"/>
  <c r="F469" i="2"/>
  <c r="I292" i="2" l="1"/>
  <c r="H474" i="2"/>
  <c r="H292" i="2" s="1"/>
  <c r="F152" i="1"/>
  <c r="I152" i="1"/>
  <c r="V101" i="1"/>
  <c r="S78" i="1"/>
  <c r="T78" i="1" s="1"/>
  <c r="U78" i="1" s="1"/>
  <c r="F474" i="2"/>
  <c r="F292" i="2" s="1"/>
  <c r="J152" i="1"/>
  <c r="J156" i="1" s="1"/>
  <c r="J464" i="2"/>
  <c r="K463" i="2"/>
  <c r="K469" i="2" s="1"/>
  <c r="G152" i="1"/>
  <c r="G156" i="1" s="1"/>
  <c r="H130" i="1"/>
  <c r="H148" i="1"/>
  <c r="H137" i="1"/>
  <c r="G44" i="1"/>
  <c r="I44" i="1"/>
  <c r="H35" i="4" s="1"/>
  <c r="H44" i="1"/>
  <c r="F44" i="1"/>
  <c r="G35" i="4" s="1"/>
  <c r="P446" i="2"/>
  <c r="S446" i="2"/>
  <c r="V446" i="2"/>
  <c r="I440" i="2"/>
  <c r="I457" i="2" s="1"/>
  <c r="I156" i="1" l="1"/>
  <c r="F156" i="1"/>
  <c r="Q46" i="4"/>
  <c r="W101" i="1"/>
  <c r="X101" i="1" s="1"/>
  <c r="Y101" i="1" s="1"/>
  <c r="Z101" i="1" s="1"/>
  <c r="AA101" i="1" s="1"/>
  <c r="AB101" i="1" s="1"/>
  <c r="AC101" i="1" s="1"/>
  <c r="AD101" i="1" s="1"/>
  <c r="AE101" i="1" s="1"/>
  <c r="AF101" i="1" s="1"/>
  <c r="AG101" i="1" s="1"/>
  <c r="AH101" i="1" s="1"/>
  <c r="AI101" i="1" s="1"/>
  <c r="AJ101" i="1" s="1"/>
  <c r="AK101" i="1" s="1"/>
  <c r="AL101" i="1" s="1"/>
  <c r="AM101" i="1" s="1"/>
  <c r="AN101" i="1" s="1"/>
  <c r="AO101" i="1" s="1"/>
  <c r="AP101" i="1" s="1"/>
  <c r="AQ101" i="1" s="1"/>
  <c r="H152" i="1"/>
  <c r="H156" i="1" s="1"/>
  <c r="I163" i="1" l="1"/>
  <c r="AR101" i="1"/>
  <c r="T128" i="1"/>
  <c r="S128" i="1"/>
  <c r="K454" i="2"/>
  <c r="K472" i="2" s="1"/>
  <c r="K42" i="1" s="1"/>
  <c r="AS101" i="1" l="1"/>
  <c r="AT101" i="1" s="1"/>
  <c r="AU101" i="1" s="1"/>
  <c r="AV101" i="1" s="1"/>
  <c r="V78" i="1"/>
  <c r="W78" i="1" s="1"/>
  <c r="X78" i="1" s="1"/>
  <c r="X432" i="2"/>
  <c r="U432" i="2"/>
  <c r="R432" i="2"/>
  <c r="L431" i="2"/>
  <c r="K431" i="2"/>
  <c r="J431" i="2"/>
  <c r="J432" i="2" s="1"/>
  <c r="R437" i="2"/>
  <c r="U437" i="2"/>
  <c r="X437" i="2"/>
  <c r="J436" i="2"/>
  <c r="L436" i="2"/>
  <c r="K436" i="2"/>
  <c r="Y78" i="1" l="1"/>
  <c r="Y128" i="1" s="1"/>
  <c r="V128" i="1"/>
  <c r="J440" i="2"/>
  <c r="J457" i="2" s="1"/>
  <c r="J437" i="2"/>
  <c r="Z78" i="1" l="1"/>
  <c r="AA78" i="1" s="1"/>
  <c r="W128" i="1"/>
  <c r="AB78" i="1" l="1"/>
  <c r="AC78" i="1" s="1"/>
  <c r="Z128" i="1"/>
  <c r="AA128" i="1" s="1"/>
  <c r="AB128" i="1" l="1"/>
  <c r="AC128" i="1"/>
  <c r="AD78" i="1"/>
  <c r="AE78" i="1" s="1"/>
  <c r="AD128" i="1" l="1"/>
  <c r="AE128" i="1"/>
  <c r="AF78" i="1"/>
  <c r="AG78" i="1" s="1"/>
  <c r="AH78" i="1" s="1"/>
  <c r="AF128" i="1" l="1"/>
  <c r="AG128" i="1" s="1"/>
  <c r="AH128" i="1"/>
  <c r="AI78" i="1"/>
  <c r="AJ78" i="1" s="1"/>
  <c r="AK78" i="1" s="1"/>
  <c r="AI128" i="1" l="1"/>
  <c r="AJ128" i="1" s="1"/>
  <c r="AK128" i="1"/>
  <c r="AL78" i="1"/>
  <c r="AM78" i="1" s="1"/>
  <c r="AN78" i="1" s="1"/>
  <c r="AL128" i="1" l="1"/>
  <c r="AM128" i="1" s="1"/>
  <c r="AN128" i="1"/>
  <c r="AO78" i="1"/>
  <c r="AP78" i="1" s="1"/>
  <c r="G325" i="2"/>
  <c r="G326" i="2" s="1"/>
  <c r="H325" i="2"/>
  <c r="H326" i="2" s="1"/>
  <c r="I325" i="2"/>
  <c r="I326" i="2" s="1"/>
  <c r="J325" i="2"/>
  <c r="J326" i="2" s="1"/>
  <c r="K325" i="2"/>
  <c r="K326" i="2" s="1"/>
  <c r="AQ78" i="1" l="1"/>
  <c r="AQ128" i="1" s="1"/>
  <c r="AO128" i="1"/>
  <c r="AP128" i="1" s="1"/>
  <c r="L64" i="1"/>
  <c r="J417" i="2"/>
  <c r="J416" i="2"/>
  <c r="G392" i="2"/>
  <c r="I392" i="2"/>
  <c r="F392" i="2"/>
  <c r="J34" i="1"/>
  <c r="I371" i="2"/>
  <c r="I34" i="1" s="1"/>
  <c r="I35" i="1" s="1"/>
  <c r="G371" i="2"/>
  <c r="G34" i="1" s="1"/>
  <c r="F371" i="2"/>
  <c r="F34" i="1" s="1"/>
  <c r="F35" i="1" s="1"/>
  <c r="I372" i="2"/>
  <c r="G372" i="2"/>
  <c r="F372" i="2"/>
  <c r="H376" i="2"/>
  <c r="H372" i="2" s="1"/>
  <c r="I335" i="2"/>
  <c r="F335" i="2"/>
  <c r="H379" i="2"/>
  <c r="G357" i="2"/>
  <c r="H357" i="2" s="1"/>
  <c r="G341" i="2"/>
  <c r="F389" i="2"/>
  <c r="F288" i="2" s="1"/>
  <c r="J418" i="2" l="1"/>
  <c r="L61" i="1"/>
  <c r="F9" i="4"/>
  <c r="J61" i="1"/>
  <c r="I64" i="1"/>
  <c r="I63" i="1"/>
  <c r="I60" i="1" s="1"/>
  <c r="J60" i="1"/>
  <c r="K60" i="1" s="1"/>
  <c r="AR78" i="1"/>
  <c r="AS78" i="1" s="1"/>
  <c r="L66" i="1"/>
  <c r="G389" i="2"/>
  <c r="G288" i="2" s="1"/>
  <c r="I395" i="2"/>
  <c r="F395" i="2"/>
  <c r="G335" i="2"/>
  <c r="G395" i="2" s="1"/>
  <c r="G33" i="1"/>
  <c r="G35" i="1" s="1"/>
  <c r="H392" i="2"/>
  <c r="H341" i="2"/>
  <c r="AT78" i="1" l="1"/>
  <c r="AU78" i="1" s="1"/>
  <c r="F8" i="4"/>
  <c r="K61" i="1"/>
  <c r="I61" i="1"/>
  <c r="AR128" i="1"/>
  <c r="AS128" i="1" s="1"/>
  <c r="I66" i="1"/>
  <c r="J66" i="1"/>
  <c r="N63" i="1"/>
  <c r="N66" i="1" s="1"/>
  <c r="H335" i="2"/>
  <c r="H33" i="1"/>
  <c r="K383" i="2"/>
  <c r="N384" i="2" s="1"/>
  <c r="L384" i="2"/>
  <c r="J384" i="2"/>
  <c r="H383" i="2"/>
  <c r="P88" i="1"/>
  <c r="Q88" i="1" s="1"/>
  <c r="R88" i="1" s="1"/>
  <c r="I349" i="2"/>
  <c r="I336" i="2"/>
  <c r="F336" i="2"/>
  <c r="AU128" i="1" l="1"/>
  <c r="AV78" i="1"/>
  <c r="AT128" i="1"/>
  <c r="P83" i="1"/>
  <c r="Q83" i="1" s="1"/>
  <c r="R83" i="1" s="1"/>
  <c r="R323" i="2"/>
  <c r="D41" i="3" s="1"/>
  <c r="H19" i="22"/>
  <c r="O64" i="1"/>
  <c r="O63" i="1"/>
  <c r="O66" i="1" s="1"/>
  <c r="H389" i="2"/>
  <c r="H288" i="2" s="1"/>
  <c r="H371" i="2"/>
  <c r="H34" i="1" s="1"/>
  <c r="H35" i="1" s="1"/>
  <c r="K384" i="2"/>
  <c r="AV128" i="1" l="1"/>
  <c r="U323" i="2"/>
  <c r="P323" i="2"/>
  <c r="P64" i="1" s="1"/>
  <c r="Q323" i="2"/>
  <c r="H395" i="2"/>
  <c r="P63" i="1"/>
  <c r="P66" i="1" s="1"/>
  <c r="T323" i="2" l="1"/>
  <c r="S323" i="2"/>
  <c r="X323" i="2"/>
  <c r="S88" i="1"/>
  <c r="T88" i="1" s="1"/>
  <c r="U88" i="1" s="1"/>
  <c r="S83" i="1"/>
  <c r="Q64" i="1"/>
  <c r="Q63" i="1"/>
  <c r="Q66" i="1" s="1"/>
  <c r="V323" i="2" l="1"/>
  <c r="W323" i="2"/>
  <c r="AA323" i="2"/>
  <c r="I19" i="22"/>
  <c r="T83" i="1"/>
  <c r="U83" i="1" s="1"/>
  <c r="R63" i="1"/>
  <c r="R66" i="1" s="1"/>
  <c r="R64" i="1"/>
  <c r="Y323" i="2" l="1"/>
  <c r="Z323" i="2"/>
  <c r="AD323" i="2"/>
  <c r="V88" i="1"/>
  <c r="W88" i="1" s="1"/>
  <c r="X88" i="1" s="1"/>
  <c r="Y88" i="1" s="1"/>
  <c r="Z88" i="1" s="1"/>
  <c r="AA88" i="1" s="1"/>
  <c r="AB88" i="1" s="1"/>
  <c r="AC88" i="1" s="1"/>
  <c r="AD88" i="1" s="1"/>
  <c r="AE88" i="1" s="1"/>
  <c r="AF88" i="1" s="1"/>
  <c r="AG88" i="1" s="1"/>
  <c r="AH88" i="1" s="1"/>
  <c r="AI88" i="1" s="1"/>
  <c r="AJ88" i="1" s="1"/>
  <c r="AK88" i="1" s="1"/>
  <c r="AL88" i="1" s="1"/>
  <c r="AM88" i="1" s="1"/>
  <c r="AN88" i="1" s="1"/>
  <c r="AO88" i="1" s="1"/>
  <c r="AP88" i="1" s="1"/>
  <c r="AQ88" i="1" s="1"/>
  <c r="AR88" i="1" s="1"/>
  <c r="AS88" i="1" s="1"/>
  <c r="AT88" i="1" s="1"/>
  <c r="AU88" i="1" s="1"/>
  <c r="AV88" i="1" s="1"/>
  <c r="V83" i="1"/>
  <c r="S64" i="1"/>
  <c r="S63" i="1"/>
  <c r="S66" i="1" s="1"/>
  <c r="AC323" i="2" l="1"/>
  <c r="AB323" i="2"/>
  <c r="AG323" i="2"/>
  <c r="W83" i="1"/>
  <c r="X83" i="1" s="1"/>
  <c r="Y83" i="1" s="1"/>
  <c r="Z83" i="1" s="1"/>
  <c r="AA83" i="1" s="1"/>
  <c r="AB83" i="1" s="1"/>
  <c r="AC83" i="1" s="1"/>
  <c r="AD83" i="1" s="1"/>
  <c r="AE83" i="1" s="1"/>
  <c r="AF83" i="1" s="1"/>
  <c r="AG83" i="1" s="1"/>
  <c r="AH83" i="1" s="1"/>
  <c r="AI83" i="1" s="1"/>
  <c r="AJ83" i="1" s="1"/>
  <c r="AK83" i="1" s="1"/>
  <c r="AL83" i="1" s="1"/>
  <c r="AM83" i="1" s="1"/>
  <c r="AN83" i="1" s="1"/>
  <c r="AO83" i="1" s="1"/>
  <c r="AP83" i="1" s="1"/>
  <c r="AQ83" i="1" s="1"/>
  <c r="AR83" i="1" s="1"/>
  <c r="AS83" i="1" s="1"/>
  <c r="AT83" i="1" s="1"/>
  <c r="AU83" i="1" s="1"/>
  <c r="AV83" i="1" s="1"/>
  <c r="T63" i="1"/>
  <c r="T66" i="1" s="1"/>
  <c r="T64" i="1"/>
  <c r="AE323" i="2" l="1"/>
  <c r="AF323" i="2"/>
  <c r="AJ323" i="2"/>
  <c r="J19" i="22"/>
  <c r="U64" i="1"/>
  <c r="U63" i="1"/>
  <c r="U66" i="1" s="1"/>
  <c r="AH323" i="2" l="1"/>
  <c r="AI323" i="2"/>
  <c r="AM323" i="2"/>
  <c r="K355" i="2"/>
  <c r="K370" i="2"/>
  <c r="V63" i="1"/>
  <c r="V66" i="1" s="1"/>
  <c r="V64" i="1"/>
  <c r="J277" i="2"/>
  <c r="P104" i="1"/>
  <c r="Q104" i="1" s="1"/>
  <c r="R104" i="1" s="1"/>
  <c r="J113" i="1"/>
  <c r="J105" i="1"/>
  <c r="J98" i="1"/>
  <c r="J89" i="1"/>
  <c r="J80" i="1"/>
  <c r="H55" i="2"/>
  <c r="G277" i="2"/>
  <c r="H283" i="2"/>
  <c r="H284" i="2"/>
  <c r="H483" i="2" s="1"/>
  <c r="H282" i="2"/>
  <c r="H311" i="2" s="1"/>
  <c r="G14" i="1"/>
  <c r="I14" i="1"/>
  <c r="J14" i="1"/>
  <c r="F14" i="1"/>
  <c r="H178" i="2"/>
  <c r="H14" i="1" s="1"/>
  <c r="F224" i="2"/>
  <c r="I230" i="2"/>
  <c r="I229" i="2"/>
  <c r="I228" i="2"/>
  <c r="I227" i="2"/>
  <c r="I226" i="2"/>
  <c r="J230" i="2"/>
  <c r="J229" i="2"/>
  <c r="J228" i="2"/>
  <c r="J227" i="2"/>
  <c r="J226" i="2"/>
  <c r="J224" i="2"/>
  <c r="K224" i="2" s="1"/>
  <c r="I224" i="2"/>
  <c r="G224" i="2"/>
  <c r="H220" i="2"/>
  <c r="K230" i="2" s="1"/>
  <c r="H217" i="2"/>
  <c r="K229" i="2" s="1"/>
  <c r="H214" i="2"/>
  <c r="K228" i="2" s="1"/>
  <c r="H211" i="2"/>
  <c r="K227" i="2" s="1"/>
  <c r="H208" i="2"/>
  <c r="K226" i="2" l="1"/>
  <c r="H18" i="1"/>
  <c r="K19" i="1" s="1"/>
  <c r="AK323" i="2"/>
  <c r="AL323" i="2"/>
  <c r="AP323" i="2"/>
  <c r="K237" i="2"/>
  <c r="K236" i="2"/>
  <c r="K234" i="2"/>
  <c r="K238" i="2"/>
  <c r="K235" i="2"/>
  <c r="H25" i="1"/>
  <c r="K26" i="1" s="1"/>
  <c r="G236" i="2"/>
  <c r="G238" i="2"/>
  <c r="G237" i="2"/>
  <c r="G235" i="2"/>
  <c r="G234" i="2"/>
  <c r="I238" i="2"/>
  <c r="I236" i="2"/>
  <c r="I234" i="2"/>
  <c r="I235" i="2"/>
  <c r="I237" i="2"/>
  <c r="F238" i="2"/>
  <c r="F237" i="2"/>
  <c r="F234" i="2"/>
  <c r="F235" i="2"/>
  <c r="F236" i="2"/>
  <c r="J238" i="2"/>
  <c r="J236" i="2"/>
  <c r="J234" i="2"/>
  <c r="J237" i="2"/>
  <c r="J235" i="2"/>
  <c r="W64" i="1"/>
  <c r="W63" i="1"/>
  <c r="W66" i="1" s="1"/>
  <c r="J422" i="2"/>
  <c r="J421" i="2"/>
  <c r="J90" i="1"/>
  <c r="J106" i="1"/>
  <c r="H224" i="2"/>
  <c r="H238" i="2" s="1"/>
  <c r="AO323" i="2" l="1"/>
  <c r="AN323" i="2"/>
  <c r="AS323" i="2"/>
  <c r="AV323" i="2" s="1"/>
  <c r="K239" i="2"/>
  <c r="K19" i="22"/>
  <c r="X63" i="1"/>
  <c r="X66" i="1" s="1"/>
  <c r="X64" i="1"/>
  <c r="J239" i="2"/>
  <c r="H235" i="2"/>
  <c r="H234" i="2"/>
  <c r="F239" i="2"/>
  <c r="G239" i="2"/>
  <c r="H237" i="2"/>
  <c r="H236" i="2"/>
  <c r="I239" i="2"/>
  <c r="I26" i="1"/>
  <c r="J116" i="1"/>
  <c r="J115" i="1"/>
  <c r="J26" i="1"/>
  <c r="J108" i="1"/>
  <c r="AV64" i="1" l="1"/>
  <c r="S19" i="22"/>
  <c r="AT323" i="2"/>
  <c r="AT64" i="1" s="1"/>
  <c r="AU323" i="2"/>
  <c r="AU64" i="1" s="1"/>
  <c r="AR323" i="2"/>
  <c r="AQ323" i="2"/>
  <c r="Y64" i="1"/>
  <c r="Y63" i="1"/>
  <c r="Y66" i="1" s="1"/>
  <c r="H239" i="2"/>
  <c r="S104" i="1"/>
  <c r="Z63" i="1" l="1"/>
  <c r="Z66" i="1" s="1"/>
  <c r="Z64" i="1"/>
  <c r="T104" i="1"/>
  <c r="U104" i="1" s="1"/>
  <c r="S79" i="1"/>
  <c r="T79" i="1" s="1"/>
  <c r="U79" i="1" s="1"/>
  <c r="L19" i="22" l="1"/>
  <c r="AA63" i="1"/>
  <c r="AA66" i="1" s="1"/>
  <c r="AA64" i="1"/>
  <c r="V104" i="1"/>
  <c r="AB64" i="1" l="1"/>
  <c r="AB63" i="1"/>
  <c r="AB66" i="1" s="1"/>
  <c r="W104" i="1"/>
  <c r="X104" i="1" s="1"/>
  <c r="Y104" i="1" s="1"/>
  <c r="Z104" i="1" s="1"/>
  <c r="AA104" i="1" s="1"/>
  <c r="AB104" i="1" s="1"/>
  <c r="AC104" i="1" s="1"/>
  <c r="AD104" i="1" s="1"/>
  <c r="AE104" i="1" s="1"/>
  <c r="AF104" i="1" s="1"/>
  <c r="AG104" i="1" s="1"/>
  <c r="AH104" i="1" s="1"/>
  <c r="AI104" i="1" s="1"/>
  <c r="AJ104" i="1" s="1"/>
  <c r="AK104" i="1" s="1"/>
  <c r="AL104" i="1" s="1"/>
  <c r="AM104" i="1" s="1"/>
  <c r="AN104" i="1" s="1"/>
  <c r="AO104" i="1" s="1"/>
  <c r="AP104" i="1" s="1"/>
  <c r="AQ104" i="1" s="1"/>
  <c r="AR104" i="1" s="1"/>
  <c r="AS104" i="1" s="1"/>
  <c r="AT104" i="1" s="1"/>
  <c r="AU104" i="1" s="1"/>
  <c r="AV104" i="1" s="1"/>
  <c r="V79" i="1"/>
  <c r="W79" i="1" s="1"/>
  <c r="X79" i="1" s="1"/>
  <c r="Y79" i="1" s="1"/>
  <c r="Z79" i="1" s="1"/>
  <c r="AA79" i="1" s="1"/>
  <c r="AB79" i="1" s="1"/>
  <c r="AC79" i="1" s="1"/>
  <c r="AD79" i="1" s="1"/>
  <c r="AE79" i="1" s="1"/>
  <c r="AF79" i="1" s="1"/>
  <c r="AG79" i="1" s="1"/>
  <c r="AH79" i="1" s="1"/>
  <c r="AI79" i="1" s="1"/>
  <c r="AJ79" i="1" s="1"/>
  <c r="AK79" i="1" s="1"/>
  <c r="AL79" i="1" s="1"/>
  <c r="AM79" i="1" s="1"/>
  <c r="AN79" i="1" s="1"/>
  <c r="AO79" i="1" s="1"/>
  <c r="AP79" i="1" s="1"/>
  <c r="AQ79" i="1" s="1"/>
  <c r="AR79" i="1" s="1"/>
  <c r="AS79" i="1" s="1"/>
  <c r="AT79" i="1" s="1"/>
  <c r="AU79" i="1" s="1"/>
  <c r="AV79" i="1" s="1"/>
  <c r="AC63" i="1" l="1"/>
  <c r="AC66" i="1" s="1"/>
  <c r="AC64" i="1"/>
  <c r="M19" i="22" l="1"/>
  <c r="AD64" i="1"/>
  <c r="AD63" i="1"/>
  <c r="AD66" i="1" s="1"/>
  <c r="H158" i="2"/>
  <c r="I151" i="2"/>
  <c r="S135" i="12"/>
  <c r="S115" i="12" s="1"/>
  <c r="X148" i="2"/>
  <c r="U149" i="2"/>
  <c r="R135" i="12" s="1"/>
  <c r="R115" i="12" s="1"/>
  <c r="U148" i="2"/>
  <c r="R149" i="2"/>
  <c r="Q135" i="12" s="1"/>
  <c r="Q115" i="12" s="1"/>
  <c r="R148" i="2"/>
  <c r="L148" i="2"/>
  <c r="H150" i="2"/>
  <c r="H496" i="2" s="1"/>
  <c r="L147" i="2"/>
  <c r="J147" i="2"/>
  <c r="J150" i="2" s="1"/>
  <c r="I147" i="2"/>
  <c r="I149" i="2" s="1"/>
  <c r="G147" i="2"/>
  <c r="G150" i="2" s="1"/>
  <c r="G165" i="2"/>
  <c r="I165" i="2"/>
  <c r="L166" i="2" s="1"/>
  <c r="I57" i="4" s="1"/>
  <c r="J348" i="2"/>
  <c r="F165" i="2"/>
  <c r="F169" i="2" s="1"/>
  <c r="H249" i="2"/>
  <c r="H244" i="2"/>
  <c r="W44" i="2"/>
  <c r="W500" i="2" s="1"/>
  <c r="T44" i="2"/>
  <c r="Q44" i="2"/>
  <c r="J129" i="2"/>
  <c r="I129" i="2"/>
  <c r="H55" i="4" s="1"/>
  <c r="F129" i="2"/>
  <c r="G55" i="4" s="1"/>
  <c r="E129" i="2"/>
  <c r="H126" i="2"/>
  <c r="G126" i="2"/>
  <c r="G131" i="2" s="1"/>
  <c r="J105" i="2"/>
  <c r="I105" i="2"/>
  <c r="H53" i="4" s="1"/>
  <c r="F105" i="2"/>
  <c r="G53" i="4" s="1"/>
  <c r="E105" i="2"/>
  <c r="J245" i="2"/>
  <c r="I46" i="2"/>
  <c r="G46" i="2"/>
  <c r="J47" i="2" s="1"/>
  <c r="F46" i="2"/>
  <c r="W32" i="2"/>
  <c r="V32" i="2"/>
  <c r="T32" i="2"/>
  <c r="S32" i="2"/>
  <c r="Q32" i="2"/>
  <c r="J33" i="2"/>
  <c r="J34" i="2" s="1"/>
  <c r="J501" i="2" s="1"/>
  <c r="I33" i="2"/>
  <c r="G50" i="2"/>
  <c r="F33" i="2"/>
  <c r="J89" i="2"/>
  <c r="G89" i="2"/>
  <c r="G92" i="2" s="1"/>
  <c r="F89" i="2"/>
  <c r="H13" i="2"/>
  <c r="H12" i="2"/>
  <c r="H11" i="2"/>
  <c r="H10" i="2"/>
  <c r="H270" i="2" s="1"/>
  <c r="V31" i="2"/>
  <c r="W31" i="2"/>
  <c r="X82" i="2"/>
  <c r="U82" i="2"/>
  <c r="R82" i="2"/>
  <c r="O191" i="2"/>
  <c r="X61" i="2"/>
  <c r="X31" i="2" s="1"/>
  <c r="U61" i="2"/>
  <c r="U31" i="2" s="1"/>
  <c r="R61" i="2"/>
  <c r="L61" i="2"/>
  <c r="L31" i="2" s="1"/>
  <c r="H44" i="2"/>
  <c r="J31" i="2"/>
  <c r="K31" i="2"/>
  <c r="P31" i="2"/>
  <c r="Q31" i="2"/>
  <c r="S31" i="2"/>
  <c r="T31" i="2"/>
  <c r="I31" i="2"/>
  <c r="F19" i="2"/>
  <c r="F139" i="2"/>
  <c r="F92" i="2" s="1"/>
  <c r="X100" i="2"/>
  <c r="U100" i="2"/>
  <c r="R100" i="2"/>
  <c r="X124" i="2"/>
  <c r="R124" i="2"/>
  <c r="H104" i="2"/>
  <c r="H128" i="2"/>
  <c r="G141" i="2"/>
  <c r="H141" i="2" s="1"/>
  <c r="I141" i="2" s="1"/>
  <c r="J141" i="2" s="1"/>
  <c r="G118" i="2"/>
  <c r="H118" i="2" s="1"/>
  <c r="I118" i="2" s="1"/>
  <c r="J118" i="2" s="1"/>
  <c r="J72" i="2"/>
  <c r="G72" i="2"/>
  <c r="I72" i="2"/>
  <c r="F72" i="2"/>
  <c r="I64" i="2"/>
  <c r="G64" i="2"/>
  <c r="J85" i="2"/>
  <c r="M86" i="2" s="1"/>
  <c r="I85" i="2"/>
  <c r="G85" i="2"/>
  <c r="H84" i="2"/>
  <c r="J81" i="2"/>
  <c r="J83" i="2" s="1"/>
  <c r="I81" i="2"/>
  <c r="I83" i="2" s="1"/>
  <c r="I191" i="2" s="1"/>
  <c r="H81" i="2"/>
  <c r="G81" i="2"/>
  <c r="G83" i="2" s="1"/>
  <c r="G191" i="2" s="1"/>
  <c r="G192" i="2" s="1"/>
  <c r="H63" i="2"/>
  <c r="H495" i="2" s="1"/>
  <c r="L60" i="2"/>
  <c r="J62" i="2"/>
  <c r="I60" i="2"/>
  <c r="H60" i="2"/>
  <c r="G60" i="2"/>
  <c r="J75" i="2"/>
  <c r="I75" i="2"/>
  <c r="J69" i="2"/>
  <c r="I69" i="2"/>
  <c r="H68" i="2"/>
  <c r="F267" i="2" l="1"/>
  <c r="F271" i="2" s="1"/>
  <c r="H165" i="2"/>
  <c r="H21" i="2" s="1"/>
  <c r="H13" i="1" s="1"/>
  <c r="H500" i="2"/>
  <c r="J182" i="2"/>
  <c r="J181" i="2" s="1"/>
  <c r="K181" i="2" s="1"/>
  <c r="J92" i="2"/>
  <c r="M90" i="2"/>
  <c r="M73" i="2"/>
  <c r="J496" i="2"/>
  <c r="J493" i="2" s="1"/>
  <c r="K147" i="2"/>
  <c r="H50" i="4"/>
  <c r="L47" i="2"/>
  <c r="L62" i="2"/>
  <c r="R143" i="12"/>
  <c r="R147" i="12" s="1"/>
  <c r="Q143" i="12"/>
  <c r="Q147" i="12" s="1"/>
  <c r="S143" i="12"/>
  <c r="S147" i="12" s="1"/>
  <c r="F348" i="2"/>
  <c r="G56" i="4"/>
  <c r="F245" i="2"/>
  <c r="G50" i="4"/>
  <c r="I154" i="2"/>
  <c r="I157" i="2" s="1"/>
  <c r="H56" i="4"/>
  <c r="AE63" i="1"/>
  <c r="AE66" i="1" s="1"/>
  <c r="AE64" i="1"/>
  <c r="H493" i="2"/>
  <c r="H147" i="2"/>
  <c r="H149" i="2" s="1"/>
  <c r="G496" i="2"/>
  <c r="G493" i="2" s="1"/>
  <c r="J49" i="2"/>
  <c r="O192" i="2"/>
  <c r="F93" i="2"/>
  <c r="F185" i="2"/>
  <c r="H46" i="2"/>
  <c r="I192" i="2"/>
  <c r="I201" i="2" s="1"/>
  <c r="I202" i="2" s="1"/>
  <c r="J202" i="2" s="1"/>
  <c r="J201" i="2" s="1"/>
  <c r="J197" i="2"/>
  <c r="J199" i="2" s="1"/>
  <c r="L191" i="2"/>
  <c r="J191" i="2"/>
  <c r="J192" i="2" s="1"/>
  <c r="T500" i="2"/>
  <c r="Q500" i="2"/>
  <c r="I34" i="2"/>
  <c r="J38" i="2"/>
  <c r="I62" i="2"/>
  <c r="I32" i="2" s="1"/>
  <c r="G62" i="2"/>
  <c r="H85" i="2"/>
  <c r="H33" i="2"/>
  <c r="H35" i="2" s="1"/>
  <c r="H254" i="2"/>
  <c r="I35" i="2"/>
  <c r="G245" i="2"/>
  <c r="G38" i="2"/>
  <c r="J408" i="2"/>
  <c r="J151" i="2"/>
  <c r="J154" i="2" s="1"/>
  <c r="F50" i="2"/>
  <c r="G35" i="2"/>
  <c r="I30" i="2"/>
  <c r="G30" i="2"/>
  <c r="H131" i="2"/>
  <c r="J30" i="2"/>
  <c r="I50" i="2"/>
  <c r="K30" i="2"/>
  <c r="J50" i="2"/>
  <c r="I348" i="2"/>
  <c r="F11" i="1"/>
  <c r="I245" i="2"/>
  <c r="F342" i="2"/>
  <c r="F362" i="2"/>
  <c r="I342" i="2"/>
  <c r="I362" i="2"/>
  <c r="F53" i="2"/>
  <c r="F54" i="2" s="1"/>
  <c r="F276" i="2" s="1"/>
  <c r="G22" i="4" s="1"/>
  <c r="F18" i="2"/>
  <c r="G179" i="2"/>
  <c r="F250" i="2"/>
  <c r="F21" i="2"/>
  <c r="J250" i="2"/>
  <c r="J21" i="2"/>
  <c r="J13" i="1" s="1"/>
  <c r="F20" i="2"/>
  <c r="F12" i="1" s="1"/>
  <c r="I250" i="2"/>
  <c r="I21" i="2"/>
  <c r="G21" i="2"/>
  <c r="G13" i="1" s="1"/>
  <c r="G250" i="2"/>
  <c r="H250" i="2"/>
  <c r="H277" i="2"/>
  <c r="J215" i="2"/>
  <c r="J221" i="2"/>
  <c r="H215" i="2"/>
  <c r="I169" i="2"/>
  <c r="I221" i="2"/>
  <c r="I212" i="2"/>
  <c r="I209" i="2"/>
  <c r="I215" i="2"/>
  <c r="G169" i="2"/>
  <c r="G215" i="2"/>
  <c r="G209" i="2"/>
  <c r="G212" i="2"/>
  <c r="G221" i="2"/>
  <c r="F312" i="2"/>
  <c r="F313" i="2" s="1"/>
  <c r="F316" i="2" s="1"/>
  <c r="F215" i="2"/>
  <c r="F212" i="2"/>
  <c r="F221" i="2"/>
  <c r="F209" i="2"/>
  <c r="I47" i="2"/>
  <c r="H51" i="4" s="1"/>
  <c r="I166" i="2"/>
  <c r="H57" i="4" s="1"/>
  <c r="G151" i="2"/>
  <c r="H151" i="2"/>
  <c r="H154" i="2" s="1"/>
  <c r="J166" i="2"/>
  <c r="H89" i="2"/>
  <c r="H179" i="2" s="1"/>
  <c r="X32" i="2"/>
  <c r="J32" i="2"/>
  <c r="I90" i="2"/>
  <c r="J65" i="2"/>
  <c r="J86" i="2"/>
  <c r="J90" i="2"/>
  <c r="R31" i="2"/>
  <c r="F14" i="2"/>
  <c r="F255" i="2" s="1"/>
  <c r="G14" i="2"/>
  <c r="J14" i="2"/>
  <c r="I14" i="2"/>
  <c r="I255" i="2" s="1"/>
  <c r="I116" i="2"/>
  <c r="J139" i="2"/>
  <c r="H139" i="2"/>
  <c r="H20" i="2" s="1"/>
  <c r="H12" i="1" s="1"/>
  <c r="H116" i="2"/>
  <c r="H19" i="2" s="1"/>
  <c r="H11" i="1" s="1"/>
  <c r="J116" i="2"/>
  <c r="M117" i="2" s="1"/>
  <c r="I139" i="2"/>
  <c r="G139" i="2"/>
  <c r="G116" i="2"/>
  <c r="G19" i="2" s="1"/>
  <c r="G11" i="1" s="1"/>
  <c r="I73" i="2"/>
  <c r="H72" i="2"/>
  <c r="H62" i="2"/>
  <c r="H64" i="2"/>
  <c r="H83" i="2"/>
  <c r="H191" i="2" s="1"/>
  <c r="H192" i="2" s="1"/>
  <c r="J73" i="2"/>
  <c r="H209" i="2" l="1"/>
  <c r="H212" i="2"/>
  <c r="H221" i="2"/>
  <c r="G312" i="2"/>
  <c r="G313" i="2" s="1"/>
  <c r="G316" i="2" s="1"/>
  <c r="G267" i="2"/>
  <c r="G271" i="2" s="1"/>
  <c r="I267" i="2"/>
  <c r="I271" i="2" s="1"/>
  <c r="G218" i="2"/>
  <c r="G272" i="2"/>
  <c r="F266" i="2"/>
  <c r="J41" i="2"/>
  <c r="J218" i="2"/>
  <c r="J255" i="2"/>
  <c r="H245" i="2"/>
  <c r="K47" i="2"/>
  <c r="J157" i="2"/>
  <c r="J187" i="2"/>
  <c r="K187" i="2" s="1"/>
  <c r="F218" i="2"/>
  <c r="Q54" i="4"/>
  <c r="I218" i="2"/>
  <c r="R54" i="4"/>
  <c r="G15" i="4"/>
  <c r="I501" i="2"/>
  <c r="H62" i="4"/>
  <c r="AF64" i="1"/>
  <c r="AF63" i="1"/>
  <c r="AF66" i="1" s="1"/>
  <c r="J275" i="2"/>
  <c r="J312" i="2"/>
  <c r="I275" i="2"/>
  <c r="H21" i="4" s="1"/>
  <c r="I312" i="2"/>
  <c r="G154" i="2"/>
  <c r="G157" i="2" s="1"/>
  <c r="J18" i="2"/>
  <c r="J53" i="2"/>
  <c r="J54" i="2" s="1"/>
  <c r="J266" i="2" s="1"/>
  <c r="I92" i="2"/>
  <c r="L192" i="2"/>
  <c r="H50" i="2"/>
  <c r="H38" i="2"/>
  <c r="U161" i="2"/>
  <c r="G53" i="2"/>
  <c r="G54" i="2" s="1"/>
  <c r="G276" i="2" s="1"/>
  <c r="F10" i="1"/>
  <c r="G14" i="4"/>
  <c r="F13" i="1"/>
  <c r="I13" i="1"/>
  <c r="J19" i="2"/>
  <c r="J11" i="1" s="1"/>
  <c r="G275" i="2"/>
  <c r="F275" i="2"/>
  <c r="G21" i="4" s="1"/>
  <c r="F22" i="2"/>
  <c r="H169" i="2"/>
  <c r="J152" i="2"/>
  <c r="H74" i="2"/>
  <c r="I117" i="2"/>
  <c r="I19" i="2"/>
  <c r="I140" i="2"/>
  <c r="I20" i="2"/>
  <c r="I12" i="1" s="1"/>
  <c r="J20" i="2"/>
  <c r="J12" i="1" s="1"/>
  <c r="G20" i="2"/>
  <c r="G12" i="1" s="1"/>
  <c r="H14" i="2"/>
  <c r="J117" i="2"/>
  <c r="J140" i="2"/>
  <c r="H312" i="2" l="1"/>
  <c r="H267" i="2"/>
  <c r="H271" i="2" s="1"/>
  <c r="J268" i="2"/>
  <c r="J272" i="2" s="1"/>
  <c r="J270" i="2"/>
  <c r="F268" i="2"/>
  <c r="F272" i="2" s="1"/>
  <c r="F270" i="2"/>
  <c r="H218" i="2"/>
  <c r="H272" i="2"/>
  <c r="I93" i="2"/>
  <c r="N19" i="22"/>
  <c r="J155" i="2"/>
  <c r="H15" i="4"/>
  <c r="J313" i="2"/>
  <c r="J316" i="2" s="1"/>
  <c r="H313" i="2"/>
  <c r="H316" i="2" s="1"/>
  <c r="I313" i="2"/>
  <c r="I316" i="2" s="1"/>
  <c r="AG63" i="1"/>
  <c r="AG66" i="1" s="1"/>
  <c r="AG64" i="1"/>
  <c r="H157" i="2"/>
  <c r="L85" i="2"/>
  <c r="I53" i="2"/>
  <c r="I54" i="2" s="1"/>
  <c r="I276" i="2" s="1"/>
  <c r="H22" i="4" s="1"/>
  <c r="I18" i="2"/>
  <c r="H14" i="4" s="1"/>
  <c r="H92" i="2"/>
  <c r="J22" i="2"/>
  <c r="J260" i="2" s="1"/>
  <c r="H502" i="2"/>
  <c r="Q161" i="2"/>
  <c r="F15" i="1"/>
  <c r="F21" i="1" s="1"/>
  <c r="F29" i="1" s="1"/>
  <c r="I11" i="1"/>
  <c r="G17" i="4"/>
  <c r="P158" i="2"/>
  <c r="F380" i="2"/>
  <c r="F377" i="2"/>
  <c r="F260" i="2"/>
  <c r="F278" i="2"/>
  <c r="H170" i="2"/>
  <c r="G278" i="2"/>
  <c r="G285" i="2" s="1"/>
  <c r="G290" i="2" s="1"/>
  <c r="G294" i="2" s="1"/>
  <c r="H275" i="2"/>
  <c r="T161" i="2"/>
  <c r="V161" i="2"/>
  <c r="I94" i="2"/>
  <c r="G18" i="2"/>
  <c r="G22" i="2" s="1"/>
  <c r="I123" i="2"/>
  <c r="F123" i="2"/>
  <c r="R158" i="2" l="1"/>
  <c r="T158" i="2"/>
  <c r="U158" i="2" s="1"/>
  <c r="V158" i="2" s="1"/>
  <c r="W158" i="2" s="1"/>
  <c r="X158" i="2" s="1"/>
  <c r="Y158" i="2" s="1"/>
  <c r="Z158" i="2" s="1"/>
  <c r="O86" i="2"/>
  <c r="I266" i="2"/>
  <c r="H17" i="4"/>
  <c r="F285" i="2"/>
  <c r="F290" i="2" s="1"/>
  <c r="F294" i="2" s="1"/>
  <c r="G24" i="4"/>
  <c r="Q50" i="4" s="1"/>
  <c r="F38" i="1"/>
  <c r="G28" i="4"/>
  <c r="Q51" i="4" s="1"/>
  <c r="AH63" i="1"/>
  <c r="AH66" i="1" s="1"/>
  <c r="AH64" i="1"/>
  <c r="K86" i="2"/>
  <c r="L86" i="2"/>
  <c r="W161" i="2"/>
  <c r="Y161" i="2"/>
  <c r="AA161" i="2" s="1"/>
  <c r="H41" i="2"/>
  <c r="G41" i="2"/>
  <c r="F263" i="2"/>
  <c r="F261" i="2"/>
  <c r="I22" i="2"/>
  <c r="I260" i="2" s="1"/>
  <c r="I10" i="1"/>
  <c r="I15" i="1" s="1"/>
  <c r="G10" i="1"/>
  <c r="G15" i="1" s="1"/>
  <c r="G21" i="1" s="1"/>
  <c r="H53" i="2"/>
  <c r="H93" i="2"/>
  <c r="H18" i="2"/>
  <c r="I131" i="2"/>
  <c r="F38" i="2"/>
  <c r="F41" i="2" s="1"/>
  <c r="R75" i="2" l="1"/>
  <c r="P81" i="2"/>
  <c r="R81" i="2"/>
  <c r="I268" i="2"/>
  <c r="I272" i="2" s="1"/>
  <c r="I270" i="2"/>
  <c r="F286" i="2"/>
  <c r="F47" i="1"/>
  <c r="G31" i="4"/>
  <c r="Q52" i="4" s="1"/>
  <c r="AI64" i="1"/>
  <c r="Z161" i="2"/>
  <c r="AB161" i="2"/>
  <c r="AD161" i="2" s="1"/>
  <c r="AI63" i="1"/>
  <c r="AI66" i="1" s="1"/>
  <c r="G29" i="1"/>
  <c r="G38" i="1" s="1"/>
  <c r="G47" i="1" s="1"/>
  <c r="G54" i="1" s="1"/>
  <c r="G55" i="1" s="1"/>
  <c r="AA158" i="2"/>
  <c r="AB158" i="2" s="1"/>
  <c r="H18" i="4"/>
  <c r="G380" i="2"/>
  <c r="I377" i="2"/>
  <c r="I380" i="2"/>
  <c r="G260" i="2"/>
  <c r="G377" i="2"/>
  <c r="I21" i="1"/>
  <c r="I16" i="1"/>
  <c r="H22" i="2"/>
  <c r="H260" i="2" s="1"/>
  <c r="H10" i="1"/>
  <c r="H15" i="1" s="1"/>
  <c r="H54" i="2"/>
  <c r="H276" i="2" s="1"/>
  <c r="H278" i="2" s="1"/>
  <c r="L30" i="2"/>
  <c r="I29" i="1" l="1"/>
  <c r="H21" i="1"/>
  <c r="H29" i="1" s="1"/>
  <c r="O19" i="22"/>
  <c r="F54" i="1"/>
  <c r="G36" i="4"/>
  <c r="AE161" i="2"/>
  <c r="AC161" i="2"/>
  <c r="AJ63" i="1"/>
  <c r="AJ66" i="1" s="1"/>
  <c r="AC158" i="2"/>
  <c r="AD158" i="2" s="1"/>
  <c r="AE158" i="2" s="1"/>
  <c r="AJ64" i="1"/>
  <c r="I263" i="2"/>
  <c r="I261" i="2"/>
  <c r="H380" i="2"/>
  <c r="G286" i="2"/>
  <c r="G261" i="2"/>
  <c r="G263" i="2"/>
  <c r="H377" i="2"/>
  <c r="I23" i="1"/>
  <c r="I22" i="1"/>
  <c r="I278" i="2"/>
  <c r="J35" i="2"/>
  <c r="J36" i="2" s="1"/>
  <c r="H38" i="1" l="1"/>
  <c r="H28" i="4"/>
  <c r="R51" i="4" s="1"/>
  <c r="I285" i="2"/>
  <c r="I290" i="2" s="1"/>
  <c r="I294" i="2" s="1"/>
  <c r="H24" i="4"/>
  <c r="F55" i="1"/>
  <c r="G38" i="4"/>
  <c r="AK64" i="1"/>
  <c r="AF161" i="2"/>
  <c r="AH161" i="2"/>
  <c r="AJ161" i="2" s="1"/>
  <c r="AF158" i="2"/>
  <c r="AK63" i="1"/>
  <c r="AK66" i="1" s="1"/>
  <c r="I38" i="2"/>
  <c r="H263" i="2"/>
  <c r="H261" i="2"/>
  <c r="I30" i="1"/>
  <c r="I31" i="1"/>
  <c r="I38" i="1"/>
  <c r="H31" i="4" l="1"/>
  <c r="R52" i="4" s="1"/>
  <c r="H47" i="1"/>
  <c r="H54" i="1" s="1"/>
  <c r="H55" i="1" s="1"/>
  <c r="H285" i="2"/>
  <c r="H290" i="2" s="1"/>
  <c r="H294" i="2" s="1"/>
  <c r="I286" i="2"/>
  <c r="H25" i="4"/>
  <c r="R50" i="4"/>
  <c r="G42" i="4"/>
  <c r="Q53" i="4"/>
  <c r="AL63" i="1"/>
  <c r="AL66" i="1" s="1"/>
  <c r="AI161" i="2"/>
  <c r="AK161" i="2"/>
  <c r="AM161" i="2" s="1"/>
  <c r="AG158" i="2"/>
  <c r="AL64" i="1"/>
  <c r="I41" i="2"/>
  <c r="I40" i="1"/>
  <c r="I39" i="1"/>
  <c r="I47" i="1"/>
  <c r="H286" i="2" l="1"/>
  <c r="P19" i="22"/>
  <c r="AN161" i="2"/>
  <c r="AP161" i="2" s="1"/>
  <c r="I54" i="1"/>
  <c r="H36" i="4"/>
  <c r="AL161" i="2"/>
  <c r="AM64" i="1"/>
  <c r="AH158" i="2"/>
  <c r="AI158" i="2" s="1"/>
  <c r="AM63" i="1"/>
  <c r="AM66" i="1" s="1"/>
  <c r="I55" i="1" l="1"/>
  <c r="I58" i="1"/>
  <c r="I59" i="1"/>
  <c r="H38" i="4"/>
  <c r="H39" i="4" s="1"/>
  <c r="AO161" i="2"/>
  <c r="AQ161" i="2"/>
  <c r="AS161" i="2" s="1"/>
  <c r="AT161" i="2" s="1"/>
  <c r="AV161" i="2" s="1"/>
  <c r="AU161" i="2" s="1"/>
  <c r="AN64" i="1"/>
  <c r="AN63" i="1"/>
  <c r="AN66" i="1" s="1"/>
  <c r="AJ158" i="2"/>
  <c r="AB502" i="2"/>
  <c r="AD502" i="2" l="1"/>
  <c r="AR161" i="2"/>
  <c r="H42" i="4"/>
  <c r="R53" i="4"/>
  <c r="AK158" i="2"/>
  <c r="AO63" i="1"/>
  <c r="AO66" i="1" s="1"/>
  <c r="AO64" i="1"/>
  <c r="AG502" i="2" l="1"/>
  <c r="AP63" i="1"/>
  <c r="AP66" i="1" s="1"/>
  <c r="AP64" i="1"/>
  <c r="Q19" i="22"/>
  <c r="AL158" i="2"/>
  <c r="AE502" i="2"/>
  <c r="AE75" i="2"/>
  <c r="AQ64" i="1" l="1"/>
  <c r="AJ502" i="2"/>
  <c r="AQ63" i="1"/>
  <c r="AQ66" i="1" s="1"/>
  <c r="AR64" i="1"/>
  <c r="AM158" i="2"/>
  <c r="AH502" i="2"/>
  <c r="AH75" i="2"/>
  <c r="AM502" i="2" l="1"/>
  <c r="R19" i="22"/>
  <c r="AS64" i="1"/>
  <c r="AS63" i="1"/>
  <c r="AS66" i="1" s="1"/>
  <c r="AR63" i="1"/>
  <c r="AR66" i="1" s="1"/>
  <c r="AN158" i="2"/>
  <c r="AK502" i="2"/>
  <c r="AK75" i="2"/>
  <c r="AT502" i="2" l="1"/>
  <c r="AV502" i="2"/>
  <c r="AP502" i="2"/>
  <c r="AO158" i="2"/>
  <c r="AN502" i="2"/>
  <c r="AN75" i="2"/>
  <c r="AT75" i="2" l="1"/>
  <c r="AV75" i="2"/>
  <c r="AQ75" i="2"/>
  <c r="AQ502" i="2"/>
  <c r="AS75" i="2"/>
  <c r="AS502" i="2"/>
  <c r="AP158" i="2"/>
  <c r="AQ170" i="2"/>
  <c r="AQ158" i="2" l="1"/>
  <c r="AR158" i="2" l="1"/>
  <c r="AS158" i="2" l="1"/>
  <c r="AT158" i="2" s="1"/>
  <c r="AU158" i="2" l="1"/>
  <c r="S112" i="12"/>
  <c r="T112" i="12" l="1"/>
  <c r="U112" i="12" s="1"/>
  <c r="V112" i="12" s="1"/>
  <c r="AV158" i="2"/>
  <c r="W112" i="12" l="1"/>
  <c r="H102" i="2"/>
  <c r="H107" i="2" s="1"/>
  <c r="X112" i="12" l="1"/>
  <c r="Y112" i="12" s="1"/>
  <c r="E101" i="2"/>
  <c r="E107" i="2" s="1"/>
  <c r="I99" i="2"/>
  <c r="I101" i="2" s="1"/>
  <c r="G102" i="2"/>
  <c r="G107" i="2" s="1"/>
  <c r="Z112" i="12" l="1"/>
  <c r="AA112" i="12" s="1"/>
  <c r="L99" i="2"/>
  <c r="J99" i="2"/>
  <c r="J101" i="2" s="1"/>
  <c r="I102" i="2"/>
  <c r="I107" i="2" s="1"/>
  <c r="K99" i="2" l="1"/>
  <c r="J102" i="2"/>
  <c r="J107" i="2" s="1"/>
  <c r="M99" i="2"/>
  <c r="L102" i="2"/>
  <c r="L111" i="2" s="1"/>
  <c r="M102" i="2" l="1"/>
  <c r="M107" i="2" s="1"/>
  <c r="M100" i="2"/>
  <c r="O100" i="2" s="1"/>
  <c r="K102" i="2"/>
  <c r="K111" i="2" s="1"/>
  <c r="K100" i="2"/>
  <c r="L100" i="2" s="1"/>
  <c r="M111" i="2" l="1"/>
  <c r="P99" i="2"/>
  <c r="P101" i="2" s="1"/>
  <c r="Q99" i="2" s="1"/>
  <c r="Q101" i="2" s="1"/>
  <c r="Q102" i="2" s="1"/>
  <c r="R99" i="2"/>
  <c r="R101" i="2" s="1"/>
  <c r="U99" i="2" s="1"/>
  <c r="U101" i="2" s="1"/>
  <c r="O111" i="2"/>
  <c r="N111" i="2"/>
  <c r="S99" i="2" l="1"/>
  <c r="S101" i="2" s="1"/>
  <c r="T99" i="2" s="1"/>
  <c r="T101" i="2" s="1"/>
  <c r="T102" i="2" s="1"/>
  <c r="T111" i="2" s="1"/>
  <c r="P102" i="2"/>
  <c r="P111" i="2" s="1"/>
  <c r="P112" i="2" s="1"/>
  <c r="P113" i="2" s="1"/>
  <c r="P104" i="2" s="1"/>
  <c r="R102" i="2"/>
  <c r="R111" i="2" s="1"/>
  <c r="X99" i="2"/>
  <c r="X101" i="2" s="1"/>
  <c r="V99" i="2"/>
  <c r="V101" i="2" s="1"/>
  <c r="W99" i="2" s="1"/>
  <c r="Q111" i="2"/>
  <c r="U102" i="2"/>
  <c r="R112" i="2" l="1"/>
  <c r="R113" i="2" s="1"/>
  <c r="R104" i="2" s="1"/>
  <c r="S102" i="2"/>
  <c r="S111" i="2" s="1"/>
  <c r="S112" i="2" s="1"/>
  <c r="S113" i="2" s="1"/>
  <c r="S104" i="2" s="1"/>
  <c r="S105" i="2" s="1"/>
  <c r="U111" i="2"/>
  <c r="U112" i="2" s="1"/>
  <c r="U113" i="2" s="1"/>
  <c r="Y99" i="2"/>
  <c r="Y101" i="2" s="1"/>
  <c r="Z99" i="2" s="1"/>
  <c r="AA99" i="2"/>
  <c r="AA101" i="2" s="1"/>
  <c r="X102" i="2"/>
  <c r="X111" i="2" s="1"/>
  <c r="W101" i="2"/>
  <c r="W102" i="2" s="1"/>
  <c r="W111" i="2" s="1"/>
  <c r="V102" i="2"/>
  <c r="J123" i="2"/>
  <c r="J125" i="2" s="1"/>
  <c r="L123" i="2"/>
  <c r="Q104" i="2" l="1"/>
  <c r="U104" i="2"/>
  <c r="U105" i="2" s="1"/>
  <c r="L53" i="4" s="1"/>
  <c r="K52" i="4"/>
  <c r="V111" i="2"/>
  <c r="V112" i="2" s="1"/>
  <c r="V113" i="2" s="1"/>
  <c r="V104" i="2" s="1"/>
  <c r="V105" i="2" s="1"/>
  <c r="L52" i="4"/>
  <c r="AA102" i="2"/>
  <c r="AA111" i="2" s="1"/>
  <c r="AA112" i="2" s="1"/>
  <c r="AB99" i="2"/>
  <c r="AB101" i="2" s="1"/>
  <c r="AC99" i="2" s="1"/>
  <c r="AC101" i="2" s="1"/>
  <c r="AC102" i="2" s="1"/>
  <c r="AD99" i="2"/>
  <c r="AD101" i="2" s="1"/>
  <c r="X112" i="2"/>
  <c r="X113" i="2" s="1"/>
  <c r="Z101" i="2"/>
  <c r="Z102" i="2" s="1"/>
  <c r="Z111" i="2" s="1"/>
  <c r="Y102" i="2"/>
  <c r="Y111" i="2" s="1"/>
  <c r="M123" i="2"/>
  <c r="L126" i="2"/>
  <c r="L131" i="2" s="1"/>
  <c r="J126" i="2"/>
  <c r="J131" i="2" s="1"/>
  <c r="K123" i="2"/>
  <c r="X104" i="2" l="1"/>
  <c r="X105" i="2" s="1"/>
  <c r="M53" i="4" s="1"/>
  <c r="T104" i="2"/>
  <c r="T113" i="2" s="1"/>
  <c r="N131" i="2"/>
  <c r="M124" i="2"/>
  <c r="O124" i="2" s="1"/>
  <c r="K126" i="2"/>
  <c r="K124" i="2"/>
  <c r="L124" i="2" s="1"/>
  <c r="AB102" i="2"/>
  <c r="AB111" i="2" s="1"/>
  <c r="AE99" i="2"/>
  <c r="AE101" i="2" s="1"/>
  <c r="AG99" i="2"/>
  <c r="AG101" i="2" s="1"/>
  <c r="AD102" i="2"/>
  <c r="AD111" i="2" s="1"/>
  <c r="AC111" i="2"/>
  <c r="AA113" i="2"/>
  <c r="Y112" i="2"/>
  <c r="Y113" i="2" s="1"/>
  <c r="Y104" i="2" s="1"/>
  <c r="Y105" i="2" s="1"/>
  <c r="M126" i="2"/>
  <c r="M131" i="2" s="1"/>
  <c r="T105" i="2" l="1"/>
  <c r="M52" i="4"/>
  <c r="AA104" i="2"/>
  <c r="AA105" i="2" s="1"/>
  <c r="W104" i="2"/>
  <c r="W105" i="2" s="1"/>
  <c r="P123" i="2"/>
  <c r="P125" i="2" s="1"/>
  <c r="Q123" i="2" s="1"/>
  <c r="Q125" i="2" s="1"/>
  <c r="Q126" i="2" s="1"/>
  <c r="Q135" i="2" s="1"/>
  <c r="O131" i="2"/>
  <c r="R123" i="2"/>
  <c r="R125" i="2" s="1"/>
  <c r="S123" i="2" s="1"/>
  <c r="S125" i="2" s="1"/>
  <c r="T123" i="2" s="1"/>
  <c r="T125" i="2" s="1"/>
  <c r="AG102" i="2"/>
  <c r="AG111" i="2" s="1"/>
  <c r="AJ99" i="2"/>
  <c r="AJ101" i="2" s="1"/>
  <c r="AH99" i="2"/>
  <c r="AH101" i="2" s="1"/>
  <c r="AH102" i="2" s="1"/>
  <c r="AB112" i="2"/>
  <c r="AB113" i="2" s="1"/>
  <c r="AB104" i="2" s="1"/>
  <c r="AF99" i="2"/>
  <c r="AF101" i="2" s="1"/>
  <c r="AF102" i="2" s="1"/>
  <c r="AF111" i="2" s="1"/>
  <c r="AD112" i="2"/>
  <c r="AD113" i="2" s="1"/>
  <c r="AE102" i="2"/>
  <c r="AE111" i="2" s="1"/>
  <c r="K128" i="2"/>
  <c r="N129" i="2" s="1"/>
  <c r="AD104" i="2" l="1"/>
  <c r="W113" i="2"/>
  <c r="P126" i="2"/>
  <c r="P135" i="2" s="1"/>
  <c r="P136" i="2" s="1"/>
  <c r="U123" i="2"/>
  <c r="U125" i="2" s="1"/>
  <c r="X123" i="2" s="1"/>
  <c r="X125" i="2" s="1"/>
  <c r="R126" i="2"/>
  <c r="R135" i="2" s="1"/>
  <c r="K129" i="2"/>
  <c r="K131" i="2"/>
  <c r="AD183" i="2"/>
  <c r="AB183" i="2"/>
  <c r="AD11" i="2"/>
  <c r="AD105" i="2"/>
  <c r="AD107" i="2"/>
  <c r="AC104" i="2"/>
  <c r="AB105" i="2"/>
  <c r="AB11" i="2"/>
  <c r="AB107" i="2"/>
  <c r="AM99" i="2"/>
  <c r="AM101" i="2" s="1"/>
  <c r="AJ102" i="2"/>
  <c r="AJ111" i="2" s="1"/>
  <c r="AK99" i="2"/>
  <c r="AK101" i="2" s="1"/>
  <c r="AL99" i="2" s="1"/>
  <c r="AL101" i="2" s="1"/>
  <c r="AL102" i="2" s="1"/>
  <c r="AE112" i="2"/>
  <c r="AE113" i="2" s="1"/>
  <c r="AE104" i="2" s="1"/>
  <c r="AG112" i="2"/>
  <c r="AG113" i="2" s="1"/>
  <c r="AG104" i="2" s="1"/>
  <c r="AH111" i="2"/>
  <c r="AI99" i="2"/>
  <c r="AI101" i="2" s="1"/>
  <c r="AI102" i="2" s="1"/>
  <c r="AI111" i="2" s="1"/>
  <c r="S126" i="2"/>
  <c r="T126" i="2"/>
  <c r="T135" i="2" s="1"/>
  <c r="R136" i="2" l="1"/>
  <c r="R137" i="2" s="1"/>
  <c r="R128" i="2" s="1"/>
  <c r="K54" i="4" s="1"/>
  <c r="S135" i="2"/>
  <c r="S136" i="2" s="1"/>
  <c r="S137" i="2" s="1"/>
  <c r="P137" i="2"/>
  <c r="P128" i="2" s="1"/>
  <c r="P131" i="2" s="1"/>
  <c r="V123" i="2"/>
  <c r="V125" i="2" s="1"/>
  <c r="V126" i="2" s="1"/>
  <c r="V135" i="2" s="1"/>
  <c r="V136" i="2" s="1"/>
  <c r="U126" i="2"/>
  <c r="U135" i="2" s="1"/>
  <c r="U136" i="2" s="1"/>
  <c r="AG183" i="2"/>
  <c r="AE183" i="2"/>
  <c r="AC183" i="2"/>
  <c r="AL111" i="2"/>
  <c r="AG105" i="2"/>
  <c r="AG107" i="2"/>
  <c r="AF104" i="2"/>
  <c r="AG11" i="2"/>
  <c r="AH112" i="2"/>
  <c r="AH113" i="2" s="1"/>
  <c r="AH104" i="2" s="1"/>
  <c r="AJ112" i="2"/>
  <c r="AJ113" i="2" s="1"/>
  <c r="AJ104" i="2" s="1"/>
  <c r="AM102" i="2"/>
  <c r="AM111" i="2" s="1"/>
  <c r="AN99" i="2"/>
  <c r="AN101" i="2" s="1"/>
  <c r="AN102" i="2" s="1"/>
  <c r="AP99" i="2"/>
  <c r="AP101" i="2" s="1"/>
  <c r="AE105" i="2"/>
  <c r="AE11" i="2"/>
  <c r="AE107" i="2"/>
  <c r="AK102" i="2"/>
  <c r="AK111" i="2" s="1"/>
  <c r="AC107" i="2"/>
  <c r="AC11" i="2"/>
  <c r="Y123" i="2"/>
  <c r="Y125" i="2" s="1"/>
  <c r="Z123" i="2" s="1"/>
  <c r="Z125" i="2" s="1"/>
  <c r="AA123" i="2"/>
  <c r="AA125" i="2" s="1"/>
  <c r="X126" i="2"/>
  <c r="S128" i="2" l="1"/>
  <c r="S129" i="2" s="1"/>
  <c r="Q128" i="2"/>
  <c r="Q137" i="2" s="1"/>
  <c r="Q136" i="2" s="1"/>
  <c r="W123" i="2"/>
  <c r="W125" i="2" s="1"/>
  <c r="W126" i="2" s="1"/>
  <c r="W135" i="2" s="1"/>
  <c r="X135" i="2"/>
  <c r="X136" i="2" s="1"/>
  <c r="X137" i="2" s="1"/>
  <c r="U137" i="2"/>
  <c r="U128" i="2" s="1"/>
  <c r="U129" i="2" s="1"/>
  <c r="L55" i="4" s="1"/>
  <c r="AP102" i="2"/>
  <c r="AP111" i="2" s="1"/>
  <c r="AQ99" i="2"/>
  <c r="AQ101" i="2" s="1"/>
  <c r="AR99" i="2" s="1"/>
  <c r="AR101" i="2" s="1"/>
  <c r="AR102" i="2" s="1"/>
  <c r="AS99" i="2"/>
  <c r="AS101" i="2" s="1"/>
  <c r="AJ183" i="2"/>
  <c r="AH183" i="2"/>
  <c r="AF183" i="2"/>
  <c r="AN111" i="2"/>
  <c r="AN112" i="2" s="1"/>
  <c r="AN113" i="2" s="1"/>
  <c r="AH107" i="2"/>
  <c r="AH105" i="2"/>
  <c r="AH11" i="2"/>
  <c r="AK112" i="2"/>
  <c r="AK113" i="2" s="1"/>
  <c r="AK104" i="2" s="1"/>
  <c r="AK183" i="2" s="1"/>
  <c r="AO99" i="2"/>
  <c r="AO101" i="2" s="1"/>
  <c r="AO102" i="2" s="1"/>
  <c r="AO111" i="2" s="1"/>
  <c r="AF107" i="2"/>
  <c r="AF113" i="2"/>
  <c r="AF112" i="2" s="1"/>
  <c r="AF105" i="2"/>
  <c r="AM112" i="2"/>
  <c r="AM113" i="2" s="1"/>
  <c r="AM104" i="2" s="1"/>
  <c r="AM183" i="2" s="1"/>
  <c r="AB123" i="2"/>
  <c r="AB125" i="2" s="1"/>
  <c r="AC123" i="2" s="1"/>
  <c r="AC125" i="2" s="1"/>
  <c r="AC126" i="2" s="1"/>
  <c r="AD123" i="2"/>
  <c r="AD125" i="2" s="1"/>
  <c r="AJ11" i="2"/>
  <c r="AI104" i="2"/>
  <c r="AJ105" i="2"/>
  <c r="AJ107" i="2"/>
  <c r="AF11" i="2"/>
  <c r="V137" i="2"/>
  <c r="Y126" i="2"/>
  <c r="Y135" i="2" s="1"/>
  <c r="Y136" i="2" s="1"/>
  <c r="Y137" i="2" s="1"/>
  <c r="AA126" i="2"/>
  <c r="AA135" i="2" s="1"/>
  <c r="AA136" i="2" s="1"/>
  <c r="Z126" i="2"/>
  <c r="P184" i="2"/>
  <c r="V128" i="2" l="1"/>
  <c r="V129" i="2" s="1"/>
  <c r="AS102" i="2"/>
  <c r="AV99" i="2"/>
  <c r="AV101" i="2" s="1"/>
  <c r="AV102" i="2" s="1"/>
  <c r="AT99" i="2"/>
  <c r="AT101" i="2" s="1"/>
  <c r="AT102" i="2" s="1"/>
  <c r="T128" i="2"/>
  <c r="T131" i="2" s="1"/>
  <c r="L54" i="4"/>
  <c r="X128" i="2"/>
  <c r="Y128" i="2"/>
  <c r="Y129" i="2" s="1"/>
  <c r="AQ102" i="2"/>
  <c r="AQ111" i="2" s="1"/>
  <c r="AQ112" i="2" s="1"/>
  <c r="AQ113" i="2" s="1"/>
  <c r="AS111" i="2"/>
  <c r="AR111" i="2"/>
  <c r="AL183" i="2"/>
  <c r="AB126" i="2"/>
  <c r="AB135" i="2" s="1"/>
  <c r="AI183" i="2"/>
  <c r="AN104" i="2"/>
  <c r="AN11" i="2" s="1"/>
  <c r="AK107" i="2"/>
  <c r="AK11" i="2"/>
  <c r="AK105" i="2"/>
  <c r="AL104" i="2"/>
  <c r="AM11" i="2"/>
  <c r="AM105" i="2"/>
  <c r="AM107" i="2"/>
  <c r="AP112" i="2"/>
  <c r="AP113" i="2" s="1"/>
  <c r="AP104" i="2" s="1"/>
  <c r="AI105" i="2"/>
  <c r="AI113" i="2"/>
  <c r="AI112" i="2" s="1"/>
  <c r="AI107" i="2"/>
  <c r="AG123" i="2"/>
  <c r="AG125" i="2" s="1"/>
  <c r="AD126" i="2"/>
  <c r="AD135" i="2" s="1"/>
  <c r="AE123" i="2"/>
  <c r="AE125" i="2" s="1"/>
  <c r="AE126" i="2" s="1"/>
  <c r="AI11" i="2"/>
  <c r="AC135" i="2"/>
  <c r="AA137" i="2"/>
  <c r="Z135" i="2"/>
  <c r="P12" i="2"/>
  <c r="P129" i="2"/>
  <c r="AV111" i="2" l="1"/>
  <c r="AV112" i="2" s="1"/>
  <c r="AV113" i="2" s="1"/>
  <c r="AT111" i="2"/>
  <c r="AT112" i="2" s="1"/>
  <c r="AT113" i="2" s="1"/>
  <c r="X129" i="2"/>
  <c r="M55" i="4" s="1"/>
  <c r="M54" i="4"/>
  <c r="AU99" i="2"/>
  <c r="AU101" i="2" s="1"/>
  <c r="AU102" i="2" s="1"/>
  <c r="AU111" i="2" s="1"/>
  <c r="T137" i="2"/>
  <c r="T136" i="2" s="1"/>
  <c r="T129" i="2"/>
  <c r="W128" i="2"/>
  <c r="W129" i="2" s="1"/>
  <c r="AA128" i="2"/>
  <c r="AA129" i="2" s="1"/>
  <c r="AE135" i="2"/>
  <c r="AE136" i="2" s="1"/>
  <c r="AE137" i="2" s="1"/>
  <c r="AS112" i="2"/>
  <c r="AS113" i="2" s="1"/>
  <c r="AS104" i="2" s="1"/>
  <c r="AP183" i="2"/>
  <c r="AN107" i="2"/>
  <c r="AQ104" i="2"/>
  <c r="AN105" i="2"/>
  <c r="AN183" i="2"/>
  <c r="AB136" i="2"/>
  <c r="AB137" i="2" s="1"/>
  <c r="AB128" i="2" s="1"/>
  <c r="AD136" i="2"/>
  <c r="AD137" i="2" s="1"/>
  <c r="AL113" i="2"/>
  <c r="AL112" i="2" s="1"/>
  <c r="AL105" i="2"/>
  <c r="AL107" i="2"/>
  <c r="AJ123" i="2"/>
  <c r="AJ125" i="2" s="1"/>
  <c r="AH123" i="2"/>
  <c r="AH125" i="2" s="1"/>
  <c r="AI123" i="2" s="1"/>
  <c r="AI125" i="2" s="1"/>
  <c r="AI126" i="2" s="1"/>
  <c r="AG126" i="2"/>
  <c r="AG135" i="2" s="1"/>
  <c r="AP107" i="2"/>
  <c r="AO104" i="2"/>
  <c r="AP11" i="2"/>
  <c r="AO11" i="2" s="1"/>
  <c r="AP105" i="2"/>
  <c r="AF123" i="2"/>
  <c r="AF125" i="2" s="1"/>
  <c r="AF126" i="2" s="1"/>
  <c r="AF135" i="2" s="1"/>
  <c r="AL11" i="2"/>
  <c r="R129" i="2"/>
  <c r="K55" i="4" s="1"/>
  <c r="R184" i="2"/>
  <c r="Q184" i="2" s="1"/>
  <c r="Q131" i="2"/>
  <c r="Q129" i="2"/>
  <c r="R131" i="2"/>
  <c r="R12" i="2"/>
  <c r="Q12" i="2" s="1"/>
  <c r="AV104" i="2" l="1"/>
  <c r="AV105" i="2" s="1"/>
  <c r="AT104" i="2"/>
  <c r="W137" i="2"/>
  <c r="W136" i="2" s="1"/>
  <c r="Z128" i="2"/>
  <c r="Z129" i="2" s="1"/>
  <c r="AD128" i="2"/>
  <c r="AD12" i="2" s="1"/>
  <c r="AS107" i="2"/>
  <c r="AS183" i="2"/>
  <c r="AQ107" i="2"/>
  <c r="AQ183" i="2"/>
  <c r="AO183" i="2"/>
  <c r="AQ11" i="2"/>
  <c r="AQ105" i="2"/>
  <c r="AS105" i="2"/>
  <c r="AR104" i="2"/>
  <c r="AS11" i="2"/>
  <c r="AB184" i="2"/>
  <c r="AE128" i="2"/>
  <c r="AE129" i="2" s="1"/>
  <c r="AO107" i="2"/>
  <c r="AO105" i="2"/>
  <c r="AO113" i="2"/>
  <c r="AO112" i="2" s="1"/>
  <c r="AI135" i="2"/>
  <c r="AH126" i="2"/>
  <c r="AH135" i="2" s="1"/>
  <c r="AK123" i="2"/>
  <c r="AK125" i="2" s="1"/>
  <c r="AM123" i="2"/>
  <c r="AM125" i="2" s="1"/>
  <c r="AJ126" i="2"/>
  <c r="AJ135" i="2" s="1"/>
  <c r="AB131" i="2"/>
  <c r="AB129" i="2"/>
  <c r="AB12" i="2"/>
  <c r="AG136" i="2"/>
  <c r="AG137" i="2" s="1"/>
  <c r="S131" i="2"/>
  <c r="V184" i="2" s="1"/>
  <c r="S184" i="2"/>
  <c r="S12" i="2"/>
  <c r="AV107" i="2" l="1"/>
  <c r="AV11" i="2"/>
  <c r="AV183" i="2"/>
  <c r="AT11" i="2"/>
  <c r="AT107" i="2"/>
  <c r="AT105" i="2"/>
  <c r="AT183" i="2"/>
  <c r="AU104" i="2"/>
  <c r="Z137" i="2"/>
  <c r="Z136" i="2" s="1"/>
  <c r="AD184" i="2"/>
  <c r="AC184" i="2" s="1"/>
  <c r="AC128" i="2"/>
  <c r="AC131" i="2" s="1"/>
  <c r="AD129" i="2"/>
  <c r="AD131" i="2"/>
  <c r="AG128" i="2"/>
  <c r="AG129" i="2" s="1"/>
  <c r="AR11" i="2"/>
  <c r="AE12" i="2"/>
  <c r="AR183" i="2"/>
  <c r="AR105" i="2"/>
  <c r="AR113" i="2"/>
  <c r="AR112" i="2" s="1"/>
  <c r="AR107" i="2"/>
  <c r="AE131" i="2"/>
  <c r="AE184" i="2"/>
  <c r="AJ136" i="2"/>
  <c r="AJ137" i="2" s="1"/>
  <c r="AC12" i="2"/>
  <c r="AP123" i="2"/>
  <c r="AP125" i="2" s="1"/>
  <c r="AM126" i="2"/>
  <c r="AM135" i="2" s="1"/>
  <c r="AN123" i="2"/>
  <c r="AN125" i="2" s="1"/>
  <c r="AN126" i="2" s="1"/>
  <c r="AK126" i="2"/>
  <c r="AK135" i="2" s="1"/>
  <c r="AL123" i="2"/>
  <c r="AL125" i="2" s="1"/>
  <c r="AL126" i="2" s="1"/>
  <c r="AL135" i="2" s="1"/>
  <c r="AH136" i="2"/>
  <c r="AH137" i="2" s="1"/>
  <c r="AH128" i="2" s="1"/>
  <c r="V131" i="2"/>
  <c r="X184" i="2" s="1"/>
  <c r="W184" i="2" s="1"/>
  <c r="V12" i="2"/>
  <c r="AU11" i="2" l="1"/>
  <c r="AU183" i="2"/>
  <c r="AC129" i="2"/>
  <c r="AU113" i="2"/>
  <c r="AU112" i="2" s="1"/>
  <c r="AU107" i="2"/>
  <c r="AU105" i="2"/>
  <c r="AC137" i="2"/>
  <c r="AC136" i="2" s="1"/>
  <c r="AF128" i="2"/>
  <c r="AF129" i="2" s="1"/>
  <c r="AG12" i="2"/>
  <c r="AF12" i="2" s="1"/>
  <c r="AG184" i="2"/>
  <c r="AF184" i="2" s="1"/>
  <c r="AG131" i="2"/>
  <c r="AJ128" i="2"/>
  <c r="AI128" i="2" s="1"/>
  <c r="AP126" i="2"/>
  <c r="AP135" i="2" s="1"/>
  <c r="AS123" i="2"/>
  <c r="AS125" i="2" s="1"/>
  <c r="AQ123" i="2"/>
  <c r="AQ125" i="2" s="1"/>
  <c r="AR123" i="2" s="1"/>
  <c r="AR125" i="2" s="1"/>
  <c r="AR126" i="2" s="1"/>
  <c r="AH184" i="2"/>
  <c r="AO123" i="2"/>
  <c r="AO125" i="2" s="1"/>
  <c r="AO126" i="2" s="1"/>
  <c r="AO135" i="2" s="1"/>
  <c r="AK136" i="2"/>
  <c r="AK137" i="2" s="1"/>
  <c r="AK128" i="2" s="1"/>
  <c r="AN135" i="2"/>
  <c r="AH129" i="2"/>
  <c r="AH131" i="2"/>
  <c r="AH12" i="2"/>
  <c r="AM136" i="2"/>
  <c r="AM137" i="2" s="1"/>
  <c r="W131" i="2"/>
  <c r="Y12" i="2" s="1"/>
  <c r="X12" i="2"/>
  <c r="W12" i="2" s="1"/>
  <c r="U131" i="2"/>
  <c r="X131" i="2"/>
  <c r="U12" i="2"/>
  <c r="T12" i="2" s="1"/>
  <c r="U184" i="2"/>
  <c r="T184" i="2" s="1"/>
  <c r="AF131" i="2" l="1"/>
  <c r="AS126" i="2"/>
  <c r="AS135" i="2" s="1"/>
  <c r="AS136" i="2" s="1"/>
  <c r="AS137" i="2" s="1"/>
  <c r="AV123" i="2"/>
  <c r="AV125" i="2" s="1"/>
  <c r="AV126" i="2" s="1"/>
  <c r="AT123" i="2"/>
  <c r="AT125" i="2" s="1"/>
  <c r="AT126" i="2" s="1"/>
  <c r="AF137" i="2"/>
  <c r="AF136" i="2" s="1"/>
  <c r="AJ131" i="2"/>
  <c r="AM128" i="2"/>
  <c r="AM184" i="2" s="1"/>
  <c r="AJ129" i="2"/>
  <c r="AJ12" i="2"/>
  <c r="AI12" i="2" s="1"/>
  <c r="AJ184" i="2"/>
  <c r="AI184" i="2" s="1"/>
  <c r="AQ126" i="2"/>
  <c r="AQ135" i="2" s="1"/>
  <c r="AQ136" i="2" s="1"/>
  <c r="AQ137" i="2" s="1"/>
  <c r="AR135" i="2"/>
  <c r="AK184" i="2"/>
  <c r="AK129" i="2"/>
  <c r="AK12" i="2"/>
  <c r="AK131" i="2"/>
  <c r="AI131" i="2"/>
  <c r="AI137" i="2"/>
  <c r="AI136" i="2" s="1"/>
  <c r="AI129" i="2"/>
  <c r="AP136" i="2"/>
  <c r="AP137" i="2" s="1"/>
  <c r="AN136" i="2"/>
  <c r="AN137" i="2" s="1"/>
  <c r="AN128" i="2" s="1"/>
  <c r="Y131" i="2"/>
  <c r="AA184" i="2" s="1"/>
  <c r="Y184" i="2"/>
  <c r="AV135" i="2" l="1"/>
  <c r="AV136" i="2" s="1"/>
  <c r="AV137" i="2" s="1"/>
  <c r="AT135" i="2"/>
  <c r="AT136" i="2" s="1"/>
  <c r="AT137" i="2" s="1"/>
  <c r="AU123" i="2"/>
  <c r="AU125" i="2" s="1"/>
  <c r="AU126" i="2" s="1"/>
  <c r="AU135" i="2" s="1"/>
  <c r="AM129" i="2"/>
  <c r="AM131" i="2"/>
  <c r="AL128" i="2"/>
  <c r="AL137" i="2" s="1"/>
  <c r="AL136" i="2" s="1"/>
  <c r="AP128" i="2"/>
  <c r="AP184" i="2" s="1"/>
  <c r="AM12" i="2"/>
  <c r="AL12" i="2" s="1"/>
  <c r="AQ128" i="2"/>
  <c r="AQ131" i="2" s="1"/>
  <c r="AN184" i="2"/>
  <c r="AL184" i="2"/>
  <c r="AN131" i="2"/>
  <c r="AN129" i="2"/>
  <c r="AN12" i="2"/>
  <c r="AA131" i="2"/>
  <c r="Z131" i="2"/>
  <c r="Z184" i="2"/>
  <c r="AA12" i="2"/>
  <c r="Z12" i="2" s="1"/>
  <c r="AT128" i="2" l="1"/>
  <c r="AL129" i="2"/>
  <c r="AL131" i="2"/>
  <c r="AP131" i="2"/>
  <c r="AP129" i="2"/>
  <c r="AO128" i="2"/>
  <c r="AO131" i="2" s="1"/>
  <c r="AS128" i="2"/>
  <c r="AS12" i="2" s="1"/>
  <c r="AP12" i="2"/>
  <c r="AO12" i="2" s="1"/>
  <c r="AQ12" i="2"/>
  <c r="AQ184" i="2"/>
  <c r="AQ129" i="2"/>
  <c r="AO184" i="2"/>
  <c r="L349" i="2"/>
  <c r="AT131" i="2" l="1"/>
  <c r="AT129" i="2"/>
  <c r="AT12" i="2"/>
  <c r="AT184" i="2"/>
  <c r="AV128" i="2"/>
  <c r="AO129" i="2"/>
  <c r="AO137" i="2"/>
  <c r="AO136" i="2" s="1"/>
  <c r="AS184" i="2"/>
  <c r="AR184" i="2" s="1"/>
  <c r="AS131" i="2"/>
  <c r="AR128" i="2"/>
  <c r="AR137" i="2" s="1"/>
  <c r="AR136" i="2" s="1"/>
  <c r="AS129" i="2"/>
  <c r="AR12" i="2"/>
  <c r="K349" i="2"/>
  <c r="AV12" i="2" l="1"/>
  <c r="AU12" i="2" s="1"/>
  <c r="AV131" i="2"/>
  <c r="AV129" i="2"/>
  <c r="AU128" i="2"/>
  <c r="AV184" i="2"/>
  <c r="AU184" i="2" s="1"/>
  <c r="AR131" i="2"/>
  <c r="AR129" i="2"/>
  <c r="S38" i="4"/>
  <c r="L336" i="2"/>
  <c r="AU131" i="2" l="1"/>
  <c r="AU129" i="2"/>
  <c r="AU137" i="2"/>
  <c r="AU136" i="2" s="1"/>
  <c r="P109" i="1"/>
  <c r="Q109" i="1" s="1"/>
  <c r="R109" i="1" s="1"/>
  <c r="S109" i="1" l="1"/>
  <c r="T109" i="1" s="1"/>
  <c r="U109" i="1" s="1"/>
  <c r="V109" i="1" l="1"/>
  <c r="W109" i="1" s="1"/>
  <c r="X109" i="1" s="1"/>
  <c r="Y109" i="1" s="1"/>
  <c r="Z109" i="1" s="1"/>
  <c r="AA109" i="1" s="1"/>
  <c r="AB109" i="1" s="1"/>
  <c r="AC109" i="1" s="1"/>
  <c r="AD109" i="1" s="1"/>
  <c r="AE109" i="1" s="1"/>
  <c r="AF109" i="1" s="1"/>
  <c r="AG109" i="1" s="1"/>
  <c r="AH109" i="1" s="1"/>
  <c r="AI109" i="1" s="1"/>
  <c r="AJ109" i="1" s="1"/>
  <c r="AK109" i="1" s="1"/>
  <c r="AL109" i="1" s="1"/>
  <c r="AM109" i="1" s="1"/>
  <c r="AN109" i="1" s="1"/>
  <c r="AO109" i="1" s="1"/>
  <c r="AP109" i="1" s="1"/>
  <c r="AQ109" i="1" s="1"/>
  <c r="AR109" i="1" s="1"/>
  <c r="AS109" i="1" s="1"/>
  <c r="AT109" i="1" s="1"/>
  <c r="AU109" i="1" s="1"/>
  <c r="AV109" i="1" s="1"/>
  <c r="N125" i="1" l="1"/>
  <c r="R125" i="1"/>
  <c r="R128" i="1"/>
  <c r="P125" i="1" l="1"/>
  <c r="Q125" i="1" s="1"/>
  <c r="U125" i="1"/>
  <c r="U128" i="1"/>
  <c r="X125" i="1" l="1"/>
  <c r="S125" i="1"/>
  <c r="T125" i="1" s="1"/>
  <c r="X128" i="1"/>
  <c r="V125" i="1" l="1"/>
  <c r="W125" i="1" s="1"/>
  <c r="AA125" i="1"/>
  <c r="Y125" i="1" l="1"/>
  <c r="Z125" i="1" s="1"/>
  <c r="AD125" i="1"/>
  <c r="AB125" i="1" l="1"/>
  <c r="AC125" i="1" s="1"/>
  <c r="AG125" i="1"/>
  <c r="AJ125" i="1" l="1"/>
  <c r="AE125" i="1"/>
  <c r="AF125" i="1" s="1"/>
  <c r="AH125" i="1" l="1"/>
  <c r="AI125" i="1" s="1"/>
  <c r="AM125" i="1"/>
  <c r="AK125" i="1" l="1"/>
  <c r="AL125" i="1" s="1"/>
  <c r="AP125" i="1"/>
  <c r="AN125" i="1" l="1"/>
  <c r="AO125" i="1" s="1"/>
  <c r="AS125" i="1"/>
  <c r="AV125" i="1" s="1"/>
  <c r="AT125" i="1" l="1"/>
  <c r="AU125" i="1" s="1"/>
  <c r="AQ125" i="1"/>
  <c r="AR125" i="1" s="1"/>
  <c r="M502" i="2" l="1"/>
  <c r="BF74" i="2" l="1"/>
  <c r="J63" i="4" l="1"/>
  <c r="P75" i="2"/>
  <c r="P502" i="2"/>
  <c r="K63" i="4" l="1"/>
  <c r="AB75" i="2"/>
  <c r="S75" i="2"/>
  <c r="S502" i="2"/>
  <c r="R502" i="2"/>
  <c r="U75" i="2" l="1"/>
  <c r="L63" i="4"/>
  <c r="V75" i="2"/>
  <c r="V502" i="2"/>
  <c r="Y502" i="2"/>
  <c r="Y75" i="2"/>
  <c r="U502" i="2"/>
  <c r="M63" i="4" l="1"/>
  <c r="X502" i="2"/>
  <c r="X75" i="2"/>
  <c r="AA75" i="2" l="1"/>
  <c r="AA502" i="2"/>
  <c r="AD75" i="2" l="1"/>
  <c r="AG75" i="2" l="1"/>
  <c r="AJ75" i="2" l="1"/>
  <c r="AM75" i="2" l="1"/>
  <c r="U195" i="2"/>
  <c r="AP75" i="2" l="1"/>
  <c r="X195" i="2"/>
  <c r="AA195" i="2" s="1"/>
  <c r="AD195" i="2" l="1"/>
  <c r="AG195" i="2" l="1"/>
  <c r="AJ195" i="2" l="1"/>
  <c r="AM195" i="2" l="1"/>
  <c r="AP195" i="2" l="1"/>
  <c r="J94" i="2"/>
  <c r="J377" i="2"/>
  <c r="J420" i="2"/>
  <c r="J380" i="2"/>
  <c r="J10" i="1"/>
  <c r="J15" i="1" s="1"/>
  <c r="J21" i="1" l="1"/>
  <c r="AS195" i="2"/>
  <c r="AV195" i="2" s="1"/>
  <c r="J276" i="2"/>
  <c r="J278" i="2" s="1"/>
  <c r="J261" i="2"/>
  <c r="J263" i="2"/>
  <c r="J16" i="1"/>
  <c r="J29" i="1" l="1"/>
  <c r="J31" i="1" s="1"/>
  <c r="J22" i="1"/>
  <c r="J23" i="1"/>
  <c r="J285" i="2"/>
  <c r="J30" i="1" l="1"/>
  <c r="J286" i="2"/>
  <c r="K202" i="2" l="1"/>
  <c r="L202" i="2" s="1"/>
  <c r="M202" i="2" l="1"/>
  <c r="N202" i="2" s="1"/>
  <c r="O202" i="2" s="1"/>
  <c r="O201" i="2" s="1"/>
  <c r="P202" i="2" l="1"/>
  <c r="Q202" i="2" l="1"/>
  <c r="R202" i="2" s="1"/>
  <c r="S202" i="2" l="1"/>
  <c r="K104" i="2"/>
  <c r="N105" i="2" s="1"/>
  <c r="I53" i="4"/>
  <c r="L107" i="2"/>
  <c r="K107" i="2" l="1"/>
  <c r="K245" i="2"/>
  <c r="T202" i="2"/>
  <c r="U202" i="2" s="1"/>
  <c r="K105" i="2"/>
  <c r="V202" i="2" l="1"/>
  <c r="N107" i="2"/>
  <c r="W202" i="2" l="1"/>
  <c r="X202" i="2" s="1"/>
  <c r="J53" i="4"/>
  <c r="O107" i="2"/>
  <c r="P11" i="2"/>
  <c r="P105" i="2"/>
  <c r="P183" i="2"/>
  <c r="P107" i="2"/>
  <c r="Y202" i="2" l="1"/>
  <c r="R107" i="2"/>
  <c r="Q113" i="2"/>
  <c r="Q112" i="2" s="1"/>
  <c r="R11" i="2"/>
  <c r="R105" i="2"/>
  <c r="K53" i="4" s="1"/>
  <c r="R183" i="2"/>
  <c r="Q107" i="2"/>
  <c r="Q105" i="2"/>
  <c r="Z202" i="2" l="1"/>
  <c r="AA202" i="2" s="1"/>
  <c r="Q11" i="2"/>
  <c r="S11" i="2"/>
  <c r="S107" i="2"/>
  <c r="T112" i="2" s="1"/>
  <c r="S183" i="2"/>
  <c r="Q183" i="2"/>
  <c r="AB202" i="2" l="1"/>
  <c r="T107" i="2"/>
  <c r="AC202" i="2" l="1"/>
  <c r="AD202" i="2" s="1"/>
  <c r="V11" i="2"/>
  <c r="V107" i="2"/>
  <c r="W112" i="2" s="1"/>
  <c r="V183" i="2"/>
  <c r="U107" i="2"/>
  <c r="U11" i="2"/>
  <c r="U183" i="2"/>
  <c r="AE202" i="2" l="1"/>
  <c r="W107" i="2"/>
  <c r="T11" i="2"/>
  <c r="T183" i="2"/>
  <c r="AF202" i="2" l="1"/>
  <c r="AG202" i="2" s="1"/>
  <c r="Y107" i="2"/>
  <c r="Y11" i="2"/>
  <c r="Y183" i="2"/>
  <c r="X11" i="2"/>
  <c r="X183" i="2"/>
  <c r="X107" i="2"/>
  <c r="AH202" i="2" l="1"/>
  <c r="W183" i="2"/>
  <c r="W11" i="2"/>
  <c r="AI202" i="2" l="1"/>
  <c r="AJ202" i="2" s="1"/>
  <c r="AK202" i="2" l="1"/>
  <c r="AL202" i="2" l="1"/>
  <c r="AM202" i="2" s="1"/>
  <c r="P141" i="2"/>
  <c r="P139" i="2" l="1"/>
  <c r="P20" i="2" s="1"/>
  <c r="R141" i="2"/>
  <c r="AN202" i="2"/>
  <c r="O20" i="2"/>
  <c r="AO202" i="2" l="1"/>
  <c r="AP202" i="2" s="1"/>
  <c r="P12" i="1"/>
  <c r="O12" i="1"/>
  <c r="AQ202" i="2" l="1"/>
  <c r="AA11" i="2"/>
  <c r="Z11" i="2" s="1"/>
  <c r="Z104" i="2"/>
  <c r="AA107" i="2"/>
  <c r="AA183" i="2"/>
  <c r="Z183" i="2" s="1"/>
  <c r="AR202" i="2" l="1"/>
  <c r="AS202" i="2" s="1"/>
  <c r="AT202" i="2" s="1"/>
  <c r="AC113" i="2"/>
  <c r="AC112" i="2" s="1"/>
  <c r="AC105" i="2"/>
  <c r="Z105" i="2"/>
  <c r="Z113" i="2"/>
  <c r="Z112" i="2" s="1"/>
  <c r="Z107" i="2"/>
  <c r="L116" i="2"/>
  <c r="M19" i="2"/>
  <c r="M11" i="1" s="1"/>
  <c r="O117" i="2" l="1"/>
  <c r="AU202" i="2"/>
  <c r="AV202" i="2" s="1"/>
  <c r="L19" i="2"/>
  <c r="L11" i="1" s="1"/>
  <c r="L117" i="2"/>
  <c r="K116" i="2"/>
  <c r="N117" i="2" s="1"/>
  <c r="K19" i="2" l="1"/>
  <c r="K11" i="1" s="1"/>
  <c r="K117" i="2"/>
  <c r="K118" i="2"/>
  <c r="P118" i="2" l="1"/>
  <c r="P116" i="2" l="1"/>
  <c r="R118" i="2"/>
  <c r="R116" i="2" s="1"/>
  <c r="O19" i="2"/>
  <c r="P19" i="2" l="1"/>
  <c r="P11" i="1" s="1"/>
  <c r="P117" i="2"/>
  <c r="O11" i="1"/>
  <c r="N19" i="2"/>
  <c r="N11" i="1" l="1"/>
  <c r="R19" i="2" l="1"/>
  <c r="S118" i="2"/>
  <c r="R11" i="1" l="1"/>
  <c r="S116" i="2"/>
  <c r="S19" i="2" s="1"/>
  <c r="U118" i="2"/>
  <c r="R117" i="2"/>
  <c r="Q116" i="2"/>
  <c r="S117" i="2" l="1"/>
  <c r="Q19" i="2"/>
  <c r="Q11" i="1" s="1"/>
  <c r="Q118" i="2"/>
  <c r="Q117" i="2"/>
  <c r="S11" i="1"/>
  <c r="U116" i="2"/>
  <c r="T116" i="2" s="1"/>
  <c r="V118" i="2"/>
  <c r="V116" i="2" l="1"/>
  <c r="V19" i="2" s="1"/>
  <c r="X118" i="2"/>
  <c r="U117" i="2"/>
  <c r="T19" i="2"/>
  <c r="T117" i="2"/>
  <c r="T118" i="2"/>
  <c r="U19" i="2"/>
  <c r="V117" i="2" l="1"/>
  <c r="V11" i="1"/>
  <c r="T11" i="1"/>
  <c r="U11" i="1"/>
  <c r="X116" i="2"/>
  <c r="X19" i="2" s="1"/>
  <c r="Y118" i="2"/>
  <c r="X11" i="1" l="1"/>
  <c r="Y116" i="2"/>
  <c r="Y19" i="2" s="1"/>
  <c r="Y11" i="1" s="1"/>
  <c r="AA118" i="2"/>
  <c r="AB118" i="2" s="1"/>
  <c r="X117" i="2"/>
  <c r="W116" i="2"/>
  <c r="AD118" i="2" l="1"/>
  <c r="AB116" i="2"/>
  <c r="Y117" i="2"/>
  <c r="W117" i="2"/>
  <c r="W118" i="2"/>
  <c r="W19" i="2"/>
  <c r="AB19" i="2" l="1"/>
  <c r="AB11" i="1" s="1"/>
  <c r="AB117" i="2"/>
  <c r="AE118" i="2"/>
  <c r="AD116" i="2"/>
  <c r="W11" i="1"/>
  <c r="AA116" i="2"/>
  <c r="AA19" i="2" s="1"/>
  <c r="AA11" i="1" l="1"/>
  <c r="AC116" i="2"/>
  <c r="AD117" i="2"/>
  <c r="AD19" i="2"/>
  <c r="AG118" i="2"/>
  <c r="AE116" i="2"/>
  <c r="AA117" i="2"/>
  <c r="Z116" i="2"/>
  <c r="AD11" i="1" l="1"/>
  <c r="AH118" i="2"/>
  <c r="AG116" i="2"/>
  <c r="AE117" i="2"/>
  <c r="AE19" i="2"/>
  <c r="AE11" i="1" s="1"/>
  <c r="AC19" i="2"/>
  <c r="AC11" i="1" s="1"/>
  <c r="AC117" i="2"/>
  <c r="AC118" i="2"/>
  <c r="Z19" i="2"/>
  <c r="Z11" i="1" s="1"/>
  <c r="Z117" i="2"/>
  <c r="Z118" i="2"/>
  <c r="AG117" i="2" l="1"/>
  <c r="AF116" i="2"/>
  <c r="AG19" i="2"/>
  <c r="AJ118" i="2"/>
  <c r="AH116" i="2"/>
  <c r="AG11" i="1" l="1"/>
  <c r="AK118" i="2"/>
  <c r="AJ116" i="2"/>
  <c r="AF117" i="2"/>
  <c r="AF19" i="2"/>
  <c r="AF11" i="1" s="1"/>
  <c r="AF118" i="2"/>
  <c r="AH117" i="2"/>
  <c r="AH19" i="2"/>
  <c r="AH11" i="1" s="1"/>
  <c r="I63" i="4" l="1"/>
  <c r="AA76" i="2"/>
  <c r="AA77" i="2" s="1"/>
  <c r="AI116" i="2"/>
  <c r="AJ117" i="2"/>
  <c r="AJ19" i="2"/>
  <c r="AM118" i="2"/>
  <c r="AK116" i="2"/>
  <c r="L75" i="2"/>
  <c r="L502" i="2"/>
  <c r="AJ11" i="1" l="1"/>
  <c r="AN118" i="2"/>
  <c r="AM116" i="2"/>
  <c r="AK117" i="2"/>
  <c r="AK19" i="2"/>
  <c r="AK11" i="1" s="1"/>
  <c r="AI19" i="2"/>
  <c r="AI11" i="1" s="1"/>
  <c r="AI117" i="2"/>
  <c r="AI118" i="2"/>
  <c r="AM117" i="2" l="1"/>
  <c r="AM19" i="2"/>
  <c r="AL116" i="2"/>
  <c r="AP118" i="2"/>
  <c r="AN116" i="2"/>
  <c r="AM11" i="1" l="1"/>
  <c r="AP116" i="2"/>
  <c r="AO116" i="2" s="1"/>
  <c r="AQ118" i="2"/>
  <c r="AL117" i="2"/>
  <c r="AL19" i="2"/>
  <c r="AL11" i="1" s="1"/>
  <c r="AL118" i="2"/>
  <c r="AN19" i="2"/>
  <c r="AN11" i="1" s="1"/>
  <c r="AN117" i="2"/>
  <c r="G30" i="4"/>
  <c r="H30" i="4"/>
  <c r="C21" i="5"/>
  <c r="AP117" i="2" l="1"/>
  <c r="AP19" i="2"/>
  <c r="AS118" i="2"/>
  <c r="AQ116" i="2"/>
  <c r="AA29" i="3"/>
  <c r="AA30" i="3" s="1"/>
  <c r="H29" i="3"/>
  <c r="H30" i="3" s="1"/>
  <c r="AO117" i="2"/>
  <c r="AO118" i="2"/>
  <c r="AO19" i="2"/>
  <c r="AO11" i="1" s="1"/>
  <c r="G29" i="3"/>
  <c r="G30" i="3" s="1"/>
  <c r="R29" i="3"/>
  <c r="R30" i="3" s="1"/>
  <c r="V29" i="3"/>
  <c r="V30" i="3" s="1"/>
  <c r="Z29" i="3"/>
  <c r="Z30" i="3" s="1"/>
  <c r="X29" i="3"/>
  <c r="X30" i="3" s="1"/>
  <c r="U29" i="3"/>
  <c r="U30" i="3" s="1"/>
  <c r="S29" i="3"/>
  <c r="S30" i="3" s="1"/>
  <c r="W29" i="3"/>
  <c r="W30" i="3" s="1"/>
  <c r="T29" i="3"/>
  <c r="T30" i="3" s="1"/>
  <c r="Y29" i="3"/>
  <c r="Y30" i="3" s="1"/>
  <c r="J29" i="3"/>
  <c r="J30" i="3" s="1"/>
  <c r="I29" i="3"/>
  <c r="I30" i="3" s="1"/>
  <c r="Q29" i="3"/>
  <c r="Q30" i="3" s="1"/>
  <c r="N29" i="3"/>
  <c r="N30" i="3" s="1"/>
  <c r="H45" i="4"/>
  <c r="M29" i="3"/>
  <c r="M30" i="3" s="1"/>
  <c r="P29" i="3"/>
  <c r="P30" i="3" s="1"/>
  <c r="L29" i="3"/>
  <c r="L30" i="3" s="1"/>
  <c r="O29" i="3"/>
  <c r="O30" i="3" s="1"/>
  <c r="K29" i="3"/>
  <c r="K30" i="3" s="1"/>
  <c r="AS116" i="2" l="1"/>
  <c r="AR116" i="2" s="1"/>
  <c r="AT118" i="2"/>
  <c r="AP11" i="1"/>
  <c r="AQ117" i="2"/>
  <c r="AQ19" i="2"/>
  <c r="AQ11" i="1" s="1"/>
  <c r="H32" i="4"/>
  <c r="AS117" i="2" l="1"/>
  <c r="AS19" i="2"/>
  <c r="AV118" i="2"/>
  <c r="AV116" i="2" s="1"/>
  <c r="AT116" i="2"/>
  <c r="AR117" i="2"/>
  <c r="AR19" i="2"/>
  <c r="AR11" i="1" s="1"/>
  <c r="AR118" i="2"/>
  <c r="AS11" i="1" l="1"/>
  <c r="AT117" i="2"/>
  <c r="AT19" i="2"/>
  <c r="AT11" i="1" s="1"/>
  <c r="AV117" i="2"/>
  <c r="AU116" i="2"/>
  <c r="AV19" i="2"/>
  <c r="AV11" i="1" s="1"/>
  <c r="AU19" i="2" l="1"/>
  <c r="AU11" i="1" s="1"/>
  <c r="AU118" i="2"/>
  <c r="AU117" i="2"/>
  <c r="M141" i="2"/>
  <c r="L139" i="2"/>
  <c r="L92" i="2" s="1"/>
  <c r="L93" i="2" s="1"/>
  <c r="O94" i="2" l="1"/>
  <c r="O140" i="2"/>
  <c r="M139" i="2"/>
  <c r="L20" i="2"/>
  <c r="L12" i="1" s="1"/>
  <c r="K139" i="2"/>
  <c r="L140" i="2"/>
  <c r="N139" i="2" l="1"/>
  <c r="N141" i="2" s="1"/>
  <c r="M92" i="2"/>
  <c r="M140" i="2"/>
  <c r="M53" i="2"/>
  <c r="M54" i="2" s="1"/>
  <c r="M266" i="2" s="1"/>
  <c r="P140" i="2"/>
  <c r="M20" i="2"/>
  <c r="M12" i="1" s="1"/>
  <c r="K20" i="2"/>
  <c r="K12" i="1" s="1"/>
  <c r="K140" i="2"/>
  <c r="K141" i="2"/>
  <c r="N140" i="2" l="1"/>
  <c r="N92" i="2"/>
  <c r="M93" i="2"/>
  <c r="M18" i="2"/>
  <c r="M268" i="2"/>
  <c r="M272" i="2" s="1"/>
  <c r="M270" i="2"/>
  <c r="N20" i="2"/>
  <c r="N12" i="1" s="1"/>
  <c r="N336" i="2" l="1"/>
  <c r="O336" i="2" s="1"/>
  <c r="T38" i="4" l="1"/>
  <c r="AR5" i="12" l="1"/>
  <c r="AS5" i="12" l="1"/>
  <c r="AR7" i="12"/>
  <c r="AT5" i="12" l="1"/>
  <c r="AS7" i="12"/>
  <c r="AU5" i="12" l="1"/>
  <c r="AT7" i="12"/>
  <c r="AV5" i="12" l="1"/>
  <c r="AU7" i="12"/>
  <c r="AW5" i="12" l="1"/>
  <c r="AV7" i="12"/>
  <c r="AX5" i="12" l="1"/>
  <c r="AW7" i="12"/>
  <c r="AY5" i="12" l="1"/>
  <c r="AX7" i="12"/>
  <c r="AZ5" i="12" l="1"/>
  <c r="AY7" i="12"/>
  <c r="BA5" i="12" l="1"/>
  <c r="AZ7" i="12"/>
  <c r="BB5" i="12" l="1"/>
  <c r="BA7" i="12"/>
  <c r="BC5" i="12" l="1"/>
  <c r="BB7" i="12"/>
  <c r="BD5" i="12" l="1"/>
  <c r="BC7" i="12"/>
  <c r="BE5" i="12" l="1"/>
  <c r="BD7" i="12"/>
  <c r="BE7" i="12" l="1"/>
  <c r="BF5" i="12"/>
  <c r="BF7" i="12" s="1"/>
  <c r="I56" i="4" l="1"/>
  <c r="J56" i="4" l="1"/>
  <c r="K165" i="2"/>
  <c r="L21" i="2"/>
  <c r="L13" i="1" s="1"/>
  <c r="K250" i="2" l="1"/>
  <c r="N166" i="2"/>
  <c r="L312" i="2"/>
  <c r="L313" i="2" s="1"/>
  <c r="L316" i="2" s="1"/>
  <c r="L275" i="2"/>
  <c r="K169" i="2"/>
  <c r="K267" i="2" s="1"/>
  <c r="O271" i="2"/>
  <c r="K21" i="2"/>
  <c r="K13" i="1" s="1"/>
  <c r="K166" i="2"/>
  <c r="I15" i="4"/>
  <c r="I23" i="4"/>
  <c r="K312" i="2" l="1"/>
  <c r="K313" i="2" s="1"/>
  <c r="K271" i="2"/>
  <c r="R249" i="2"/>
  <c r="U249" i="2" s="1"/>
  <c r="K170" i="2"/>
  <c r="R316" i="2"/>
  <c r="O13" i="1"/>
  <c r="J15" i="4"/>
  <c r="S54" i="4"/>
  <c r="U316" i="2" l="1"/>
  <c r="S316" i="2"/>
  <c r="X316" i="2" l="1"/>
  <c r="V316" i="2"/>
  <c r="Y316" i="2" l="1"/>
  <c r="AA316" i="2"/>
  <c r="X249" i="2"/>
  <c r="AB316" i="2" l="1"/>
  <c r="AD316" i="2"/>
  <c r="AA249" i="2"/>
  <c r="AE316" i="2" l="1"/>
  <c r="AG316" i="2"/>
  <c r="AD249" i="2"/>
  <c r="AJ316" i="2" l="1"/>
  <c r="AH316" i="2"/>
  <c r="AG249" i="2"/>
  <c r="AM316" i="2" l="1"/>
  <c r="AK316" i="2"/>
  <c r="AJ249" i="2"/>
  <c r="AN316" i="2" l="1"/>
  <c r="AP316" i="2"/>
  <c r="AM249" i="2"/>
  <c r="AS316" i="2" l="1"/>
  <c r="AQ316" i="2"/>
  <c r="AP249" i="2"/>
  <c r="AV316" i="2" l="1"/>
  <c r="AT316" i="2"/>
  <c r="AS249" i="2"/>
  <c r="AV249" i="2" s="1"/>
  <c r="M312" i="2" l="1"/>
  <c r="M313" i="2" s="1"/>
  <c r="M316" i="2" s="1"/>
  <c r="N271" i="2"/>
  <c r="S249" i="2" l="1"/>
  <c r="Q249" i="2"/>
  <c r="M278" i="2" l="1"/>
  <c r="M285" i="2" s="1"/>
  <c r="V249" i="2"/>
  <c r="T249" i="2"/>
  <c r="N13" i="1"/>
  <c r="Q250" i="2"/>
  <c r="T250" i="2" l="1"/>
  <c r="Y249" i="2"/>
  <c r="W249" i="2"/>
  <c r="Z249" i="2" l="1"/>
  <c r="AB249" i="2"/>
  <c r="W250" i="2"/>
  <c r="Z250" i="2" l="1"/>
  <c r="AE249" i="2"/>
  <c r="AC249" i="2"/>
  <c r="AC250" i="2" l="1"/>
  <c r="AF249" i="2"/>
  <c r="AH249" i="2"/>
  <c r="AI249" i="2" l="1"/>
  <c r="AK249" i="2"/>
  <c r="AF250" i="2"/>
  <c r="AN249" i="2" l="1"/>
  <c r="AL249" i="2"/>
  <c r="AI250" i="2"/>
  <c r="AL250" i="2" l="1"/>
  <c r="AQ249" i="2"/>
  <c r="AT249" i="2" s="1"/>
  <c r="AO249" i="2"/>
  <c r="AU249" i="2" l="1"/>
  <c r="AR249" i="2"/>
  <c r="AO250" i="2"/>
  <c r="AU250" i="2" l="1"/>
  <c r="AR250" i="2"/>
  <c r="R383" i="2" l="1"/>
  <c r="M384" i="2" l="1"/>
  <c r="U383" i="2"/>
  <c r="X383" i="2" s="1"/>
  <c r="P383" i="2"/>
  <c r="S383" i="2" l="1"/>
  <c r="S384" i="2" s="1"/>
  <c r="P384" i="2"/>
  <c r="Q383" i="2"/>
  <c r="Q384" i="2" s="1"/>
  <c r="V383" i="2"/>
  <c r="AA383" i="2"/>
  <c r="T383" i="2" l="1"/>
  <c r="T384" i="2" s="1"/>
  <c r="V384" i="2"/>
  <c r="W383" i="2"/>
  <c r="AD383" i="2"/>
  <c r="Y383" i="2"/>
  <c r="Y384" i="2" s="1"/>
  <c r="W384" i="2" l="1"/>
  <c r="Z383" i="2"/>
  <c r="Z384" i="2" s="1"/>
  <c r="AB383" i="2"/>
  <c r="AB384" i="2" s="1"/>
  <c r="AG383" i="2"/>
  <c r="AC383" i="2" l="1"/>
  <c r="AC384" i="2" s="1"/>
  <c r="AE383" i="2"/>
  <c r="AE384" i="2" s="1"/>
  <c r="AJ383" i="2"/>
  <c r="AM383" i="2" l="1"/>
  <c r="AH383" i="2"/>
  <c r="AH384" i="2" s="1"/>
  <c r="AF383" i="2"/>
  <c r="AF384" i="2" s="1"/>
  <c r="AI383" i="2" l="1"/>
  <c r="AI384" i="2" s="1"/>
  <c r="AP383" i="2"/>
  <c r="AK383" i="2"/>
  <c r="AK384" i="2" s="1"/>
  <c r="AL383" i="2" l="1"/>
  <c r="AL384" i="2" s="1"/>
  <c r="AN383" i="2"/>
  <c r="AN384" i="2" s="1"/>
  <c r="AS383" i="2"/>
  <c r="AV383" i="2" s="1"/>
  <c r="AT383" i="2" l="1"/>
  <c r="AU383" i="2" s="1"/>
  <c r="AO383" i="2"/>
  <c r="AO384" i="2" s="1"/>
  <c r="AQ383" i="2"/>
  <c r="AQ384" i="2" s="1"/>
  <c r="AT384" i="2" l="1"/>
  <c r="AR383" i="2"/>
  <c r="AR384" i="2" s="1"/>
  <c r="AU384" i="2" l="1"/>
  <c r="S454" i="2" l="1"/>
  <c r="U454" i="2"/>
  <c r="V454" i="2"/>
  <c r="X454" i="2"/>
  <c r="Y454" i="2"/>
  <c r="AA454" i="2"/>
  <c r="AB454" i="2"/>
  <c r="AD454" i="2"/>
  <c r="AE454" i="2"/>
  <c r="AG454" i="2"/>
  <c r="AH454" i="2"/>
  <c r="AJ454" i="2"/>
  <c r="AK454" i="2"/>
  <c r="AM454" i="2"/>
  <c r="AN454" i="2"/>
  <c r="AP454" i="2"/>
  <c r="AQ454" i="2"/>
  <c r="AS454" i="2"/>
  <c r="AR454" i="2" l="1"/>
  <c r="AL454" i="2"/>
  <c r="AF454" i="2"/>
  <c r="Z454" i="2"/>
  <c r="AI454" i="2"/>
  <c r="AC454" i="2"/>
  <c r="W454" i="2"/>
  <c r="AO454" i="2"/>
  <c r="T454" i="2"/>
  <c r="S141" i="2"/>
  <c r="U141" i="2" s="1"/>
  <c r="U139" i="2" s="1"/>
  <c r="R139" i="2"/>
  <c r="R20" i="2" s="1"/>
  <c r="S139" i="2" l="1"/>
  <c r="S140" i="2" s="1"/>
  <c r="R12" i="1"/>
  <c r="R140" i="2"/>
  <c r="Q139" i="2"/>
  <c r="U140" i="2"/>
  <c r="S20" i="2" l="1"/>
  <c r="S12" i="1" s="1"/>
  <c r="T139" i="2"/>
  <c r="T140" i="2" s="1"/>
  <c r="T141" i="2" l="1"/>
  <c r="Q140" i="2"/>
  <c r="Q141" i="2"/>
  <c r="Q20" i="2"/>
  <c r="Q12" i="1" l="1"/>
  <c r="T20" i="2" l="1"/>
  <c r="V141" i="2"/>
  <c r="X141" i="2" s="1"/>
  <c r="X139" i="2" s="1"/>
  <c r="U20" i="2"/>
  <c r="T12" i="1" l="1"/>
  <c r="X140" i="2"/>
  <c r="V139" i="2"/>
  <c r="W139" i="2" s="1"/>
  <c r="U12" i="1"/>
  <c r="V20" i="2" l="1"/>
  <c r="V12" i="1" s="1"/>
  <c r="W141" i="2"/>
  <c r="W140" i="2"/>
  <c r="V140" i="2"/>
  <c r="W20" i="2" l="1"/>
  <c r="W12" i="1" s="1"/>
  <c r="Y141" i="2"/>
  <c r="X20" i="2"/>
  <c r="Y139" i="2" l="1"/>
  <c r="Y20" i="2" s="1"/>
  <c r="AA141" i="2"/>
  <c r="AA139" i="2" s="1"/>
  <c r="X12" i="1"/>
  <c r="Y140" i="2" l="1"/>
  <c r="Z139" i="2"/>
  <c r="AA140" i="2"/>
  <c r="Y12" i="1"/>
  <c r="Z140" i="2" l="1"/>
  <c r="Z141" i="2"/>
  <c r="Z20" i="2" l="1"/>
  <c r="Z12" i="1" s="1"/>
  <c r="AB141" i="2"/>
  <c r="AD141" i="2" s="1"/>
  <c r="AD139" i="2" s="1"/>
  <c r="AA20" i="2"/>
  <c r="AA12" i="1" s="1"/>
  <c r="AB139" i="2" l="1"/>
  <c r="AB140" i="2" s="1"/>
  <c r="AD140" i="2"/>
  <c r="AC139" i="2" l="1"/>
  <c r="AC141" i="2" s="1"/>
  <c r="AB20" i="2"/>
  <c r="AB12" i="1" s="1"/>
  <c r="AC140" i="2" l="1"/>
  <c r="AC20" i="2"/>
  <c r="AE141" i="2"/>
  <c r="AG141" i="2" s="1"/>
  <c r="AG139" i="2" s="1"/>
  <c r="AD20" i="2"/>
  <c r="AE139" i="2" l="1"/>
  <c r="AF139" i="2" s="1"/>
  <c r="AG140" i="2"/>
  <c r="AD12" i="1"/>
  <c r="AC12" i="1"/>
  <c r="AE20" i="2" l="1"/>
  <c r="AE12" i="1" s="1"/>
  <c r="AE140" i="2"/>
  <c r="AF141" i="2"/>
  <c r="AF140" i="2"/>
  <c r="AF20" i="2" l="1"/>
  <c r="AF12" i="1" s="1"/>
  <c r="AH141" i="2"/>
  <c r="AG20" i="2"/>
  <c r="AH139" i="2" l="1"/>
  <c r="AH20" i="2" s="1"/>
  <c r="AJ141" i="2"/>
  <c r="AJ139" i="2" s="1"/>
  <c r="AG12" i="1"/>
  <c r="AH140" i="2" l="1"/>
  <c r="AI139" i="2"/>
  <c r="AJ140" i="2"/>
  <c r="AH12" i="1"/>
  <c r="AI141" i="2" l="1"/>
  <c r="AI140" i="2"/>
  <c r="AI20" i="2" l="1"/>
  <c r="AK141" i="2"/>
  <c r="AM141" i="2" s="1"/>
  <c r="AM139" i="2" s="1"/>
  <c r="AJ20" i="2"/>
  <c r="AJ12" i="1" s="1"/>
  <c r="AI12" i="1" l="1"/>
  <c r="AM140" i="2"/>
  <c r="AK139" i="2"/>
  <c r="AL139" i="2" s="1"/>
  <c r="AK20" i="2" l="1"/>
  <c r="AK12" i="1" s="1"/>
  <c r="AL141" i="2"/>
  <c r="AL140" i="2"/>
  <c r="AK140" i="2"/>
  <c r="AL20" i="2" l="1"/>
  <c r="AN141" i="2"/>
  <c r="AM20" i="2"/>
  <c r="AN139" i="2" l="1"/>
  <c r="AN140" i="2" s="1"/>
  <c r="AP141" i="2"/>
  <c r="AP139" i="2" s="1"/>
  <c r="AL12" i="1"/>
  <c r="AM12" i="1"/>
  <c r="AN20" i="2" l="1"/>
  <c r="AN12" i="1" s="1"/>
  <c r="AO139" i="2"/>
  <c r="AP140" i="2"/>
  <c r="AO141" i="2" l="1"/>
  <c r="AO140" i="2"/>
  <c r="AO20" i="2" l="1"/>
  <c r="AO12" i="1" s="1"/>
  <c r="AP20" i="2"/>
  <c r="AQ141" i="2"/>
  <c r="AS141" i="2" s="1"/>
  <c r="AS139" i="2" l="1"/>
  <c r="AS140" i="2" s="1"/>
  <c r="AT141" i="2"/>
  <c r="AQ139" i="2"/>
  <c r="AQ140" i="2" s="1"/>
  <c r="AP12" i="1"/>
  <c r="AV141" i="2" l="1"/>
  <c r="AV139" i="2" s="1"/>
  <c r="AT139" i="2"/>
  <c r="AQ20" i="2"/>
  <c r="AQ12" i="1" s="1"/>
  <c r="AR139" i="2"/>
  <c r="AR140" i="2" s="1"/>
  <c r="AT140" i="2" l="1"/>
  <c r="AT20" i="2"/>
  <c r="AT12" i="1" s="1"/>
  <c r="AV20" i="2"/>
  <c r="AV12" i="1" s="1"/>
  <c r="AU139" i="2"/>
  <c r="AV140" i="2"/>
  <c r="AR141" i="2"/>
  <c r="AR20" i="2"/>
  <c r="AR12" i="1" s="1"/>
  <c r="AS20" i="2"/>
  <c r="AU140" i="2" l="1"/>
  <c r="AU141" i="2"/>
  <c r="AU20" i="2"/>
  <c r="AU12" i="1" s="1"/>
  <c r="AS12" i="1"/>
  <c r="I50" i="4" l="1"/>
  <c r="I51" i="4" l="1"/>
  <c r="K32" i="2" l="1"/>
  <c r="K33" i="2" s="1"/>
  <c r="K34" i="2" s="1"/>
  <c r="K501" i="2" s="1"/>
  <c r="K49" i="2"/>
  <c r="L495" i="2"/>
  <c r="K35" i="2" l="1"/>
  <c r="K36" i="2" s="1"/>
  <c r="K38" i="2"/>
  <c r="K41" i="2" s="1"/>
  <c r="L32" i="2"/>
  <c r="L33" i="2" s="1"/>
  <c r="O30" i="2" s="1"/>
  <c r="O33" i="2" s="1"/>
  <c r="O34" i="2" s="1"/>
  <c r="L49" i="2"/>
  <c r="L64" i="2"/>
  <c r="O35" i="2" l="1"/>
  <c r="O501" i="2"/>
  <c r="L65" i="2"/>
  <c r="L365" i="2" s="1"/>
  <c r="O65" i="2"/>
  <c r="L50" i="2"/>
  <c r="M30" i="2"/>
  <c r="L35" i="2"/>
  <c r="L34" i="2"/>
  <c r="K65" i="2"/>
  <c r="K50" i="2"/>
  <c r="K495" i="2"/>
  <c r="L363" i="2" l="1"/>
  <c r="O365" i="2"/>
  <c r="O363" i="2"/>
  <c r="O36" i="2"/>
  <c r="K363" i="2"/>
  <c r="K365" i="2"/>
  <c r="L38" i="2"/>
  <c r="L41" i="2" s="1"/>
  <c r="L36" i="2"/>
  <c r="L501" i="2"/>
  <c r="I62" i="4"/>
  <c r="K68" i="2" l="1"/>
  <c r="L69" i="2"/>
  <c r="O133" i="12"/>
  <c r="K362" i="2" l="1"/>
  <c r="K348" i="2"/>
  <c r="K221" i="2"/>
  <c r="K212" i="2"/>
  <c r="K215" i="2"/>
  <c r="K209" i="2"/>
  <c r="K89" i="2"/>
  <c r="K179" i="2" s="1"/>
  <c r="K72" i="2"/>
  <c r="K69" i="2"/>
  <c r="O129" i="12"/>
  <c r="O109" i="12"/>
  <c r="O112" i="12"/>
  <c r="L343" i="2"/>
  <c r="J341" i="2"/>
  <c r="L73" i="2"/>
  <c r="L201" i="2"/>
  <c r="L197" i="2"/>
  <c r="N73" i="2" l="1"/>
  <c r="J342" i="2"/>
  <c r="J389" i="2"/>
  <c r="K74" i="2"/>
  <c r="K275" i="2"/>
  <c r="K201" i="2"/>
  <c r="I21" i="4"/>
  <c r="J335" i="2"/>
  <c r="J395" i="2" s="1"/>
  <c r="M343" i="2"/>
  <c r="J33" i="1"/>
  <c r="J35" i="1" s="1"/>
  <c r="K341" i="2"/>
  <c r="K33" i="1" s="1"/>
  <c r="K197" i="2"/>
  <c r="K195" i="2" s="1"/>
  <c r="L199" i="2"/>
  <c r="K73" i="2"/>
  <c r="K92" i="2"/>
  <c r="N94" i="2" s="1"/>
  <c r="J38" i="1" l="1"/>
  <c r="J39" i="1" s="1"/>
  <c r="K342" i="2"/>
  <c r="K335" i="2"/>
  <c r="K93" i="2"/>
  <c r="K185" i="2"/>
  <c r="K75" i="2"/>
  <c r="K502" i="2"/>
  <c r="L53" i="2"/>
  <c r="L54" i="2" s="1"/>
  <c r="L266" i="2" s="1"/>
  <c r="L94" i="2"/>
  <c r="L18" i="2"/>
  <c r="L10" i="1" s="1"/>
  <c r="L15" i="1" s="1"/>
  <c r="J362" i="2"/>
  <c r="J359" i="2"/>
  <c r="K199" i="2"/>
  <c r="J337" i="2"/>
  <c r="J288" i="2"/>
  <c r="J290" i="2" s="1"/>
  <c r="L268" i="2" l="1"/>
  <c r="L272" i="2" s="1"/>
  <c r="L270" i="2"/>
  <c r="J40" i="1"/>
  <c r="L276" i="2"/>
  <c r="L278" i="2" s="1"/>
  <c r="L285" i="2" s="1"/>
  <c r="L21" i="1"/>
  <c r="L16" i="1"/>
  <c r="L179" i="2"/>
  <c r="I16" i="4"/>
  <c r="K53" i="2"/>
  <c r="K94" i="2"/>
  <c r="K18" i="2"/>
  <c r="K10" i="1" s="1"/>
  <c r="K15" i="1" s="1"/>
  <c r="L22" i="2"/>
  <c r="L380" i="2" s="1"/>
  <c r="I14" i="4"/>
  <c r="K54" i="2"/>
  <c r="K276" i="2" l="1"/>
  <c r="K278" i="2" s="1"/>
  <c r="K266" i="2"/>
  <c r="I22" i="4"/>
  <c r="K21" i="1"/>
  <c r="K16" i="1"/>
  <c r="L29" i="1"/>
  <c r="L23" i="1"/>
  <c r="L22" i="1"/>
  <c r="L260" i="2"/>
  <c r="L263" i="2" s="1"/>
  <c r="L377" i="2"/>
  <c r="I24" i="4"/>
  <c r="I25" i="4" s="1"/>
  <c r="F8" i="3"/>
  <c r="K22" i="2"/>
  <c r="K260" i="2" s="1"/>
  <c r="I17" i="4"/>
  <c r="K268" i="2" l="1"/>
  <c r="K272" i="2" s="1"/>
  <c r="K270" i="2"/>
  <c r="L286" i="2"/>
  <c r="L261" i="2"/>
  <c r="L38" i="1"/>
  <c r="L31" i="1"/>
  <c r="L30" i="1"/>
  <c r="K23" i="1"/>
  <c r="K29" i="1"/>
  <c r="K22" i="1"/>
  <c r="K285" i="2"/>
  <c r="K263" i="2"/>
  <c r="K261" i="2"/>
  <c r="K376" i="2"/>
  <c r="I18" i="4"/>
  <c r="S50" i="4"/>
  <c r="K379" i="2"/>
  <c r="L288" i="2"/>
  <c r="L290" i="2" s="1"/>
  <c r="K31" i="1" l="1"/>
  <c r="K30" i="1"/>
  <c r="L40" i="1"/>
  <c r="L39" i="1"/>
  <c r="K371" i="2"/>
  <c r="K380" i="2"/>
  <c r="K389" i="2"/>
  <c r="K288" i="2" s="1"/>
  <c r="K290" i="2" s="1"/>
  <c r="K377" i="2"/>
  <c r="K372" i="2"/>
  <c r="K392" i="2"/>
  <c r="I28" i="4"/>
  <c r="S51" i="4" s="1"/>
  <c r="K286" i="2"/>
  <c r="F10" i="3"/>
  <c r="F18" i="3"/>
  <c r="K395" i="2" l="1"/>
  <c r="K34" i="1"/>
  <c r="K35" i="1" s="1"/>
  <c r="K38" i="1" s="1"/>
  <c r="F20" i="3"/>
  <c r="F11" i="3"/>
  <c r="K40" i="1" l="1"/>
  <c r="K39" i="1"/>
  <c r="S39" i="4"/>
  <c r="S33" i="4"/>
  <c r="I30" i="4" l="1"/>
  <c r="F15" i="3"/>
  <c r="F19" i="3" s="1"/>
  <c r="I31" i="4" l="1"/>
  <c r="L296" i="2" l="1"/>
  <c r="I32" i="4"/>
  <c r="S52" i="4"/>
  <c r="S32" i="4"/>
  <c r="K307" i="2" l="1"/>
  <c r="K50" i="1" s="1"/>
  <c r="K308" i="2" l="1"/>
  <c r="K315" i="2"/>
  <c r="K316" i="2" l="1"/>
  <c r="K296" i="2"/>
  <c r="I37" i="4" l="1"/>
  <c r="F13" i="3"/>
  <c r="S35" i="4" l="1"/>
  <c r="L43" i="1" l="1"/>
  <c r="L44" i="1" s="1"/>
  <c r="L474" i="2"/>
  <c r="L292" i="2" s="1"/>
  <c r="L294" i="2" s="1"/>
  <c r="L47" i="1" l="1"/>
  <c r="L54" i="1" s="1"/>
  <c r="I38" i="4" s="1"/>
  <c r="I35" i="4"/>
  <c r="I36" i="4" l="1"/>
  <c r="L55" i="1"/>
  <c r="L59" i="1"/>
  <c r="I44" i="4" s="1"/>
  <c r="L58" i="1"/>
  <c r="S53" i="4" l="1"/>
  <c r="I39" i="4"/>
  <c r="S61" i="4"/>
  <c r="I45" i="4"/>
  <c r="J473" i="2"/>
  <c r="J43" i="1" s="1"/>
  <c r="J44" i="1" s="1"/>
  <c r="K473" i="2"/>
  <c r="K43" i="1" s="1"/>
  <c r="K44" i="1" s="1"/>
  <c r="K47" i="1" s="1"/>
  <c r="K54" i="1" s="1"/>
  <c r="J474" i="2"/>
  <c r="J292" i="2" s="1"/>
  <c r="J294" i="2" s="1"/>
  <c r="K474" i="2"/>
  <c r="K292" i="2" s="1"/>
  <c r="K294" i="2" s="1"/>
  <c r="J47" i="1" l="1"/>
  <c r="J54" i="1" s="1"/>
  <c r="J59" i="1" s="1"/>
  <c r="K59" i="1" s="1"/>
  <c r="K55" i="1"/>
  <c r="J58" i="1" l="1"/>
  <c r="K58" i="1" s="1"/>
  <c r="J55" i="1"/>
  <c r="K113" i="1"/>
  <c r="L113" i="1" l="1"/>
  <c r="I43" i="4"/>
  <c r="I42" i="4" s="1"/>
  <c r="L450" i="2"/>
  <c r="L451" i="2" s="1"/>
  <c r="L455" i="2" s="1"/>
  <c r="S14" i="4"/>
  <c r="L415" i="2"/>
  <c r="L420" i="2" s="1"/>
  <c r="S15" i="4"/>
  <c r="L416" i="2" l="1"/>
  <c r="L421" i="2" s="1"/>
  <c r="L80" i="1"/>
  <c r="K80" i="1" s="1"/>
  <c r="K450" i="2" l="1"/>
  <c r="K451" i="2" s="1"/>
  <c r="K455" i="2" s="1"/>
  <c r="K415" i="2"/>
  <c r="K420" i="2" s="1"/>
  <c r="K416" i="2"/>
  <c r="K421" i="2" s="1"/>
  <c r="L338" i="2"/>
  <c r="O334" i="2" s="1"/>
  <c r="S16" i="4"/>
  <c r="L337" i="2" l="1"/>
  <c r="M334" i="2"/>
  <c r="L360" i="2" l="1"/>
  <c r="M355" i="2" l="1"/>
  <c r="O355" i="2"/>
  <c r="L407" i="2"/>
  <c r="L408" i="2" s="1"/>
  <c r="L467" i="2" l="1"/>
  <c r="L411" i="2"/>
  <c r="L374" i="2" l="1"/>
  <c r="O370" i="2" s="1"/>
  <c r="L89" i="1"/>
  <c r="K89" i="1" s="1"/>
  <c r="S17" i="4"/>
  <c r="L90" i="1" l="1"/>
  <c r="K90" i="1" s="1"/>
  <c r="L373" i="2"/>
  <c r="M370" i="2"/>
  <c r="S19" i="4" l="1"/>
  <c r="S18" i="4" l="1"/>
  <c r="S55" i="4"/>
  <c r="K338" i="2" l="1"/>
  <c r="K337" i="2" s="1"/>
  <c r="K360" i="2"/>
  <c r="K374" i="2"/>
  <c r="K373" i="2" s="1"/>
  <c r="K407" i="2"/>
  <c r="K408" i="2" s="1"/>
  <c r="K467" i="2" l="1"/>
  <c r="K411" i="2"/>
  <c r="L417" i="2"/>
  <c r="L418" i="2" s="1"/>
  <c r="K93" i="1"/>
  <c r="S21" i="4"/>
  <c r="K417" i="2" l="1"/>
  <c r="K422" i="2" s="1"/>
  <c r="L422" i="2"/>
  <c r="K418" i="2" l="1"/>
  <c r="K94" i="1" l="1"/>
  <c r="P94" i="1" l="1"/>
  <c r="Q94" i="1" s="1"/>
  <c r="R94" i="1" s="1"/>
  <c r="S94" i="1" s="1"/>
  <c r="T94" i="1" s="1"/>
  <c r="U94" i="1" s="1"/>
  <c r="V94" i="1" s="1"/>
  <c r="W94" i="1" s="1"/>
  <c r="X94" i="1" s="1"/>
  <c r="Y94" i="1" s="1"/>
  <c r="Z94" i="1" s="1"/>
  <c r="AA94" i="1" s="1"/>
  <c r="AB94" i="1" s="1"/>
  <c r="AC94" i="1" s="1"/>
  <c r="AD94" i="1" s="1"/>
  <c r="AE94" i="1" s="1"/>
  <c r="AF94" i="1" s="1"/>
  <c r="AG94" i="1" s="1"/>
  <c r="AH94" i="1" s="1"/>
  <c r="AI94" i="1" s="1"/>
  <c r="AJ94" i="1" s="1"/>
  <c r="AK94" i="1" s="1"/>
  <c r="AL94" i="1" s="1"/>
  <c r="AM94" i="1" s="1"/>
  <c r="AN94" i="1" s="1"/>
  <c r="AO94" i="1" s="1"/>
  <c r="AP94" i="1" s="1"/>
  <c r="AQ94" i="1" s="1"/>
  <c r="AR94" i="1" s="1"/>
  <c r="AS94" i="1" s="1"/>
  <c r="AT94" i="1" s="1"/>
  <c r="AU94" i="1" s="1"/>
  <c r="AV94" i="1" s="1"/>
  <c r="K95" i="1"/>
  <c r="P95" i="1" l="1"/>
  <c r="Q95" i="1" s="1"/>
  <c r="R95" i="1" s="1"/>
  <c r="S95" i="1" s="1"/>
  <c r="T95" i="1" s="1"/>
  <c r="U95" i="1" s="1"/>
  <c r="V95" i="1" s="1"/>
  <c r="W95" i="1" s="1"/>
  <c r="X95" i="1" s="1"/>
  <c r="Y95" i="1" s="1"/>
  <c r="Z95" i="1" s="1"/>
  <c r="AA95" i="1" s="1"/>
  <c r="AB95" i="1" s="1"/>
  <c r="AC95" i="1" s="1"/>
  <c r="AD95" i="1" s="1"/>
  <c r="AE95" i="1" s="1"/>
  <c r="AF95" i="1" s="1"/>
  <c r="AG95" i="1" s="1"/>
  <c r="AH95" i="1" s="1"/>
  <c r="AI95" i="1" s="1"/>
  <c r="AJ95" i="1" s="1"/>
  <c r="AK95" i="1" s="1"/>
  <c r="AL95" i="1" s="1"/>
  <c r="AM95" i="1" s="1"/>
  <c r="AN95" i="1" s="1"/>
  <c r="AO95" i="1" s="1"/>
  <c r="AP95" i="1" s="1"/>
  <c r="AQ95" i="1" s="1"/>
  <c r="AR95" i="1" s="1"/>
  <c r="AS95" i="1" s="1"/>
  <c r="AT95" i="1" s="1"/>
  <c r="AU95" i="1" s="1"/>
  <c r="AV95" i="1" s="1"/>
  <c r="K96" i="1"/>
  <c r="P96" i="1" l="1"/>
  <c r="Q96" i="1" s="1"/>
  <c r="R96" i="1" s="1"/>
  <c r="S96" i="1" s="1"/>
  <c r="T96" i="1" s="1"/>
  <c r="U96" i="1" s="1"/>
  <c r="V96" i="1" s="1"/>
  <c r="W96" i="1" s="1"/>
  <c r="X96" i="1" s="1"/>
  <c r="Y96" i="1" s="1"/>
  <c r="Z96" i="1" s="1"/>
  <c r="AA96" i="1" s="1"/>
  <c r="AB96" i="1" s="1"/>
  <c r="AC96" i="1" s="1"/>
  <c r="AD96" i="1" s="1"/>
  <c r="AE96" i="1" s="1"/>
  <c r="AF96" i="1" s="1"/>
  <c r="AG96" i="1" s="1"/>
  <c r="AH96" i="1" s="1"/>
  <c r="AI96" i="1" s="1"/>
  <c r="AJ96" i="1" s="1"/>
  <c r="AK96" i="1" s="1"/>
  <c r="AL96" i="1" s="1"/>
  <c r="AM96" i="1" s="1"/>
  <c r="AN96" i="1" s="1"/>
  <c r="AO96" i="1" s="1"/>
  <c r="AP96" i="1" s="1"/>
  <c r="AQ96" i="1" s="1"/>
  <c r="AR96" i="1" s="1"/>
  <c r="AS96" i="1" s="1"/>
  <c r="AT96" i="1" s="1"/>
  <c r="AU96" i="1" s="1"/>
  <c r="AV96" i="1" s="1"/>
  <c r="K97" i="1"/>
  <c r="K126" i="1" s="1" a="1"/>
  <c r="K126" i="1" s="1"/>
  <c r="L126" i="1" s="1"/>
  <c r="L127" i="1" s="1"/>
  <c r="P97" i="1"/>
  <c r="Q97" i="1" s="1"/>
  <c r="R97" i="1" s="1"/>
  <c r="S97" i="1" s="1"/>
  <c r="T97" i="1" s="1"/>
  <c r="U97" i="1" s="1"/>
  <c r="V97" i="1" s="1"/>
  <c r="W97" i="1" s="1"/>
  <c r="X97" i="1" s="1"/>
  <c r="Y97" i="1" s="1"/>
  <c r="Z97" i="1" s="1"/>
  <c r="AA97" i="1" s="1"/>
  <c r="AB97" i="1" s="1"/>
  <c r="AC97" i="1" s="1"/>
  <c r="AD97" i="1" s="1"/>
  <c r="AE97" i="1" s="1"/>
  <c r="AF97" i="1" s="1"/>
  <c r="AG97" i="1" s="1"/>
  <c r="AH97" i="1" s="1"/>
  <c r="AI97" i="1" s="1"/>
  <c r="AJ97" i="1" s="1"/>
  <c r="AK97" i="1" s="1"/>
  <c r="AL97" i="1" s="1"/>
  <c r="AM97" i="1" s="1"/>
  <c r="AN97" i="1" s="1"/>
  <c r="AO97" i="1" s="1"/>
  <c r="AP97" i="1" s="1"/>
  <c r="AQ97" i="1" s="1"/>
  <c r="AR97" i="1" s="1"/>
  <c r="AS97" i="1" s="1"/>
  <c r="AT97" i="1" s="1"/>
  <c r="AU97" i="1" s="1"/>
  <c r="AV97" i="1" s="1"/>
  <c r="L98" i="1"/>
  <c r="K98" i="1" s="1"/>
  <c r="K424" i="2" l="1"/>
  <c r="L424" i="2" l="1"/>
  <c r="S34" i="4"/>
  <c r="F16" i="3" l="1"/>
  <c r="F17" i="3" l="1"/>
  <c r="F22" i="3"/>
  <c r="L438" i="2"/>
  <c r="M436" i="2" s="1"/>
  <c r="M437" i="2" s="1"/>
  <c r="S22" i="4"/>
  <c r="O436" i="2" l="1"/>
  <c r="L437" i="2"/>
  <c r="L464" i="2" l="1"/>
  <c r="L105" i="1"/>
  <c r="L106" i="1" l="1"/>
  <c r="L116" i="1" s="1"/>
  <c r="K105" i="1"/>
  <c r="S24" i="4"/>
  <c r="S23" i="4" s="1"/>
  <c r="L108" i="1" l="1"/>
  <c r="K108" i="1" s="1"/>
  <c r="L115" i="1"/>
  <c r="K106" i="1"/>
  <c r="K116" i="1" s="1"/>
  <c r="S26" i="4" l="1"/>
  <c r="S56" i="4" s="1"/>
  <c r="K438" i="2"/>
  <c r="K464" i="2"/>
  <c r="K115" i="1"/>
  <c r="K127" i="1"/>
  <c r="S37" i="4"/>
  <c r="S36" i="4" s="1"/>
  <c r="K437" i="2" l="1"/>
  <c r="N436" i="2"/>
  <c r="K137" i="1" l="1"/>
  <c r="S41" i="4"/>
  <c r="S40" i="4" s="1"/>
  <c r="K136" i="1"/>
  <c r="K144" i="1"/>
  <c r="K358" i="2" s="1"/>
  <c r="K359" i="2" l="1"/>
  <c r="L358" i="2"/>
  <c r="L359" i="2" s="1"/>
  <c r="K146" i="1"/>
  <c r="K145" i="1"/>
  <c r="S43" i="4"/>
  <c r="K147" i="1"/>
  <c r="S42" i="4"/>
  <c r="K148" i="1"/>
  <c r="K152" i="1" s="1"/>
  <c r="K156" i="1" s="1"/>
  <c r="L152" i="1"/>
  <c r="L156" i="1" s="1"/>
  <c r="L167" i="1"/>
  <c r="S45" i="4"/>
  <c r="L163" i="1" l="1"/>
  <c r="S46" i="4"/>
  <c r="S44" i="4"/>
  <c r="K142" i="1"/>
  <c r="L149" i="2"/>
  <c r="L150" i="2" s="1"/>
  <c r="O135" i="12"/>
  <c r="O147" i="2" l="1"/>
  <c r="O151" i="2"/>
  <c r="M151" i="2"/>
  <c r="L496" i="2"/>
  <c r="L493" i="2" s="1"/>
  <c r="K150" i="2"/>
  <c r="L151" i="2"/>
  <c r="L154" i="2" s="1"/>
  <c r="M147" i="2"/>
  <c r="M149" i="2" s="1"/>
  <c r="O149" i="2" l="1"/>
  <c r="P135" i="12" s="1"/>
  <c r="O152" i="2"/>
  <c r="M152" i="2"/>
  <c r="M154" i="2"/>
  <c r="P154" i="2" s="1"/>
  <c r="L155" i="2"/>
  <c r="L157" i="2"/>
  <c r="L152" i="2"/>
  <c r="K151" i="2"/>
  <c r="N152" i="2" s="1"/>
  <c r="K496" i="2"/>
  <c r="K493" i="2" s="1"/>
  <c r="M496" i="2"/>
  <c r="P157" i="2" l="1"/>
  <c r="P167" i="2" s="1"/>
  <c r="P21" i="2" s="1"/>
  <c r="R147" i="2"/>
  <c r="R150" i="2" s="1"/>
  <c r="M157" i="2"/>
  <c r="M155" i="2"/>
  <c r="K154" i="2"/>
  <c r="K152" i="2"/>
  <c r="Q147" i="2" l="1"/>
  <c r="P151" i="2"/>
  <c r="P152" i="2" s="1"/>
  <c r="P496" i="2"/>
  <c r="O154" i="2"/>
  <c r="S147" i="2"/>
  <c r="S150" i="2" s="1"/>
  <c r="Q150" i="2"/>
  <c r="R151" i="2"/>
  <c r="R152" i="2" s="1"/>
  <c r="U147" i="2"/>
  <c r="U150" i="2" s="1"/>
  <c r="R496" i="2"/>
  <c r="K155" i="2"/>
  <c r="K157" i="2"/>
  <c r="Q496" i="2" l="1"/>
  <c r="Q151" i="2"/>
  <c r="Q152" i="2" s="1"/>
  <c r="V147" i="2"/>
  <c r="V150" i="2" s="1"/>
  <c r="X147" i="2"/>
  <c r="X150" i="2" s="1"/>
  <c r="U496" i="2"/>
  <c r="T150" i="2"/>
  <c r="T496" i="2" s="1"/>
  <c r="U151" i="2"/>
  <c r="U152" i="2" s="1"/>
  <c r="S151" i="2"/>
  <c r="S152" i="2" s="1"/>
  <c r="T147" i="2"/>
  <c r="S496" i="2"/>
  <c r="O157" i="2"/>
  <c r="R154" i="2"/>
  <c r="R157" i="2" s="1"/>
  <c r="R165" i="2" s="1"/>
  <c r="O155" i="2"/>
  <c r="N154" i="2"/>
  <c r="S154" i="2"/>
  <c r="P155" i="2"/>
  <c r="Q165" i="2" l="1"/>
  <c r="Q167" i="2" s="1"/>
  <c r="Q21" i="2" s="1"/>
  <c r="R166" i="2"/>
  <c r="P169" i="2"/>
  <c r="Q154" i="2"/>
  <c r="N155" i="2"/>
  <c r="N157" i="2"/>
  <c r="T151" i="2"/>
  <c r="T152" i="2" s="1"/>
  <c r="W150" i="2"/>
  <c r="W496" i="2" s="1"/>
  <c r="Y147" i="2"/>
  <c r="Y150" i="2" s="1"/>
  <c r="X151" i="2"/>
  <c r="X152" i="2" s="1"/>
  <c r="AA147" i="2"/>
  <c r="AA150" i="2" s="1"/>
  <c r="X496" i="2"/>
  <c r="V496" i="2"/>
  <c r="W147" i="2"/>
  <c r="V151" i="2"/>
  <c r="V152" i="2" s="1"/>
  <c r="U154" i="2"/>
  <c r="R155" i="2"/>
  <c r="P13" i="2"/>
  <c r="P166" i="2"/>
  <c r="S157" i="2"/>
  <c r="S165" i="2" s="1"/>
  <c r="S155" i="2"/>
  <c r="V154" i="2"/>
  <c r="P175" i="2" l="1"/>
  <c r="P267" i="2"/>
  <c r="P271" i="2" s="1"/>
  <c r="R169" i="2"/>
  <c r="R167" i="2"/>
  <c r="R21" i="2" s="1"/>
  <c r="S167" i="2"/>
  <c r="S21" i="2" s="1"/>
  <c r="W151" i="2"/>
  <c r="W152" i="2" s="1"/>
  <c r="AB147" i="2"/>
  <c r="AB150" i="2" s="1"/>
  <c r="AA496" i="2"/>
  <c r="Z150" i="2"/>
  <c r="AA151" i="2"/>
  <c r="AA152" i="2" s="1"/>
  <c r="AD147" i="2"/>
  <c r="AD150" i="2" s="1"/>
  <c r="K56" i="4"/>
  <c r="R13" i="2"/>
  <c r="Q13" i="2" s="1"/>
  <c r="Z147" i="2"/>
  <c r="Y496" i="2"/>
  <c r="Y151" i="2"/>
  <c r="Y152" i="2" s="1"/>
  <c r="X154" i="2"/>
  <c r="U157" i="2"/>
  <c r="U165" i="2" s="1"/>
  <c r="U169" i="2" s="1"/>
  <c r="U175" i="2" s="1"/>
  <c r="U155" i="2"/>
  <c r="Q155" i="2"/>
  <c r="T154" i="2"/>
  <c r="Q157" i="2"/>
  <c r="S13" i="2"/>
  <c r="S166" i="2"/>
  <c r="S169" i="2"/>
  <c r="Y154" i="2"/>
  <c r="V155" i="2"/>
  <c r="V157" i="2"/>
  <c r="V165" i="2" s="1"/>
  <c r="P312" i="2"/>
  <c r="P13" i="1"/>
  <c r="S175" i="2" l="1"/>
  <c r="S267" i="2"/>
  <c r="U267" i="2"/>
  <c r="R175" i="2"/>
  <c r="R267" i="2"/>
  <c r="S271" i="2"/>
  <c r="Q166" i="2"/>
  <c r="Q169" i="2"/>
  <c r="V167" i="2"/>
  <c r="V21" i="2" s="1"/>
  <c r="U167" i="2"/>
  <c r="U21" i="2" s="1"/>
  <c r="U13" i="2"/>
  <c r="T13" i="2" s="1"/>
  <c r="L56" i="4"/>
  <c r="U166" i="2"/>
  <c r="T165" i="2"/>
  <c r="T167" i="2" s="1"/>
  <c r="T21" i="2" s="1"/>
  <c r="R312" i="2"/>
  <c r="K57" i="4"/>
  <c r="Z496" i="2"/>
  <c r="Z151" i="2"/>
  <c r="Z152" i="2" s="1"/>
  <c r="T155" i="2"/>
  <c r="W154" i="2"/>
  <c r="T157" i="2"/>
  <c r="X155" i="2"/>
  <c r="AA154" i="2"/>
  <c r="X157" i="2"/>
  <c r="X165" i="2" s="1"/>
  <c r="M56" i="4" s="1"/>
  <c r="R13" i="1"/>
  <c r="K15" i="4"/>
  <c r="AC150" i="2"/>
  <c r="AD151" i="2"/>
  <c r="AD152" i="2" s="1"/>
  <c r="AE147" i="2"/>
  <c r="AE150" i="2" s="1"/>
  <c r="AD496" i="2"/>
  <c r="AG147" i="2"/>
  <c r="AG150" i="2" s="1"/>
  <c r="AB151" i="2"/>
  <c r="AB152" i="2" s="1"/>
  <c r="AC147" i="2"/>
  <c r="AB496" i="2"/>
  <c r="S312" i="2"/>
  <c r="AB154" i="2"/>
  <c r="Y155" i="2"/>
  <c r="Y157" i="2"/>
  <c r="Y165" i="2" s="1"/>
  <c r="Q13" i="1"/>
  <c r="V13" i="2"/>
  <c r="V166" i="2"/>
  <c r="V169" i="2"/>
  <c r="S13" i="1"/>
  <c r="R271" i="2" l="1"/>
  <c r="V175" i="2"/>
  <c r="V267" i="2"/>
  <c r="Q175" i="2"/>
  <c r="Q267" i="2"/>
  <c r="Q271" i="2" s="1"/>
  <c r="U271" i="2"/>
  <c r="V271" i="2"/>
  <c r="Q312" i="2"/>
  <c r="Q170" i="2"/>
  <c r="T166" i="2"/>
  <c r="X167" i="2"/>
  <c r="X21" i="2" s="1"/>
  <c r="M15" i="4" s="1"/>
  <c r="Y167" i="2"/>
  <c r="Y21" i="2" s="1"/>
  <c r="AJ147" i="2"/>
  <c r="AJ150" i="2" s="1"/>
  <c r="AG496" i="2"/>
  <c r="AF150" i="2"/>
  <c r="AF496" i="2" s="1"/>
  <c r="AH147" i="2"/>
  <c r="AH150" i="2" s="1"/>
  <c r="AG151" i="2"/>
  <c r="AG152" i="2" s="1"/>
  <c r="AC496" i="2"/>
  <c r="AC151" i="2"/>
  <c r="AC152" i="2" s="1"/>
  <c r="X13" i="2"/>
  <c r="W13" i="2" s="1"/>
  <c r="X169" i="2"/>
  <c r="X166" i="2"/>
  <c r="W157" i="2"/>
  <c r="W155" i="2"/>
  <c r="Z154" i="2"/>
  <c r="L15" i="4"/>
  <c r="U13" i="1"/>
  <c r="AE151" i="2"/>
  <c r="AE152" i="2" s="1"/>
  <c r="AE496" i="2"/>
  <c r="AF147" i="2"/>
  <c r="AA157" i="2"/>
  <c r="AA165" i="2" s="1"/>
  <c r="Z165" i="2" s="1"/>
  <c r="AD154" i="2"/>
  <c r="AA155" i="2"/>
  <c r="U312" i="2"/>
  <c r="W165" i="2"/>
  <c r="T169" i="2"/>
  <c r="L57" i="4"/>
  <c r="Y13" i="2"/>
  <c r="Y166" i="2"/>
  <c r="Y169" i="2"/>
  <c r="T13" i="1"/>
  <c r="V312" i="2"/>
  <c r="V13" i="1"/>
  <c r="AE154" i="2"/>
  <c r="AB155" i="2"/>
  <c r="AB157" i="2"/>
  <c r="AB165" i="2" s="1"/>
  <c r="X175" i="2" l="1"/>
  <c r="X267" i="2"/>
  <c r="Y175" i="2"/>
  <c r="Y267" i="2"/>
  <c r="T175" i="2"/>
  <c r="T267" i="2"/>
  <c r="T271" i="2" s="1"/>
  <c r="X271" i="2"/>
  <c r="Y271" i="2"/>
  <c r="M57" i="4"/>
  <c r="AB167" i="2"/>
  <c r="AB21" i="2" s="1"/>
  <c r="AA167" i="2"/>
  <c r="AA21" i="2" s="1"/>
  <c r="W169" i="2"/>
  <c r="W167" i="2"/>
  <c r="AF151" i="2"/>
  <c r="AF152" i="2" s="1"/>
  <c r="W166" i="2"/>
  <c r="AA166" i="2"/>
  <c r="AA169" i="2"/>
  <c r="AA13" i="2"/>
  <c r="Z13" i="2" s="1"/>
  <c r="AH151" i="2"/>
  <c r="AH152" i="2" s="1"/>
  <c r="AI147" i="2"/>
  <c r="AH496" i="2"/>
  <c r="T312" i="2"/>
  <c r="T170" i="2"/>
  <c r="Z157" i="2"/>
  <c r="AC154" i="2"/>
  <c r="Z155" i="2"/>
  <c r="X13" i="1"/>
  <c r="X312" i="2"/>
  <c r="AG154" i="2"/>
  <c r="AD157" i="2"/>
  <c r="AD165" i="2" s="1"/>
  <c r="AD155" i="2"/>
  <c r="AK147" i="2"/>
  <c r="AK150" i="2" s="1"/>
  <c r="AJ151" i="2"/>
  <c r="AJ152" i="2" s="1"/>
  <c r="AJ496" i="2"/>
  <c r="AM147" i="2"/>
  <c r="AM150" i="2" s="1"/>
  <c r="AI150" i="2"/>
  <c r="Z166" i="2"/>
  <c r="AH154" i="2"/>
  <c r="AE155" i="2"/>
  <c r="AE157" i="2"/>
  <c r="AE165" i="2" s="1"/>
  <c r="Y13" i="1"/>
  <c r="AB13" i="2"/>
  <c r="AB169" i="2"/>
  <c r="AB166" i="2"/>
  <c r="Y312" i="2"/>
  <c r="Z167" i="2" l="1"/>
  <c r="Z21" i="2" s="1"/>
  <c r="W21" i="2"/>
  <c r="W13" i="1" s="1"/>
  <c r="AA175" i="2"/>
  <c r="AA267" i="2"/>
  <c r="AA271" i="2" s="1"/>
  <c r="W175" i="2"/>
  <c r="W267" i="2"/>
  <c r="W271" i="2" s="1"/>
  <c r="AB175" i="2"/>
  <c r="AB267" i="2"/>
  <c r="AB271" i="2" s="1"/>
  <c r="W170" i="2"/>
  <c r="W312" i="2"/>
  <c r="AD167" i="2"/>
  <c r="AD21" i="2" s="1"/>
  <c r="AE167" i="2"/>
  <c r="AE21" i="2" s="1"/>
  <c r="AA13" i="1"/>
  <c r="AL150" i="2"/>
  <c r="AM151" i="2"/>
  <c r="AM152" i="2" s="1"/>
  <c r="AN147" i="2"/>
  <c r="AN150" i="2" s="1"/>
  <c r="AP147" i="2"/>
  <c r="AP150" i="2" s="1"/>
  <c r="AM496" i="2"/>
  <c r="AA312" i="2"/>
  <c r="AD13" i="2"/>
  <c r="AC13" i="2" s="1"/>
  <c r="AD166" i="2"/>
  <c r="AD169" i="2"/>
  <c r="AD267" i="2" s="1"/>
  <c r="AC155" i="2"/>
  <c r="AF154" i="2"/>
  <c r="AC157" i="2"/>
  <c r="AJ154" i="2"/>
  <c r="AG155" i="2"/>
  <c r="AG157" i="2"/>
  <c r="AG165" i="2" s="1"/>
  <c r="AF165" i="2" s="1"/>
  <c r="AC165" i="2"/>
  <c r="AI496" i="2"/>
  <c r="AI151" i="2"/>
  <c r="AI152" i="2" s="1"/>
  <c r="AK151" i="2"/>
  <c r="AK152" i="2" s="1"/>
  <c r="AK496" i="2"/>
  <c r="AL147" i="2"/>
  <c r="Z169" i="2"/>
  <c r="AE13" i="2"/>
  <c r="AE166" i="2"/>
  <c r="AE169" i="2"/>
  <c r="Z13" i="1"/>
  <c r="AB13" i="1"/>
  <c r="AK154" i="2"/>
  <c r="AH155" i="2"/>
  <c r="AH157" i="2"/>
  <c r="AH165" i="2" s="1"/>
  <c r="AB312" i="2"/>
  <c r="AE175" i="2" l="1"/>
  <c r="AE267" i="2"/>
  <c r="Z175" i="2"/>
  <c r="Z267" i="2"/>
  <c r="AD271" i="2"/>
  <c r="AD175" i="2"/>
  <c r="AE271" i="2"/>
  <c r="Z271" i="2"/>
  <c r="AC167" i="2"/>
  <c r="AC169" i="2"/>
  <c r="AG167" i="2"/>
  <c r="AG21" i="2" s="1"/>
  <c r="AH167" i="2"/>
  <c r="AH21" i="2" s="1"/>
  <c r="AC166" i="2"/>
  <c r="AM154" i="2"/>
  <c r="AJ157" i="2"/>
  <c r="AJ165" i="2" s="1"/>
  <c r="AI165" i="2" s="1"/>
  <c r="AJ155" i="2"/>
  <c r="AD13" i="1"/>
  <c r="AL496" i="2"/>
  <c r="AL151" i="2"/>
  <c r="AL152" i="2" s="1"/>
  <c r="AG166" i="2"/>
  <c r="AG169" i="2"/>
  <c r="AG267" i="2" s="1"/>
  <c r="AG13" i="2"/>
  <c r="AF13" i="2" s="1"/>
  <c r="AD312" i="2"/>
  <c r="AS147" i="2"/>
  <c r="AS150" i="2" s="1"/>
  <c r="AP151" i="2"/>
  <c r="AP152" i="2" s="1"/>
  <c r="AO150" i="2"/>
  <c r="AQ147" i="2"/>
  <c r="AQ150" i="2" s="1"/>
  <c r="AP496" i="2"/>
  <c r="Z170" i="2"/>
  <c r="Z312" i="2"/>
  <c r="AF155" i="2"/>
  <c r="AF157" i="2"/>
  <c r="AI154" i="2"/>
  <c r="AN151" i="2"/>
  <c r="AN152" i="2" s="1"/>
  <c r="AO147" i="2"/>
  <c r="AN496" i="2"/>
  <c r="AH13" i="2"/>
  <c r="AH166" i="2"/>
  <c r="AH169" i="2"/>
  <c r="AE312" i="2"/>
  <c r="AF166" i="2"/>
  <c r="AN154" i="2"/>
  <c r="AK157" i="2"/>
  <c r="AK165" i="2" s="1"/>
  <c r="AK155" i="2"/>
  <c r="AE13" i="1"/>
  <c r="AF167" i="2" l="1"/>
  <c r="AF21" i="2" s="1"/>
  <c r="AF13" i="1" s="1"/>
  <c r="AC21" i="2"/>
  <c r="AC13" i="1" s="1"/>
  <c r="AH175" i="2"/>
  <c r="AH267" i="2"/>
  <c r="AH271" i="2" s="1"/>
  <c r="AC175" i="2"/>
  <c r="AC267" i="2"/>
  <c r="AC271" i="2" s="1"/>
  <c r="AG175" i="2"/>
  <c r="AG271" i="2"/>
  <c r="AV147" i="2"/>
  <c r="AV150" i="2" s="1"/>
  <c r="AV496" i="2" s="1"/>
  <c r="AT147" i="2"/>
  <c r="AT150" i="2" s="1"/>
  <c r="AT496" i="2" s="1"/>
  <c r="AJ167" i="2"/>
  <c r="AJ21" i="2" s="1"/>
  <c r="AC170" i="2"/>
  <c r="AF169" i="2"/>
  <c r="AC312" i="2"/>
  <c r="AK167" i="2"/>
  <c r="AK21" i="2" s="1"/>
  <c r="AR150" i="2"/>
  <c r="AS151" i="2"/>
  <c r="AS152" i="2" s="1"/>
  <c r="AS496" i="2"/>
  <c r="AG13" i="1"/>
  <c r="AQ151" i="2"/>
  <c r="AQ152" i="2" s="1"/>
  <c r="AR147" i="2"/>
  <c r="AQ496" i="2"/>
  <c r="AJ13" i="2"/>
  <c r="AI13" i="2" s="1"/>
  <c r="AJ169" i="2"/>
  <c r="AJ267" i="2" s="1"/>
  <c r="AJ166" i="2"/>
  <c r="AO496" i="2"/>
  <c r="AO151" i="2"/>
  <c r="AO152" i="2" s="1"/>
  <c r="AG312" i="2"/>
  <c r="AM157" i="2"/>
  <c r="AM165" i="2" s="1"/>
  <c r="AP154" i="2"/>
  <c r="AM155" i="2"/>
  <c r="AI157" i="2"/>
  <c r="AL154" i="2"/>
  <c r="AI155" i="2"/>
  <c r="AI166" i="2"/>
  <c r="AH312" i="2"/>
  <c r="AK13" i="2"/>
  <c r="AK166" i="2"/>
  <c r="AK169" i="2"/>
  <c r="AQ154" i="2"/>
  <c r="AT154" i="2" s="1"/>
  <c r="AN155" i="2"/>
  <c r="AN157" i="2"/>
  <c r="AN165" i="2" s="1"/>
  <c r="AH13" i="1"/>
  <c r="AI167" i="2" l="1"/>
  <c r="AI21" i="2" s="1"/>
  <c r="AI13" i="1" s="1"/>
  <c r="AK175" i="2"/>
  <c r="AK267" i="2"/>
  <c r="AF175" i="2"/>
  <c r="AF267" i="2"/>
  <c r="AF271" i="2" s="1"/>
  <c r="AJ271" i="2"/>
  <c r="AJ175" i="2"/>
  <c r="AK271" i="2"/>
  <c r="AT151" i="2"/>
  <c r="AT152" i="2" s="1"/>
  <c r="AU147" i="2"/>
  <c r="AT155" i="2"/>
  <c r="AT157" i="2"/>
  <c r="AT165" i="2" s="1"/>
  <c r="AV151" i="2"/>
  <c r="AV152" i="2" s="1"/>
  <c r="AU150" i="2"/>
  <c r="AM167" i="2"/>
  <c r="AM21" i="2" s="1"/>
  <c r="AF312" i="2"/>
  <c r="AI169" i="2"/>
  <c r="AF170" i="2"/>
  <c r="AN167" i="2"/>
  <c r="AN21" i="2" s="1"/>
  <c r="AJ312" i="2"/>
  <c r="AR496" i="2"/>
  <c r="AR151" i="2"/>
  <c r="AR152" i="2" s="1"/>
  <c r="AL157" i="2"/>
  <c r="AO154" i="2"/>
  <c r="AL155" i="2"/>
  <c r="AM166" i="2"/>
  <c r="AM13" i="2"/>
  <c r="AL13" i="2" s="1"/>
  <c r="AM169" i="2"/>
  <c r="AM267" i="2" s="1"/>
  <c r="AL165" i="2"/>
  <c r="AJ13" i="1"/>
  <c r="AS154" i="2"/>
  <c r="AV154" i="2" s="1"/>
  <c r="AP155" i="2"/>
  <c r="AP157" i="2"/>
  <c r="AP165" i="2" s="1"/>
  <c r="AO165" i="2" s="1"/>
  <c r="AN13" i="2"/>
  <c r="AN169" i="2"/>
  <c r="AN166" i="2"/>
  <c r="AK312" i="2"/>
  <c r="AK13" i="1"/>
  <c r="AQ157" i="2"/>
  <c r="AQ165" i="2" s="1"/>
  <c r="AQ155" i="2"/>
  <c r="AN175" i="2" l="1"/>
  <c r="AN267" i="2"/>
  <c r="AI175" i="2"/>
  <c r="AI267" i="2"/>
  <c r="AM175" i="2"/>
  <c r="AM271" i="2"/>
  <c r="AN271" i="2"/>
  <c r="AI271" i="2"/>
  <c r="AU151" i="2"/>
  <c r="AU152" i="2" s="1"/>
  <c r="AU496" i="2"/>
  <c r="AT166" i="2"/>
  <c r="AT169" i="2"/>
  <c r="AT13" i="2"/>
  <c r="AV155" i="2"/>
  <c r="AV157" i="2"/>
  <c r="AV165" i="2" s="1"/>
  <c r="AI170" i="2"/>
  <c r="AI312" i="2"/>
  <c r="AQ167" i="2"/>
  <c r="AL169" i="2"/>
  <c r="AL312" i="2" s="1"/>
  <c r="AL167" i="2"/>
  <c r="AP167" i="2"/>
  <c r="AP21" i="2" s="1"/>
  <c r="AL166" i="2"/>
  <c r="AP169" i="2"/>
  <c r="AP13" i="2"/>
  <c r="AO13" i="2" s="1"/>
  <c r="AP166" i="2"/>
  <c r="AM312" i="2"/>
  <c r="AM13" i="1"/>
  <c r="AS157" i="2"/>
  <c r="AS165" i="2" s="1"/>
  <c r="AS169" i="2" s="1"/>
  <c r="AS155" i="2"/>
  <c r="AR154" i="2"/>
  <c r="AU154" i="2" s="1"/>
  <c r="AO155" i="2"/>
  <c r="AO157" i="2"/>
  <c r="AQ13" i="2"/>
  <c r="AQ169" i="2"/>
  <c r="AQ166" i="2"/>
  <c r="AO166" i="2"/>
  <c r="AN312" i="2"/>
  <c r="AN13" i="1"/>
  <c r="AO167" i="2" l="1"/>
  <c r="AO21" i="2" s="1"/>
  <c r="AL21" i="2"/>
  <c r="AL13" i="1" s="1"/>
  <c r="AT167" i="2"/>
  <c r="AT21" i="2" s="1"/>
  <c r="AT13" i="1" s="1"/>
  <c r="AQ21" i="2"/>
  <c r="AQ13" i="1" s="1"/>
  <c r="AQ175" i="2"/>
  <c r="AQ267" i="2"/>
  <c r="AQ271" i="2" s="1"/>
  <c r="AT175" i="2"/>
  <c r="AT267" i="2"/>
  <c r="AT271" i="2" s="1"/>
  <c r="AL175" i="2"/>
  <c r="AL267" i="2"/>
  <c r="AL271" i="2" s="1"/>
  <c r="AP175" i="2"/>
  <c r="AP267" i="2"/>
  <c r="AP271" i="2" s="1"/>
  <c r="AS175" i="2"/>
  <c r="AS267" i="2"/>
  <c r="AO169" i="2"/>
  <c r="AO267" i="2" s="1"/>
  <c r="AL170" i="2"/>
  <c r="AT312" i="2"/>
  <c r="AV13" i="2"/>
  <c r="AU13" i="2" s="1"/>
  <c r="AV166" i="2"/>
  <c r="AV169" i="2"/>
  <c r="AU165" i="2"/>
  <c r="AU155" i="2"/>
  <c r="AU157" i="2"/>
  <c r="AS167" i="2"/>
  <c r="AS13" i="2"/>
  <c r="AR13" i="2" s="1"/>
  <c r="AR169" i="2"/>
  <c r="AS166" i="2"/>
  <c r="AP13" i="1"/>
  <c r="AR157" i="2"/>
  <c r="AR155" i="2"/>
  <c r="AR165" i="2"/>
  <c r="AR167" i="2" s="1"/>
  <c r="AR21" i="2" s="1"/>
  <c r="AP312" i="2"/>
  <c r="AO13" i="1"/>
  <c r="AQ312" i="2"/>
  <c r="AV167" i="2" l="1"/>
  <c r="AV21" i="2" s="1"/>
  <c r="AV13" i="1" s="1"/>
  <c r="AS21" i="2"/>
  <c r="AO312" i="2"/>
  <c r="AR175" i="2"/>
  <c r="AR267" i="2"/>
  <c r="AR271" i="2" s="1"/>
  <c r="AV175" i="2"/>
  <c r="AV267" i="2"/>
  <c r="AV271" i="2" s="1"/>
  <c r="AO170" i="2"/>
  <c r="AO271" i="2"/>
  <c r="AO175" i="2"/>
  <c r="AS271" i="2"/>
  <c r="AV312" i="2"/>
  <c r="AU166" i="2"/>
  <c r="AU169" i="2"/>
  <c r="AU167" i="2"/>
  <c r="AU21" i="2" s="1"/>
  <c r="AU13" i="1" s="1"/>
  <c r="AR170" i="2"/>
  <c r="AR312" i="2"/>
  <c r="AS312" i="2"/>
  <c r="AR13" i="1"/>
  <c r="AR166" i="2"/>
  <c r="AS13" i="1" l="1"/>
  <c r="AU175" i="2"/>
  <c r="AU267" i="2"/>
  <c r="AU271" i="2" s="1"/>
  <c r="AU312" i="2"/>
  <c r="AU170" i="2"/>
  <c r="M15" i="2" l="1"/>
  <c r="M32" i="2" l="1"/>
  <c r="M33" i="2" s="1"/>
  <c r="M495" i="2"/>
  <c r="M493" i="2" s="1"/>
  <c r="M490" i="2" s="1"/>
  <c r="P490" i="2" s="1"/>
  <c r="M38" i="2" l="1"/>
  <c r="N30" i="2"/>
  <c r="N33" i="2" s="1"/>
  <c r="M34" i="2"/>
  <c r="M35" i="2"/>
  <c r="M50" i="2"/>
  <c r="O49" i="2"/>
  <c r="M49" i="2"/>
  <c r="N35" i="2" l="1"/>
  <c r="N36" i="2" s="1"/>
  <c r="N34" i="2"/>
  <c r="N501" i="2" s="1"/>
  <c r="S490" i="2"/>
  <c r="M36" i="2"/>
  <c r="M501" i="2"/>
  <c r="R60" i="2" l="1"/>
  <c r="R63" i="2" s="1"/>
  <c r="R64" i="2" s="1"/>
  <c r="P60" i="2"/>
  <c r="P63" i="2" s="1"/>
  <c r="V490" i="2"/>
  <c r="M201" i="2" l="1"/>
  <c r="N201" i="2" s="1"/>
  <c r="M199" i="2"/>
  <c r="R30" i="2"/>
  <c r="P30" i="2"/>
  <c r="J62" i="4"/>
  <c r="Y490" i="2"/>
  <c r="N50" i="2"/>
  <c r="O50" i="2"/>
  <c r="M187" i="2" l="1"/>
  <c r="U60" i="2"/>
  <c r="R65" i="2"/>
  <c r="S60" i="2"/>
  <c r="R495" i="2"/>
  <c r="R493" i="2" s="1"/>
  <c r="R494" i="2" s="1"/>
  <c r="AB490" i="2"/>
  <c r="M181" i="2" l="1"/>
  <c r="N187" i="2"/>
  <c r="M179" i="2"/>
  <c r="U63" i="2"/>
  <c r="AE490" i="2"/>
  <c r="S63" i="2"/>
  <c r="R363" i="2"/>
  <c r="R365" i="2"/>
  <c r="T490" i="2"/>
  <c r="R490" i="2"/>
  <c r="O14" i="2" l="1"/>
  <c r="T60" i="2"/>
  <c r="S495" i="2"/>
  <c r="S493" i="2" s="1"/>
  <c r="S64" i="2"/>
  <c r="V60" i="2"/>
  <c r="X60" i="2"/>
  <c r="U64" i="2"/>
  <c r="U65" i="2" s="1"/>
  <c r="U495" i="2"/>
  <c r="U493" i="2" s="1"/>
  <c r="U494" i="2" s="1"/>
  <c r="W490" i="2"/>
  <c r="U490" i="2"/>
  <c r="U491" i="2" s="1"/>
  <c r="AH490" i="2"/>
  <c r="O15" i="2" l="1"/>
  <c r="O255" i="2"/>
  <c r="U365" i="2"/>
  <c r="U363" i="2"/>
  <c r="X63" i="2"/>
  <c r="S489" i="2"/>
  <c r="AK490" i="2"/>
  <c r="Z490" i="2"/>
  <c r="X490" i="2"/>
  <c r="X491" i="2" s="1"/>
  <c r="V63" i="2"/>
  <c r="T63" i="2"/>
  <c r="O277" i="2" l="1"/>
  <c r="N15" i="2"/>
  <c r="BH14" i="2"/>
  <c r="T495" i="2"/>
  <c r="T493" i="2" s="1"/>
  <c r="T64" i="2"/>
  <c r="W60" i="2"/>
  <c r="V495" i="2"/>
  <c r="V493" i="2" s="1"/>
  <c r="V64" i="2"/>
  <c r="V65" i="2" s="1"/>
  <c r="AN490" i="2"/>
  <c r="S483" i="2"/>
  <c r="AC490" i="2"/>
  <c r="AA490" i="2"/>
  <c r="AA491" i="2" s="1"/>
  <c r="Y60" i="2"/>
  <c r="AA60" i="2"/>
  <c r="X64" i="2"/>
  <c r="X65" i="2" s="1"/>
  <c r="X495" i="2"/>
  <c r="X493" i="2" s="1"/>
  <c r="X494" i="2" s="1"/>
  <c r="R277" i="2" l="1"/>
  <c r="BH15" i="2"/>
  <c r="BI14" i="2"/>
  <c r="N277" i="2"/>
  <c r="V363" i="2"/>
  <c r="V365" i="2"/>
  <c r="AA63" i="2"/>
  <c r="AQ490" i="2"/>
  <c r="AT490" i="2" s="1"/>
  <c r="W63" i="2"/>
  <c r="M94" i="2"/>
  <c r="M10" i="1"/>
  <c r="M15" i="1" s="1"/>
  <c r="S284" i="2"/>
  <c r="X363" i="2"/>
  <c r="X365" i="2"/>
  <c r="Y63" i="2"/>
  <c r="AF490" i="2"/>
  <c r="AD490" i="2"/>
  <c r="AD491" i="2" s="1"/>
  <c r="V494" i="2"/>
  <c r="V489" i="2"/>
  <c r="T489" i="2"/>
  <c r="M21" i="1" l="1"/>
  <c r="M16" i="1"/>
  <c r="V483" i="2"/>
  <c r="J23" i="4"/>
  <c r="T54" i="4"/>
  <c r="AD60" i="2"/>
  <c r="AB60" i="2"/>
  <c r="AA64" i="2"/>
  <c r="AA65" i="2" s="1"/>
  <c r="AA495" i="2"/>
  <c r="AA493" i="2" s="1"/>
  <c r="AA494" i="2" s="1"/>
  <c r="T483" i="2"/>
  <c r="U489" i="2"/>
  <c r="U483" i="2" s="1"/>
  <c r="AI490" i="2"/>
  <c r="AG490" i="2"/>
  <c r="AG491" i="2" s="1"/>
  <c r="Z60" i="2"/>
  <c r="Y495" i="2"/>
  <c r="Y493" i="2" s="1"/>
  <c r="Y64" i="2"/>
  <c r="Y65" i="2" s="1"/>
  <c r="M22" i="2"/>
  <c r="M260" i="2" s="1"/>
  <c r="M286" i="2" s="1"/>
  <c r="W495" i="2"/>
  <c r="W493" i="2" s="1"/>
  <c r="W64" i="2"/>
  <c r="W65" i="2" s="1"/>
  <c r="M23" i="1" l="1"/>
  <c r="M29" i="1"/>
  <c r="M22" i="1"/>
  <c r="M380" i="2"/>
  <c r="M377" i="2"/>
  <c r="M263" i="2"/>
  <c r="W365" i="2"/>
  <c r="W363" i="2"/>
  <c r="AA365" i="2"/>
  <c r="AA363" i="2"/>
  <c r="Y494" i="2"/>
  <c r="Y489" i="2"/>
  <c r="U284" i="2"/>
  <c r="AB63" i="2"/>
  <c r="R254" i="2"/>
  <c r="Y365" i="2"/>
  <c r="Y363" i="2"/>
  <c r="AL490" i="2"/>
  <c r="AJ490" i="2"/>
  <c r="AJ491" i="2" s="1"/>
  <c r="T284" i="2"/>
  <c r="AD63" i="2"/>
  <c r="V284" i="2"/>
  <c r="V484" i="2"/>
  <c r="W494" i="2"/>
  <c r="W489" i="2"/>
  <c r="Z63" i="2"/>
  <c r="M31" i="1" l="1"/>
  <c r="M30" i="1"/>
  <c r="M261" i="2"/>
  <c r="Z495" i="2"/>
  <c r="Z493" i="2" s="1"/>
  <c r="Z64" i="2"/>
  <c r="Z65" i="2" s="1"/>
  <c r="M372" i="2"/>
  <c r="K23" i="4"/>
  <c r="AO490" i="2"/>
  <c r="AM490" i="2"/>
  <c r="AM491" i="2" s="1"/>
  <c r="Y483" i="2"/>
  <c r="AG60" i="2"/>
  <c r="AD64" i="2"/>
  <c r="AD65" i="2" s="1"/>
  <c r="AE60" i="2"/>
  <c r="AD495" i="2"/>
  <c r="AD493" i="2" s="1"/>
  <c r="AD494" i="2" s="1"/>
  <c r="M371" i="2"/>
  <c r="M288" i="2"/>
  <c r="M290" i="2" s="1"/>
  <c r="G18" i="3"/>
  <c r="W483" i="2"/>
  <c r="X489" i="2"/>
  <c r="X483" i="2" s="1"/>
  <c r="AC60" i="2"/>
  <c r="AB495" i="2"/>
  <c r="AB493" i="2" s="1"/>
  <c r="AB64" i="2"/>
  <c r="AB65" i="2" s="1"/>
  <c r="M395" i="2" l="1"/>
  <c r="M34" i="1"/>
  <c r="M35" i="1" s="1"/>
  <c r="X284" i="2"/>
  <c r="X484" i="2"/>
  <c r="AD363" i="2"/>
  <c r="AD365" i="2"/>
  <c r="Z363" i="2"/>
  <c r="Z365" i="2"/>
  <c r="AC63" i="2"/>
  <c r="W284" i="2"/>
  <c r="W484" i="2"/>
  <c r="AG63" i="2"/>
  <c r="AB494" i="2"/>
  <c r="AB489" i="2"/>
  <c r="U254" i="2"/>
  <c r="T244" i="2"/>
  <c r="U277" i="2"/>
  <c r="Y284" i="2"/>
  <c r="Y484" i="2"/>
  <c r="AB363" i="2"/>
  <c r="AB365" i="2"/>
  <c r="AE63" i="2"/>
  <c r="AR490" i="2"/>
  <c r="AU490" i="2" s="1"/>
  <c r="AV490" i="2" s="1"/>
  <c r="AP490" i="2"/>
  <c r="AP491" i="2" s="1"/>
  <c r="Z494" i="2"/>
  <c r="Z489" i="2"/>
  <c r="S254" i="2"/>
  <c r="S277" i="2"/>
  <c r="M38" i="1" l="1"/>
  <c r="M40" i="1" s="1"/>
  <c r="T41" i="4"/>
  <c r="AS490" i="2"/>
  <c r="AS491" i="2" s="1"/>
  <c r="L23" i="4"/>
  <c r="Z483" i="2"/>
  <c r="AA489" i="2"/>
  <c r="AA483" i="2" s="1"/>
  <c r="AH60" i="2"/>
  <c r="AJ60" i="2"/>
  <c r="AG64" i="2"/>
  <c r="AG65" i="2" s="1"/>
  <c r="AG495" i="2"/>
  <c r="AG493" i="2" s="1"/>
  <c r="AG494" i="2" s="1"/>
  <c r="AF60" i="2"/>
  <c r="AE495" i="2"/>
  <c r="AE493" i="2" s="1"/>
  <c r="AE64" i="2"/>
  <c r="AE65" i="2" s="1"/>
  <c r="T254" i="2"/>
  <c r="T277" i="2"/>
  <c r="AB483" i="2"/>
  <c r="AC495" i="2"/>
  <c r="AC493" i="2" s="1"/>
  <c r="AC64" i="2"/>
  <c r="AC65" i="2" s="1"/>
  <c r="AV491" i="2" l="1"/>
  <c r="M47" i="1"/>
  <c r="M54" i="1" s="1"/>
  <c r="M55" i="1" s="1"/>
  <c r="M39" i="1"/>
  <c r="T39" i="4"/>
  <c r="T40" i="4" s="1"/>
  <c r="AC494" i="2"/>
  <c r="AC489" i="2"/>
  <c r="V254" i="2"/>
  <c r="V277" i="2"/>
  <c r="AE494" i="2"/>
  <c r="AE489" i="2"/>
  <c r="AJ63" i="2"/>
  <c r="AE365" i="2"/>
  <c r="AE363" i="2"/>
  <c r="AA284" i="2"/>
  <c r="AA484" i="2"/>
  <c r="W244" i="2"/>
  <c r="X254" i="2"/>
  <c r="X277" i="2"/>
  <c r="AC365" i="2"/>
  <c r="AC363" i="2"/>
  <c r="AB284" i="2"/>
  <c r="AB484" i="2"/>
  <c r="AF63" i="2"/>
  <c r="AH63" i="2"/>
  <c r="Z284" i="2"/>
  <c r="Z484" i="2"/>
  <c r="AG365" i="2"/>
  <c r="AG363" i="2"/>
  <c r="M59" i="1" l="1"/>
  <c r="M23" i="4"/>
  <c r="M58" i="1"/>
  <c r="W254" i="2"/>
  <c r="W277" i="2"/>
  <c r="AE483" i="2"/>
  <c r="AC483" i="2"/>
  <c r="AD489" i="2"/>
  <c r="AD483" i="2" s="1"/>
  <c r="AI60" i="2"/>
  <c r="AH495" i="2"/>
  <c r="AH493" i="2" s="1"/>
  <c r="AH64" i="2"/>
  <c r="AH65" i="2" s="1"/>
  <c r="AF495" i="2"/>
  <c r="AF493" i="2" s="1"/>
  <c r="AF64" i="2"/>
  <c r="AF65" i="2" s="1"/>
  <c r="AK60" i="2"/>
  <c r="AM60" i="2"/>
  <c r="AJ64" i="2"/>
  <c r="AJ65" i="2" s="1"/>
  <c r="AJ495" i="2"/>
  <c r="AJ493" i="2" s="1"/>
  <c r="AJ494" i="2" s="1"/>
  <c r="AJ363" i="2" l="1"/>
  <c r="AJ365" i="2"/>
  <c r="AK63" i="2"/>
  <c r="AI63" i="2"/>
  <c r="AC284" i="2"/>
  <c r="AC484" i="2"/>
  <c r="AF494" i="2"/>
  <c r="AF489" i="2"/>
  <c r="Y254" i="2"/>
  <c r="Y277" i="2"/>
  <c r="AE284" i="2"/>
  <c r="AE484" i="2"/>
  <c r="AM63" i="2"/>
  <c r="AF363" i="2"/>
  <c r="AF365" i="2"/>
  <c r="AA254" i="2"/>
  <c r="Z244" i="2"/>
  <c r="AA277" i="2"/>
  <c r="AH494" i="2"/>
  <c r="AH489" i="2"/>
  <c r="AH363" i="2"/>
  <c r="AH365" i="2"/>
  <c r="AD284" i="2"/>
  <c r="AD484" i="2"/>
  <c r="AH483" i="2" l="1"/>
  <c r="Z254" i="2"/>
  <c r="Z277" i="2"/>
  <c r="AP60" i="2"/>
  <c r="AN60" i="2"/>
  <c r="AM64" i="2"/>
  <c r="AM65" i="2" s="1"/>
  <c r="AM495" i="2"/>
  <c r="AM493" i="2" s="1"/>
  <c r="AM494" i="2" s="1"/>
  <c r="AF483" i="2"/>
  <c r="AG489" i="2"/>
  <c r="AG483" i="2" s="1"/>
  <c r="AI495" i="2"/>
  <c r="AI493" i="2" s="1"/>
  <c r="AI64" i="2"/>
  <c r="AI65" i="2" s="1"/>
  <c r="AL60" i="2"/>
  <c r="AK495" i="2"/>
  <c r="AK493" i="2" s="1"/>
  <c r="AK64" i="2"/>
  <c r="AK65" i="2" s="1"/>
  <c r="AL63" i="2" l="1"/>
  <c r="AI494" i="2"/>
  <c r="AI489" i="2"/>
  <c r="AG284" i="2"/>
  <c r="AG484" i="2"/>
  <c r="AP63" i="2"/>
  <c r="AI365" i="2"/>
  <c r="AI363" i="2"/>
  <c r="AF284" i="2"/>
  <c r="AF484" i="2"/>
  <c r="AK494" i="2"/>
  <c r="AK489" i="2"/>
  <c r="AM365" i="2"/>
  <c r="AM363" i="2"/>
  <c r="AK365" i="2"/>
  <c r="AK363" i="2"/>
  <c r="AN63" i="2"/>
  <c r="AH284" i="2"/>
  <c r="AH484" i="2"/>
  <c r="AB254" i="2"/>
  <c r="AB277" i="2"/>
  <c r="AC244" i="2"/>
  <c r="AD254" i="2"/>
  <c r="AD277" i="2"/>
  <c r="AI483" i="2" l="1"/>
  <c r="AJ489" i="2"/>
  <c r="AJ483" i="2" s="1"/>
  <c r="AO60" i="2"/>
  <c r="AN495" i="2"/>
  <c r="AN493" i="2" s="1"/>
  <c r="AN64" i="2"/>
  <c r="AN65" i="2" s="1"/>
  <c r="AS60" i="2"/>
  <c r="AP64" i="2"/>
  <c r="AP65" i="2" s="1"/>
  <c r="AQ60" i="2"/>
  <c r="AP495" i="2"/>
  <c r="AP493" i="2" s="1"/>
  <c r="AP494" i="2" s="1"/>
  <c r="AC254" i="2"/>
  <c r="AC277" i="2"/>
  <c r="AK483" i="2"/>
  <c r="AL495" i="2"/>
  <c r="AL493" i="2" s="1"/>
  <c r="AL64" i="2"/>
  <c r="AL65" i="2" s="1"/>
  <c r="AL363" i="2" l="1"/>
  <c r="AL365" i="2"/>
  <c r="AK284" i="2"/>
  <c r="AK484" i="2"/>
  <c r="AG254" i="2"/>
  <c r="AF244" i="2"/>
  <c r="AG277" i="2"/>
  <c r="AN363" i="2"/>
  <c r="AN365" i="2"/>
  <c r="AQ63" i="2"/>
  <c r="AJ284" i="2"/>
  <c r="AJ484" i="2"/>
  <c r="AP363" i="2"/>
  <c r="AP365" i="2"/>
  <c r="AI284" i="2"/>
  <c r="AI484" i="2"/>
  <c r="AO63" i="2"/>
  <c r="AL494" i="2"/>
  <c r="AL489" i="2"/>
  <c r="AE254" i="2"/>
  <c r="AE277" i="2"/>
  <c r="AS63" i="2"/>
  <c r="AN494" i="2"/>
  <c r="AN489" i="2"/>
  <c r="AT60" i="2" l="1"/>
  <c r="AV60" i="2"/>
  <c r="AS64" i="2"/>
  <c r="AS65" i="2" s="1"/>
  <c r="AS495" i="2"/>
  <c r="AS493" i="2" s="1"/>
  <c r="AS494" i="2" s="1"/>
  <c r="AN483" i="2"/>
  <c r="AO495" i="2"/>
  <c r="AO493" i="2" s="1"/>
  <c r="AO64" i="2"/>
  <c r="AO65" i="2" s="1"/>
  <c r="AF254" i="2"/>
  <c r="AF277" i="2"/>
  <c r="AL483" i="2"/>
  <c r="AM489" i="2"/>
  <c r="AM483" i="2" s="1"/>
  <c r="AR60" i="2"/>
  <c r="AQ495" i="2"/>
  <c r="AQ493" i="2" s="1"/>
  <c r="AQ64" i="2"/>
  <c r="AQ65" i="2" s="1"/>
  <c r="AV63" i="2" l="1"/>
  <c r="AV495" i="2" s="1"/>
  <c r="AV493" i="2" s="1"/>
  <c r="AV494" i="2" s="1"/>
  <c r="AT63" i="2"/>
  <c r="AT495" i="2" s="1"/>
  <c r="AT493" i="2" s="1"/>
  <c r="AL284" i="2"/>
  <c r="AL484" i="2"/>
  <c r="AN284" i="2"/>
  <c r="AN484" i="2"/>
  <c r="AS365" i="2"/>
  <c r="AS363" i="2"/>
  <c r="AQ365" i="2"/>
  <c r="AQ363" i="2"/>
  <c r="AR63" i="2"/>
  <c r="AQ494" i="2"/>
  <c r="AQ489" i="2"/>
  <c r="AI244" i="2"/>
  <c r="AJ254" i="2"/>
  <c r="AJ277" i="2"/>
  <c r="AO494" i="2"/>
  <c r="AO489" i="2"/>
  <c r="AM284" i="2"/>
  <c r="AM484" i="2"/>
  <c r="AO365" i="2"/>
  <c r="AO363" i="2"/>
  <c r="AH277" i="2"/>
  <c r="AH254" i="2"/>
  <c r="AT494" i="2" l="1"/>
  <c r="AT489" i="2"/>
  <c r="AU60" i="2"/>
  <c r="AT64" i="2"/>
  <c r="AT65" i="2" s="1"/>
  <c r="AV64" i="2"/>
  <c r="AV65" i="2" s="1"/>
  <c r="AI254" i="2"/>
  <c r="AI277" i="2"/>
  <c r="AO483" i="2"/>
  <c r="AP489" i="2"/>
  <c r="AP483" i="2" s="1"/>
  <c r="AQ483" i="2"/>
  <c r="AR495" i="2"/>
  <c r="AR493" i="2" s="1"/>
  <c r="AR64" i="2"/>
  <c r="AR65" i="2" s="1"/>
  <c r="AV363" i="2" l="1"/>
  <c r="AV365" i="2"/>
  <c r="AT363" i="2"/>
  <c r="AT365" i="2"/>
  <c r="AT483" i="2"/>
  <c r="AU63" i="2"/>
  <c r="AU495" i="2" s="1"/>
  <c r="AU493" i="2" s="1"/>
  <c r="AO284" i="2"/>
  <c r="AO484" i="2"/>
  <c r="AM254" i="2"/>
  <c r="AL244" i="2"/>
  <c r="AM277" i="2"/>
  <c r="AQ284" i="2"/>
  <c r="AQ484" i="2"/>
  <c r="AR494" i="2"/>
  <c r="AR489" i="2"/>
  <c r="AR363" i="2"/>
  <c r="AR365" i="2"/>
  <c r="AP284" i="2"/>
  <c r="AP484" i="2"/>
  <c r="AK254" i="2"/>
  <c r="AK277" i="2"/>
  <c r="AU494" i="2" l="1"/>
  <c r="AU489" i="2"/>
  <c r="AT484" i="2"/>
  <c r="AT284" i="2"/>
  <c r="AU64" i="2"/>
  <c r="AU65" i="2" s="1"/>
  <c r="AR483" i="2"/>
  <c r="AS489" i="2"/>
  <c r="AS483" i="2" s="1"/>
  <c r="AL254" i="2"/>
  <c r="AL277" i="2"/>
  <c r="AU483" i="2" l="1"/>
  <c r="AV489" i="2"/>
  <c r="AV483" i="2" s="1"/>
  <c r="AU365" i="2"/>
  <c r="AU363" i="2"/>
  <c r="AN254" i="2"/>
  <c r="AN277" i="2"/>
  <c r="AS284" i="2"/>
  <c r="AS484" i="2"/>
  <c r="AO244" i="2"/>
  <c r="AP254" i="2"/>
  <c r="AP277" i="2"/>
  <c r="AR284" i="2"/>
  <c r="AR484" i="2"/>
  <c r="AV484" i="2" l="1"/>
  <c r="AV284" i="2"/>
  <c r="AU484" i="2"/>
  <c r="AU284" i="2"/>
  <c r="AO254" i="2"/>
  <c r="AO277" i="2"/>
  <c r="AS254" i="2"/>
  <c r="AS277" i="2"/>
  <c r="AR244" i="2"/>
  <c r="AR254" i="2" l="1"/>
  <c r="AR277" i="2"/>
  <c r="AQ254" i="2"/>
  <c r="AQ277" i="2"/>
  <c r="AT277" i="2" l="1"/>
  <c r="AT254" i="2"/>
  <c r="AV254" i="2"/>
  <c r="AU244" i="2"/>
  <c r="AV277" i="2"/>
  <c r="M296" i="2"/>
  <c r="AU277" i="2" l="1"/>
  <c r="AU254" i="2"/>
  <c r="M308" i="2"/>
  <c r="M292" i="2"/>
  <c r="M294" i="2" s="1"/>
  <c r="M478" i="2" l="1"/>
  <c r="M113" i="1" l="1"/>
  <c r="N43" i="1"/>
  <c r="N44" i="1" s="1"/>
  <c r="O473" i="2"/>
  <c r="O43" i="1" s="1"/>
  <c r="M415" i="2" l="1"/>
  <c r="M420" i="2" s="1"/>
  <c r="M416" i="2"/>
  <c r="M421" i="2" s="1"/>
  <c r="M450" i="2"/>
  <c r="M451" i="2" s="1"/>
  <c r="M455" i="2" s="1"/>
  <c r="N153" i="1"/>
  <c r="M360" i="2" l="1"/>
  <c r="N355" i="2" s="1"/>
  <c r="M374" i="2"/>
  <c r="N370" i="2" s="1"/>
  <c r="M407" i="2"/>
  <c r="M411" i="2" l="1"/>
  <c r="M467" i="2"/>
  <c r="M359" i="2"/>
  <c r="M408" i="2"/>
  <c r="M373" i="2"/>
  <c r="M337" i="2"/>
  <c r="O42" i="1" l="1"/>
  <c r="O44" i="1" s="1"/>
  <c r="J35" i="4" l="1"/>
  <c r="G14" i="3"/>
  <c r="O292" i="2"/>
  <c r="N292" i="2" l="1"/>
  <c r="M417" i="2" l="1"/>
  <c r="M422" i="2" s="1"/>
  <c r="M418" i="2" l="1"/>
  <c r="M424" i="2"/>
  <c r="M401" i="2" l="1"/>
  <c r="N399" i="2" s="1"/>
  <c r="M464" i="2"/>
  <c r="M115" i="1"/>
  <c r="M116" i="1"/>
  <c r="M152" i="1" l="1"/>
  <c r="M155" i="1" s="1"/>
  <c r="M167" i="1"/>
  <c r="M142" i="1"/>
  <c r="N142" i="1" s="1"/>
  <c r="M156" i="1" l="1"/>
  <c r="P38" i="2" l="1"/>
  <c r="M41" i="2"/>
  <c r="M47" i="2"/>
  <c r="M245" i="2"/>
  <c r="P41" i="2" l="1"/>
  <c r="S38" i="2"/>
  <c r="V38" i="2" l="1"/>
  <c r="S41" i="2"/>
  <c r="Y38" i="2" l="1"/>
  <c r="V41" i="2"/>
  <c r="Y41" i="2" l="1"/>
  <c r="AB38" i="2"/>
  <c r="AB41" i="2" l="1"/>
  <c r="AE38" i="2"/>
  <c r="AH38" i="2" l="1"/>
  <c r="AE41" i="2"/>
  <c r="AK38" i="2" l="1"/>
  <c r="AH41" i="2"/>
  <c r="AK41" i="2" l="1"/>
  <c r="AN38" i="2"/>
  <c r="AN41" i="2" l="1"/>
  <c r="AQ38" i="2"/>
  <c r="AT38" i="2" s="1"/>
  <c r="AT41" i="2" l="1"/>
  <c r="AQ41" i="2"/>
  <c r="R32" i="2" l="1"/>
  <c r="R33" i="2" s="1"/>
  <c r="P84" i="2"/>
  <c r="R84" i="2"/>
  <c r="S81" i="2" s="1"/>
  <c r="S84" i="2" s="1"/>
  <c r="S85" i="2" s="1"/>
  <c r="P191" i="2"/>
  <c r="P192" i="2" s="1"/>
  <c r="R191" i="2"/>
  <c r="R192" i="2" s="1"/>
  <c r="Q84" i="2" l="1"/>
  <c r="Q85" i="2" s="1"/>
  <c r="Q86" i="2" s="1"/>
  <c r="R85" i="2"/>
  <c r="T81" i="2"/>
  <c r="Q81" i="2"/>
  <c r="P85" i="2"/>
  <c r="P86" i="2" s="1"/>
  <c r="U81" i="2"/>
  <c r="U84" i="2" s="1"/>
  <c r="U30" i="2"/>
  <c r="R34" i="2"/>
  <c r="R50" i="2"/>
  <c r="S30" i="2"/>
  <c r="R35" i="2"/>
  <c r="R86" i="2" l="1"/>
  <c r="R501" i="2"/>
  <c r="K62" i="4"/>
  <c r="R36" i="2"/>
  <c r="U33" i="2"/>
  <c r="V81" i="2"/>
  <c r="V84" i="2" s="1"/>
  <c r="V85" i="2" s="1"/>
  <c r="V86" i="2" s="1"/>
  <c r="T84" i="2"/>
  <c r="X81" i="2"/>
  <c r="X84" i="2" s="1"/>
  <c r="U85" i="2"/>
  <c r="S46" i="2"/>
  <c r="S33" i="2"/>
  <c r="S86" i="2"/>
  <c r="S245" i="2" l="1"/>
  <c r="Q60" i="2"/>
  <c r="Q63" i="2" s="1"/>
  <c r="P64" i="2"/>
  <c r="P495" i="2"/>
  <c r="P493" i="2" s="1"/>
  <c r="P489" i="2" s="1"/>
  <c r="W84" i="2"/>
  <c r="AA81" i="2"/>
  <c r="AA84" i="2" s="1"/>
  <c r="Y81" i="2"/>
  <c r="Y84" i="2" s="1"/>
  <c r="X85" i="2"/>
  <c r="X30" i="2"/>
  <c r="U34" i="2"/>
  <c r="V30" i="2"/>
  <c r="U35" i="2"/>
  <c r="U36" i="2" s="1"/>
  <c r="U50" i="2"/>
  <c r="P33" i="2"/>
  <c r="T85" i="2"/>
  <c r="T86" i="2" s="1"/>
  <c r="T30" i="2"/>
  <c r="T33" i="2" s="1"/>
  <c r="S50" i="2"/>
  <c r="U86" i="2"/>
  <c r="W81" i="2"/>
  <c r="W85" i="2" l="1"/>
  <c r="W86" i="2" s="1"/>
  <c r="P35" i="2"/>
  <c r="P36" i="2" s="1"/>
  <c r="Q30" i="2"/>
  <c r="Q33" i="2" s="1"/>
  <c r="T34" i="2" s="1"/>
  <c r="P34" i="2"/>
  <c r="Z81" i="2"/>
  <c r="S34" i="2"/>
  <c r="T35" i="2"/>
  <c r="T50" i="2"/>
  <c r="P47" i="2"/>
  <c r="U501" i="2"/>
  <c r="L62" i="4"/>
  <c r="X86" i="2"/>
  <c r="S494" i="2"/>
  <c r="P494" i="2"/>
  <c r="P50" i="2"/>
  <c r="X33" i="2"/>
  <c r="AD81" i="2"/>
  <c r="AD84" i="2" s="1"/>
  <c r="Z84" i="2"/>
  <c r="AB81" i="2"/>
  <c r="AB84" i="2" s="1"/>
  <c r="AB85" i="2" s="1"/>
  <c r="AA85" i="2"/>
  <c r="P65" i="2"/>
  <c r="S65" i="2"/>
  <c r="V33" i="2"/>
  <c r="V46" i="2"/>
  <c r="Y85" i="2"/>
  <c r="Y86" i="2" s="1"/>
  <c r="S47" i="2"/>
  <c r="P68" i="2" l="1"/>
  <c r="AB86" i="2"/>
  <c r="AE81" i="2"/>
  <c r="AE84" i="2" s="1"/>
  <c r="AE85" i="2" s="1"/>
  <c r="AE86" i="2" s="1"/>
  <c r="AG81" i="2"/>
  <c r="AG84" i="2" s="1"/>
  <c r="AD85" i="2"/>
  <c r="AC84" i="2"/>
  <c r="Y30" i="2"/>
  <c r="X35" i="2"/>
  <c r="X36" i="2" s="1"/>
  <c r="AA30" i="2"/>
  <c r="X34" i="2"/>
  <c r="X50" i="2"/>
  <c r="T501" i="2"/>
  <c r="S501" i="2"/>
  <c r="S363" i="2"/>
  <c r="S365" i="2"/>
  <c r="P363" i="2"/>
  <c r="P365" i="2"/>
  <c r="AA86" i="2"/>
  <c r="P483" i="2"/>
  <c r="P69" i="2"/>
  <c r="P501" i="2"/>
  <c r="V47" i="2"/>
  <c r="V245" i="2"/>
  <c r="AC81" i="2"/>
  <c r="Z85" i="2"/>
  <c r="Z86" i="2" s="1"/>
  <c r="Q34" i="2"/>
  <c r="Q35" i="2"/>
  <c r="Q36" i="2" s="1"/>
  <c r="S35" i="2"/>
  <c r="Q50" i="2"/>
  <c r="Q495" i="2"/>
  <c r="Q493" i="2" s="1"/>
  <c r="Q489" i="2" s="1"/>
  <c r="Q64" i="2"/>
  <c r="T65" i="2" s="1"/>
  <c r="V34" i="2"/>
  <c r="V501" i="2" s="1"/>
  <c r="W30" i="2"/>
  <c r="W33" i="2" s="1"/>
  <c r="V35" i="2"/>
  <c r="V36" i="2" s="1"/>
  <c r="V50" i="2"/>
  <c r="P89" i="2"/>
  <c r="R489" i="2" l="1"/>
  <c r="R483" i="2" s="1"/>
  <c r="P72" i="2"/>
  <c r="P73" i="2" s="1"/>
  <c r="M62" i="4"/>
  <c r="AC85" i="2"/>
  <c r="AC86" i="2" s="1"/>
  <c r="V68" i="2"/>
  <c r="V89" i="2" s="1"/>
  <c r="P90" i="2"/>
  <c r="P182" i="2"/>
  <c r="P197" i="2"/>
  <c r="P201" i="2"/>
  <c r="W35" i="2"/>
  <c r="W36" i="2" s="1"/>
  <c r="W34" i="2"/>
  <c r="W501" i="2" s="1"/>
  <c r="W50" i="2"/>
  <c r="Q65" i="2"/>
  <c r="Q494" i="2"/>
  <c r="T494" i="2"/>
  <c r="S36" i="2"/>
  <c r="S68" i="2"/>
  <c r="S89" i="2" s="1"/>
  <c r="X501" i="2"/>
  <c r="AH81" i="2"/>
  <c r="AH84" i="2" s="1"/>
  <c r="AH85" i="2" s="1"/>
  <c r="AH86" i="2" s="1"/>
  <c r="AF84" i="2"/>
  <c r="AJ81" i="2"/>
  <c r="AJ84" i="2" s="1"/>
  <c r="AG85" i="2"/>
  <c r="AA33" i="2"/>
  <c r="AF81" i="2"/>
  <c r="P284" i="2"/>
  <c r="P484" i="2"/>
  <c r="S484" i="2"/>
  <c r="Q501" i="2"/>
  <c r="T36" i="2"/>
  <c r="P10" i="2"/>
  <c r="P14" i="2" s="1"/>
  <c r="Y33" i="2"/>
  <c r="Y46" i="2"/>
  <c r="AD86" i="2"/>
  <c r="P275" i="2" l="1"/>
  <c r="V10" i="2"/>
  <c r="V14" i="2" s="1"/>
  <c r="V255" i="2" s="1"/>
  <c r="V69" i="2"/>
  <c r="V201" i="2"/>
  <c r="V182" i="2"/>
  <c r="V181" i="2" s="1"/>
  <c r="V92" i="2"/>
  <c r="V72" i="2"/>
  <c r="V197" i="2"/>
  <c r="V199" i="2" s="1"/>
  <c r="AI84" i="2"/>
  <c r="AM81" i="2"/>
  <c r="AM84" i="2" s="1"/>
  <c r="AK81" i="2"/>
  <c r="AK84" i="2" s="1"/>
  <c r="AK85" i="2" s="1"/>
  <c r="AK86" i="2" s="1"/>
  <c r="AJ85" i="2"/>
  <c r="S69" i="2"/>
  <c r="S72" i="2"/>
  <c r="T363" i="2"/>
  <c r="T365" i="2"/>
  <c r="P199" i="2"/>
  <c r="P187" i="2" s="1"/>
  <c r="Y34" i="2"/>
  <c r="Y501" i="2" s="1"/>
  <c r="Z30" i="2"/>
  <c r="Z33" i="2" s="1"/>
  <c r="Y35" i="2"/>
  <c r="Y36" i="2" s="1"/>
  <c r="Y50" i="2"/>
  <c r="Q483" i="2"/>
  <c r="Q363" i="2"/>
  <c r="Q365" i="2"/>
  <c r="P181" i="2"/>
  <c r="Y47" i="2"/>
  <c r="Y245" i="2"/>
  <c r="AF85" i="2"/>
  <c r="AF86" i="2" s="1"/>
  <c r="AB30" i="2"/>
  <c r="AA35" i="2"/>
  <c r="AA36" i="2" s="1"/>
  <c r="AD30" i="2"/>
  <c r="AA34" i="2"/>
  <c r="AA50" i="2"/>
  <c r="AG86" i="2"/>
  <c r="AI81" i="2"/>
  <c r="V18" i="2" l="1"/>
  <c r="V275" i="2"/>
  <c r="V53" i="2"/>
  <c r="V187" i="2"/>
  <c r="V178" i="2" s="1"/>
  <c r="V14" i="1" s="1"/>
  <c r="AI85" i="2"/>
  <c r="AI86" i="2" s="1"/>
  <c r="Y68" i="2"/>
  <c r="Y89" i="2" s="1"/>
  <c r="Y90" i="2" s="1"/>
  <c r="V22" i="2"/>
  <c r="V10" i="1"/>
  <c r="AA501" i="2"/>
  <c r="AB33" i="2"/>
  <c r="AB46" i="2"/>
  <c r="Q284" i="2"/>
  <c r="T484" i="2"/>
  <c r="Q484" i="2"/>
  <c r="Z34" i="2"/>
  <c r="Z501" i="2" s="1"/>
  <c r="Z35" i="2"/>
  <c r="Z36" i="2" s="1"/>
  <c r="Z50" i="2"/>
  <c r="P178" i="2"/>
  <c r="S73" i="2"/>
  <c r="S275" i="2"/>
  <c r="V73" i="2"/>
  <c r="AP81" i="2"/>
  <c r="AP84" i="2" s="1"/>
  <c r="AL84" i="2"/>
  <c r="AN81" i="2"/>
  <c r="AN84" i="2" s="1"/>
  <c r="AM85" i="2"/>
  <c r="S197" i="2"/>
  <c r="S201" i="2"/>
  <c r="S90" i="2"/>
  <c r="S182" i="2"/>
  <c r="V90" i="2"/>
  <c r="AD33" i="2"/>
  <c r="BF33" i="2" s="1"/>
  <c r="Y48" i="2"/>
  <c r="AJ86" i="2"/>
  <c r="R284" i="2"/>
  <c r="U484" i="2"/>
  <c r="R484" i="2"/>
  <c r="S10" i="2"/>
  <c r="S14" i="2" s="1"/>
  <c r="S255" i="2" s="1"/>
  <c r="AL81" i="2"/>
  <c r="P19" i="1"/>
  <c r="Y69" i="2" l="1"/>
  <c r="Y72" i="2"/>
  <c r="Y10" i="2"/>
  <c r="Y14" i="2" s="1"/>
  <c r="Y255" i="2" s="1"/>
  <c r="AL85" i="2"/>
  <c r="AL86" i="2" s="1"/>
  <c r="Y197" i="2"/>
  <c r="Y199" i="2" s="1"/>
  <c r="Y92" i="2"/>
  <c r="Y18" i="2" s="1"/>
  <c r="Y10" i="1" s="1"/>
  <c r="Y201" i="2"/>
  <c r="Y182" i="2"/>
  <c r="Y181" i="2" s="1"/>
  <c r="P179" i="2"/>
  <c r="P14" i="1"/>
  <c r="S181" i="2"/>
  <c r="AM86" i="2"/>
  <c r="AB47" i="2"/>
  <c r="AB245" i="2"/>
  <c r="AG30" i="2"/>
  <c r="AD34" i="2"/>
  <c r="AD501" i="2" s="1"/>
  <c r="AE30" i="2"/>
  <c r="AD35" i="2"/>
  <c r="AD36" i="2" s="1"/>
  <c r="AD50" i="2"/>
  <c r="AO81" i="2"/>
  <c r="AC30" i="2"/>
  <c r="AC33" i="2" s="1"/>
  <c r="AB35" i="2"/>
  <c r="AB36" i="2" s="1"/>
  <c r="AB34" i="2"/>
  <c r="AB501" i="2" s="1"/>
  <c r="AB50" i="2"/>
  <c r="V15" i="1"/>
  <c r="S199" i="2"/>
  <c r="AN85" i="2"/>
  <c r="AN86" i="2" s="1"/>
  <c r="AQ81" i="2"/>
  <c r="AQ84" i="2" s="1"/>
  <c r="AQ85" i="2" s="1"/>
  <c r="AS81" i="2"/>
  <c r="AS84" i="2" s="1"/>
  <c r="AP85" i="2"/>
  <c r="AO84" i="2"/>
  <c r="P245" i="2" l="1"/>
  <c r="Y73" i="2"/>
  <c r="AV81" i="2"/>
  <c r="AV84" i="2" s="1"/>
  <c r="AT81" i="2"/>
  <c r="AT84" i="2" s="1"/>
  <c r="AT85" i="2" s="1"/>
  <c r="AT86" i="2" s="1"/>
  <c r="Y275" i="2"/>
  <c r="Y94" i="2"/>
  <c r="Y22" i="2"/>
  <c r="Y53" i="2"/>
  <c r="Y187" i="2"/>
  <c r="Y178" i="2" s="1"/>
  <c r="AQ86" i="2"/>
  <c r="AP86" i="2"/>
  <c r="AR84" i="2"/>
  <c r="AS85" i="2"/>
  <c r="AG33" i="2"/>
  <c r="AB68" i="2"/>
  <c r="S19" i="1"/>
  <c r="V19" i="1"/>
  <c r="V21" i="1"/>
  <c r="AC34" i="2"/>
  <c r="AC501" i="2" s="1"/>
  <c r="AC35" i="2"/>
  <c r="AC36" i="2" s="1"/>
  <c r="AC50" i="2"/>
  <c r="AO85" i="2"/>
  <c r="AO86" i="2" s="1"/>
  <c r="P254" i="2"/>
  <c r="P255" i="2" s="1"/>
  <c r="P277" i="2"/>
  <c r="AE46" i="2"/>
  <c r="AE33" i="2"/>
  <c r="AR81" i="2"/>
  <c r="S187" i="2"/>
  <c r="S178" i="2" s="1"/>
  <c r="AU81" i="2" l="1"/>
  <c r="AU84" i="2"/>
  <c r="AV85" i="2"/>
  <c r="AV86" i="2" s="1"/>
  <c r="Y19" i="1"/>
  <c r="AR85" i="2"/>
  <c r="AR86" i="2" s="1"/>
  <c r="Y14" i="1"/>
  <c r="Y15" i="1" s="1"/>
  <c r="Y21" i="1" s="1"/>
  <c r="Y179" i="2"/>
  <c r="S179" i="2"/>
  <c r="S14" i="1"/>
  <c r="V179" i="2"/>
  <c r="Q254" i="2"/>
  <c r="Q277" i="2"/>
  <c r="V23" i="1"/>
  <c r="AF30" i="2"/>
  <c r="AF33" i="2" s="1"/>
  <c r="AE35" i="2"/>
  <c r="AE36" i="2" s="1"/>
  <c r="AE34" i="2"/>
  <c r="AE501" i="2" s="1"/>
  <c r="AE50" i="2"/>
  <c r="AJ30" i="2"/>
  <c r="AG34" i="2"/>
  <c r="AG501" i="2" s="1"/>
  <c r="AH30" i="2"/>
  <c r="AG35" i="2"/>
  <c r="AG36" i="2" s="1"/>
  <c r="AG50" i="2"/>
  <c r="AS86" i="2"/>
  <c r="AE47" i="2"/>
  <c r="AE245" i="2"/>
  <c r="AB72" i="2"/>
  <c r="AB69" i="2"/>
  <c r="AB89" i="2"/>
  <c r="AB10" i="2" s="1"/>
  <c r="AB14" i="2" s="1"/>
  <c r="AB255" i="2" s="1"/>
  <c r="AU85" i="2" l="1"/>
  <c r="AU86" i="2" s="1"/>
  <c r="Y16" i="1"/>
  <c r="AE68" i="2"/>
  <c r="AJ33" i="2"/>
  <c r="AF35" i="2"/>
  <c r="AF36" i="2" s="1"/>
  <c r="AF34" i="2"/>
  <c r="AF501" i="2" s="1"/>
  <c r="AF50" i="2"/>
  <c r="AB73" i="2"/>
  <c r="AB275" i="2"/>
  <c r="AH33" i="2"/>
  <c r="AH46" i="2"/>
  <c r="AB90" i="2"/>
  <c r="AB182" i="2"/>
  <c r="AB181" i="2" s="1"/>
  <c r="AB197" i="2"/>
  <c r="AB199" i="2" s="1"/>
  <c r="AB201" i="2"/>
  <c r="Y23" i="1"/>
  <c r="Y22" i="1"/>
  <c r="AE89" i="2" l="1"/>
  <c r="AE10" i="2" s="1"/>
  <c r="AE14" i="2" s="1"/>
  <c r="AE255" i="2" s="1"/>
  <c r="AE72" i="2"/>
  <c r="AE69" i="2"/>
  <c r="AH34" i="2"/>
  <c r="AH501" i="2" s="1"/>
  <c r="AI30" i="2"/>
  <c r="AI33" i="2" s="1"/>
  <c r="AH35" i="2"/>
  <c r="AH36" i="2" s="1"/>
  <c r="AH50" i="2"/>
  <c r="AK30" i="2"/>
  <c r="AJ35" i="2"/>
  <c r="AJ36" i="2" s="1"/>
  <c r="AM30" i="2"/>
  <c r="AJ34" i="2"/>
  <c r="AJ501" i="2" s="1"/>
  <c r="AJ50" i="2"/>
  <c r="AB187" i="2"/>
  <c r="AB178" i="2" s="1"/>
  <c r="AH47" i="2"/>
  <c r="AH245" i="2"/>
  <c r="AB19" i="1"/>
  <c r="AE275" i="2" l="1"/>
  <c r="AE197" i="2"/>
  <c r="AE199" i="2" s="1"/>
  <c r="AE90" i="2"/>
  <c r="AE182" i="2"/>
  <c r="AE181" i="2" s="1"/>
  <c r="AE201" i="2"/>
  <c r="AE73" i="2"/>
  <c r="AH68" i="2"/>
  <c r="AH89" i="2" s="1"/>
  <c r="AH182" i="2" s="1"/>
  <c r="AH181" i="2" s="1"/>
  <c r="AK33" i="2"/>
  <c r="AK46" i="2"/>
  <c r="AE19" i="1"/>
  <c r="AM33" i="2"/>
  <c r="AI35" i="2"/>
  <c r="AI36" i="2" s="1"/>
  <c r="AI34" i="2"/>
  <c r="AI501" i="2" s="1"/>
  <c r="AI50" i="2"/>
  <c r="AB179" i="2"/>
  <c r="AB14" i="1"/>
  <c r="AE187" i="2" l="1"/>
  <c r="AE178" i="2" s="1"/>
  <c r="AE14" i="1" s="1"/>
  <c r="AH72" i="2"/>
  <c r="AH69" i="2"/>
  <c r="AH90" i="2"/>
  <c r="AH10" i="2"/>
  <c r="AH14" i="2" s="1"/>
  <c r="AH255" i="2" s="1"/>
  <c r="AH201" i="2"/>
  <c r="AH197" i="2"/>
  <c r="AH199" i="2" s="1"/>
  <c r="AK34" i="2"/>
  <c r="AK501" i="2" s="1"/>
  <c r="AL30" i="2"/>
  <c r="AL33" i="2" s="1"/>
  <c r="AK35" i="2"/>
  <c r="AK36" i="2" s="1"/>
  <c r="AK50" i="2"/>
  <c r="AN30" i="2"/>
  <c r="AM35" i="2"/>
  <c r="AM36" i="2" s="1"/>
  <c r="AP30" i="2"/>
  <c r="AM34" i="2"/>
  <c r="AM501" i="2" s="1"/>
  <c r="AM50" i="2"/>
  <c r="AE179" i="2"/>
  <c r="AK47" i="2"/>
  <c r="AK245" i="2"/>
  <c r="AH275" i="2" l="1"/>
  <c r="AH73" i="2"/>
  <c r="AH19" i="1"/>
  <c r="AH187" i="2"/>
  <c r="AH178" i="2" s="1"/>
  <c r="AH14" i="1" s="1"/>
  <c r="AK68" i="2"/>
  <c r="AK89" i="2" s="1"/>
  <c r="AK197" i="2" s="1"/>
  <c r="AK199" i="2" s="1"/>
  <c r="AN33" i="2"/>
  <c r="AN46" i="2"/>
  <c r="AL34" i="2"/>
  <c r="AL501" i="2" s="1"/>
  <c r="AL35" i="2"/>
  <c r="AL36" i="2" s="1"/>
  <c r="AL50" i="2"/>
  <c r="AP33" i="2"/>
  <c r="AS30" i="2" s="1"/>
  <c r="AK72" i="2" l="1"/>
  <c r="AK182" i="2"/>
  <c r="AK181" i="2" s="1"/>
  <c r="AK90" i="2"/>
  <c r="AK69" i="2"/>
  <c r="AH179" i="2"/>
  <c r="AK10" i="2"/>
  <c r="AK14" i="2" s="1"/>
  <c r="AK255" i="2" s="1"/>
  <c r="AK201" i="2"/>
  <c r="AK187" i="2" s="1"/>
  <c r="AN47" i="2"/>
  <c r="AN245" i="2"/>
  <c r="AP34" i="2"/>
  <c r="AP501" i="2" s="1"/>
  <c r="AQ30" i="2"/>
  <c r="AP35" i="2"/>
  <c r="AP36" i="2" s="1"/>
  <c r="AP50" i="2"/>
  <c r="AO30" i="2"/>
  <c r="AO33" i="2" s="1"/>
  <c r="AN35" i="2"/>
  <c r="AN36" i="2" s="1"/>
  <c r="AN34" i="2"/>
  <c r="AN501" i="2" s="1"/>
  <c r="AN50" i="2"/>
  <c r="AK73" i="2" l="1"/>
  <c r="AK275" i="2"/>
  <c r="AK178" i="2"/>
  <c r="AK14" i="1" s="1"/>
  <c r="AO34" i="2"/>
  <c r="AO501" i="2" s="1"/>
  <c r="AO35" i="2"/>
  <c r="AO36" i="2" s="1"/>
  <c r="AO50" i="2"/>
  <c r="AQ46" i="2"/>
  <c r="AQ33" i="2"/>
  <c r="AS33" i="2"/>
  <c r="AK19" i="1"/>
  <c r="AN68" i="2"/>
  <c r="AV30" i="2" l="1"/>
  <c r="AT30" i="2"/>
  <c r="AK179" i="2"/>
  <c r="AQ47" i="2"/>
  <c r="AQ245" i="2"/>
  <c r="AN72" i="2"/>
  <c r="AN69" i="2"/>
  <c r="AN89" i="2"/>
  <c r="AN10" i="2" s="1"/>
  <c r="AN14" i="2" s="1"/>
  <c r="AN255" i="2" s="1"/>
  <c r="AS34" i="2"/>
  <c r="AS501" i="2" s="1"/>
  <c r="AS35" i="2"/>
  <c r="AS36" i="2" s="1"/>
  <c r="AS50" i="2"/>
  <c r="AR30" i="2"/>
  <c r="AR33" i="2" s="1"/>
  <c r="AQ35" i="2"/>
  <c r="AQ36" i="2" s="1"/>
  <c r="AQ34" i="2"/>
  <c r="AQ501" i="2" s="1"/>
  <c r="AQ50" i="2"/>
  <c r="AT33" i="2" l="1"/>
  <c r="AT46" i="2"/>
  <c r="AV33" i="2"/>
  <c r="AR35" i="2"/>
  <c r="AR36" i="2" s="1"/>
  <c r="AR34" i="2"/>
  <c r="AR501" i="2" s="1"/>
  <c r="AR50" i="2"/>
  <c r="AN90" i="2"/>
  <c r="AN182" i="2"/>
  <c r="AN181" i="2" s="1"/>
  <c r="AN197" i="2"/>
  <c r="AN199" i="2" s="1"/>
  <c r="AN201" i="2"/>
  <c r="AQ68" i="2"/>
  <c r="AN73" i="2"/>
  <c r="AN275" i="2"/>
  <c r="AV35" i="2" l="1"/>
  <c r="AV36" i="2" s="1"/>
  <c r="AV34" i="2"/>
  <c r="AV501" i="2" s="1"/>
  <c r="AV50" i="2"/>
  <c r="AT47" i="2"/>
  <c r="AT245" i="2"/>
  <c r="AT35" i="2"/>
  <c r="AT36" i="2" s="1"/>
  <c r="AT34" i="2"/>
  <c r="AT501" i="2" s="1"/>
  <c r="AU30" i="2"/>
  <c r="AU33" i="2" s="1"/>
  <c r="AT50" i="2"/>
  <c r="AN187" i="2"/>
  <c r="AN178" i="2" s="1"/>
  <c r="AQ69" i="2"/>
  <c r="AQ72" i="2"/>
  <c r="AQ89" i="2"/>
  <c r="AQ10" i="2" s="1"/>
  <c r="AQ14" i="2" s="1"/>
  <c r="AQ255" i="2" s="1"/>
  <c r="AN19" i="1"/>
  <c r="AU34" i="2" l="1"/>
  <c r="AU501" i="2" s="1"/>
  <c r="AU35" i="2"/>
  <c r="AU36" i="2" s="1"/>
  <c r="AU50" i="2"/>
  <c r="AT68" i="2"/>
  <c r="AN179" i="2"/>
  <c r="AN14" i="1"/>
  <c r="AQ197" i="2"/>
  <c r="AQ201" i="2"/>
  <c r="AQ90" i="2"/>
  <c r="AQ182" i="2"/>
  <c r="AQ73" i="2"/>
  <c r="AQ275" i="2"/>
  <c r="AT89" i="2" l="1"/>
  <c r="AT69" i="2"/>
  <c r="AT72" i="2"/>
  <c r="AQ181" i="2"/>
  <c r="AQ199" i="2"/>
  <c r="AQ19" i="1"/>
  <c r="AT10" i="2" l="1"/>
  <c r="AT14" i="2" s="1"/>
  <c r="AT255" i="2" s="1"/>
  <c r="AT275" i="2"/>
  <c r="AT73" i="2"/>
  <c r="AT90" i="2"/>
  <c r="AT197" i="2"/>
  <c r="AT199" i="2" s="1"/>
  <c r="AT182" i="2"/>
  <c r="AT181" i="2" s="1"/>
  <c r="AT201" i="2"/>
  <c r="AQ187" i="2"/>
  <c r="AQ178" i="2" s="1"/>
  <c r="AT19" i="1" l="1"/>
  <c r="AT187" i="2"/>
  <c r="AT178" i="2" s="1"/>
  <c r="AT14" i="1" s="1"/>
  <c r="AQ179" i="2"/>
  <c r="AQ14" i="1"/>
  <c r="AT179" i="2" l="1"/>
  <c r="N38" i="2" l="1"/>
  <c r="Q38" i="2" s="1"/>
  <c r="O38" i="2"/>
  <c r="R38" i="2" s="1"/>
  <c r="N47" i="2"/>
  <c r="O47" i="2"/>
  <c r="O69" i="2"/>
  <c r="J50" i="4"/>
  <c r="P133" i="12"/>
  <c r="P129" i="12" s="1"/>
  <c r="Q129" i="12" s="1"/>
  <c r="J51" i="4" l="1"/>
  <c r="R41" i="2"/>
  <c r="Q41" i="2" s="1"/>
  <c r="Q42" i="2" s="1"/>
  <c r="O41" i="2"/>
  <c r="N41" i="2"/>
  <c r="N68" i="2"/>
  <c r="T38" i="2"/>
  <c r="W38" i="2" s="1"/>
  <c r="P109" i="12"/>
  <c r="P112" i="12"/>
  <c r="R129" i="12"/>
  <c r="U38" i="2"/>
  <c r="R46" i="2"/>
  <c r="N348" i="2" l="1"/>
  <c r="N209" i="2"/>
  <c r="N89" i="2"/>
  <c r="N93" i="2" s="1"/>
  <c r="N215" i="2"/>
  <c r="N221" i="2"/>
  <c r="N218" i="2"/>
  <c r="N342" i="2"/>
  <c r="N212" i="2"/>
  <c r="N74" i="2"/>
  <c r="T41" i="2"/>
  <c r="O275" i="2"/>
  <c r="N181" i="2"/>
  <c r="N69" i="2"/>
  <c r="N275" i="2"/>
  <c r="N197" i="2"/>
  <c r="S129" i="12"/>
  <c r="X38" i="2"/>
  <c r="U41" i="2"/>
  <c r="U46" i="2" s="1"/>
  <c r="U68" i="2" s="1"/>
  <c r="Z38" i="2"/>
  <c r="W41" i="2"/>
  <c r="N276" i="2"/>
  <c r="O276" i="2"/>
  <c r="Q46" i="2"/>
  <c r="R47" i="2"/>
  <c r="R68" i="2"/>
  <c r="R69" i="2" s="1"/>
  <c r="R245" i="2"/>
  <c r="K50" i="4"/>
  <c r="O18" i="1"/>
  <c r="N19" i="1"/>
  <c r="U69" i="2" l="1"/>
  <c r="U72" i="2"/>
  <c r="J21" i="4"/>
  <c r="O278" i="2"/>
  <c r="O285" i="2" s="1"/>
  <c r="R89" i="2"/>
  <c r="R197" i="2" s="1"/>
  <c r="R199" i="2" s="1"/>
  <c r="R341" i="2"/>
  <c r="R343" i="2" s="1"/>
  <c r="N195" i="2"/>
  <c r="N75" i="2"/>
  <c r="N502" i="2"/>
  <c r="N179" i="2"/>
  <c r="N278" i="2"/>
  <c r="N285" i="2" s="1"/>
  <c r="O53" i="2"/>
  <c r="O18" i="2"/>
  <c r="N185" i="2"/>
  <c r="N199" i="2"/>
  <c r="Q68" i="2"/>
  <c r="R72" i="2"/>
  <c r="Q133" i="12"/>
  <c r="O19" i="1"/>
  <c r="K51" i="4"/>
  <c r="Z41" i="2"/>
  <c r="AC38" i="2"/>
  <c r="T46" i="2"/>
  <c r="U47" i="2"/>
  <c r="U341" i="2"/>
  <c r="U245" i="2"/>
  <c r="L50" i="4"/>
  <c r="X41" i="2"/>
  <c r="X46" i="2" s="1"/>
  <c r="AA38" i="2"/>
  <c r="Q47" i="2"/>
  <c r="Q245" i="2"/>
  <c r="J22" i="4"/>
  <c r="T129" i="12"/>
  <c r="R275" i="2" l="1"/>
  <c r="Q89" i="2"/>
  <c r="Q10" i="2" s="1"/>
  <c r="Q14" i="2" s="1"/>
  <c r="Q255" i="2" s="1"/>
  <c r="R10" i="2"/>
  <c r="R14" i="2" s="1"/>
  <c r="U54" i="4" s="1"/>
  <c r="U343" i="2"/>
  <c r="R92" i="2"/>
  <c r="Q111" i="12"/>
  <c r="Q108" i="12" s="1"/>
  <c r="Q119" i="12" s="1"/>
  <c r="Q126" i="12"/>
  <c r="R90" i="2"/>
  <c r="R182" i="2"/>
  <c r="R181" i="2" s="1"/>
  <c r="R201" i="2"/>
  <c r="Q201" i="2" s="1"/>
  <c r="O54" i="2"/>
  <c r="N54" i="2" s="1"/>
  <c r="N266" i="2" s="1"/>
  <c r="P341" i="2"/>
  <c r="P342" i="2" s="1"/>
  <c r="U89" i="2"/>
  <c r="U201" i="2" s="1"/>
  <c r="T201" i="2" s="1"/>
  <c r="O22" i="2"/>
  <c r="J14" i="4"/>
  <c r="O10" i="1"/>
  <c r="N18" i="2"/>
  <c r="N53" i="2"/>
  <c r="J16" i="4"/>
  <c r="O14" i="1"/>
  <c r="T47" i="2"/>
  <c r="T245" i="2"/>
  <c r="U129" i="12"/>
  <c r="J24" i="4"/>
  <c r="H17" i="22"/>
  <c r="Q197" i="2"/>
  <c r="AF38" i="2"/>
  <c r="AC41" i="2"/>
  <c r="Q69" i="2"/>
  <c r="W46" i="2"/>
  <c r="X68" i="2"/>
  <c r="X47" i="2"/>
  <c r="X245" i="2"/>
  <c r="M50" i="4"/>
  <c r="T68" i="2"/>
  <c r="R133" i="12"/>
  <c r="R111" i="12" s="1"/>
  <c r="AD38" i="2"/>
  <c r="AA41" i="2"/>
  <c r="AA46" i="2" s="1"/>
  <c r="L51" i="4"/>
  <c r="Q72" i="2"/>
  <c r="R73" i="2"/>
  <c r="R255" i="2"/>
  <c r="Q90" i="2" l="1"/>
  <c r="Q195" i="2"/>
  <c r="Q196" i="2" s="1"/>
  <c r="T89" i="2"/>
  <c r="T10" i="2" s="1"/>
  <c r="T14" i="2" s="1"/>
  <c r="T255" i="2" s="1"/>
  <c r="U90" i="2"/>
  <c r="U197" i="2"/>
  <c r="U199" i="2" s="1"/>
  <c r="U187" i="2" s="1"/>
  <c r="Q182" i="2"/>
  <c r="Q181" i="2" s="1"/>
  <c r="U10" i="2"/>
  <c r="U14" i="2" s="1"/>
  <c r="U255" i="2" s="1"/>
  <c r="Q341" i="2"/>
  <c r="Q335" i="2" s="1"/>
  <c r="Q123" i="12"/>
  <c r="R187" i="2"/>
  <c r="O266" i="2"/>
  <c r="U182" i="2"/>
  <c r="U181" i="2" s="1"/>
  <c r="X89" i="2"/>
  <c r="X90" i="2" s="1"/>
  <c r="X341" i="2"/>
  <c r="V341" i="2" s="1"/>
  <c r="W341" i="2" s="1"/>
  <c r="S341" i="2"/>
  <c r="T341" i="2" s="1"/>
  <c r="P93" i="2"/>
  <c r="R18" i="2"/>
  <c r="N270" i="2"/>
  <c r="N268" i="2"/>
  <c r="N272" i="2" s="1"/>
  <c r="O380" i="2"/>
  <c r="P380" i="2" s="1"/>
  <c r="R380" i="2" s="1"/>
  <c r="S380" i="2" s="1"/>
  <c r="U380" i="2" s="1"/>
  <c r="V380" i="2" s="1"/>
  <c r="O377" i="2"/>
  <c r="P377" i="2" s="1"/>
  <c r="S377" i="2" s="1"/>
  <c r="V377" i="2" s="1"/>
  <c r="O260" i="2"/>
  <c r="O15" i="1"/>
  <c r="J17" i="4"/>
  <c r="J18" i="4" s="1"/>
  <c r="N10" i="1"/>
  <c r="N22" i="2"/>
  <c r="N14" i="1"/>
  <c r="Q73" i="2"/>
  <c r="Q74" i="2"/>
  <c r="Q275" i="2"/>
  <c r="Z46" i="2"/>
  <c r="AA47" i="2"/>
  <c r="AA68" i="2"/>
  <c r="AA245" i="2"/>
  <c r="T72" i="2"/>
  <c r="U73" i="2"/>
  <c r="U275" i="2"/>
  <c r="L21" i="4" s="1"/>
  <c r="W68" i="2"/>
  <c r="X69" i="2"/>
  <c r="X72" i="2"/>
  <c r="S133" i="12"/>
  <c r="S111" i="12" s="1"/>
  <c r="J25" i="4"/>
  <c r="AD41" i="2"/>
  <c r="AD46" i="2" s="1"/>
  <c r="AG38" i="2"/>
  <c r="T69" i="2"/>
  <c r="W47" i="2"/>
  <c r="W245" i="2"/>
  <c r="R108" i="12"/>
  <c r="R126" i="12"/>
  <c r="Q144" i="12"/>
  <c r="Q148" i="12" s="1"/>
  <c r="K21" i="4"/>
  <c r="M51" i="4"/>
  <c r="P343" i="2"/>
  <c r="P335" i="2"/>
  <c r="Q109" i="12"/>
  <c r="Q142" i="12"/>
  <c r="Q146" i="12" s="1"/>
  <c r="AF41" i="2"/>
  <c r="AI38" i="2"/>
  <c r="Q199" i="2"/>
  <c r="Q187" i="2" s="1"/>
  <c r="V129" i="12"/>
  <c r="T90" i="2" l="1"/>
  <c r="Q75" i="2"/>
  <c r="Q185" i="2"/>
  <c r="Q342" i="2"/>
  <c r="Q343" i="2"/>
  <c r="T197" i="2"/>
  <c r="T195" i="2" s="1"/>
  <c r="T196" i="2" s="1"/>
  <c r="V54" i="4"/>
  <c r="T182" i="2"/>
  <c r="T185" i="2" s="1"/>
  <c r="R351" i="2"/>
  <c r="R347" i="2" s="1"/>
  <c r="R348" i="2" s="1"/>
  <c r="R54" i="2"/>
  <c r="R266" i="2" s="1"/>
  <c r="R178" i="2"/>
  <c r="X10" i="2"/>
  <c r="X14" i="2" s="1"/>
  <c r="X255" i="2" s="1"/>
  <c r="O270" i="2"/>
  <c r="O268" i="2"/>
  <c r="O272" i="2" s="1"/>
  <c r="W89" i="2"/>
  <c r="W90" i="2" s="1"/>
  <c r="P92" i="2"/>
  <c r="P53" i="2" s="1"/>
  <c r="X182" i="2"/>
  <c r="X181" i="2" s="1"/>
  <c r="X201" i="2"/>
  <c r="W201" i="2" s="1"/>
  <c r="X197" i="2"/>
  <c r="X199" i="2" s="1"/>
  <c r="U92" i="2"/>
  <c r="U94" i="2" s="1"/>
  <c r="S93" i="2"/>
  <c r="S92" i="2" s="1"/>
  <c r="AA89" i="2"/>
  <c r="AA90" i="2" s="1"/>
  <c r="AA341" i="2"/>
  <c r="R94" i="2"/>
  <c r="R53" i="2"/>
  <c r="N260" i="2"/>
  <c r="N377" i="2"/>
  <c r="N380" i="2"/>
  <c r="X377" i="2"/>
  <c r="Y377" i="2" s="1"/>
  <c r="V376" i="2"/>
  <c r="X380" i="2"/>
  <c r="Y380" i="2" s="1"/>
  <c r="V379" i="2"/>
  <c r="V371" i="2" s="1"/>
  <c r="V34" i="1" s="1"/>
  <c r="O263" i="2"/>
  <c r="O261" i="2"/>
  <c r="O16" i="1"/>
  <c r="O21" i="1"/>
  <c r="G8" i="3"/>
  <c r="T50" i="4"/>
  <c r="N15" i="1"/>
  <c r="T343" i="2"/>
  <c r="T335" i="2"/>
  <c r="T342" i="2"/>
  <c r="W129" i="12"/>
  <c r="U178" i="2"/>
  <c r="T199" i="2"/>
  <c r="T187" i="2" s="1"/>
  <c r="X343" i="2"/>
  <c r="W69" i="2"/>
  <c r="AL38" i="2"/>
  <c r="AI41" i="2"/>
  <c r="Q128" i="12"/>
  <c r="R22" i="2"/>
  <c r="R10" i="1"/>
  <c r="K14" i="4"/>
  <c r="R144" i="12"/>
  <c r="R148" i="12" s="1"/>
  <c r="AC46" i="2"/>
  <c r="AD47" i="2"/>
  <c r="AD68" i="2"/>
  <c r="AD341" i="2" s="1"/>
  <c r="AB341" i="2" s="1"/>
  <c r="AC341" i="2" s="1"/>
  <c r="AD245" i="2"/>
  <c r="S108" i="12"/>
  <c r="S126" i="12"/>
  <c r="W72" i="2"/>
  <c r="X73" i="2"/>
  <c r="X275" i="2"/>
  <c r="Z47" i="2"/>
  <c r="Z245" i="2"/>
  <c r="Q502" i="2"/>
  <c r="S335" i="2"/>
  <c r="S342" i="2"/>
  <c r="S343" i="2"/>
  <c r="AJ38" i="2"/>
  <c r="AG41" i="2"/>
  <c r="AG46" i="2" s="1"/>
  <c r="R335" i="2"/>
  <c r="R109" i="12"/>
  <c r="R119" i="12"/>
  <c r="R123" i="12" s="1"/>
  <c r="U351" i="2" s="1"/>
  <c r="U347" i="2" s="1"/>
  <c r="R142" i="12"/>
  <c r="R146" i="12" s="1"/>
  <c r="R18" i="1"/>
  <c r="Q19" i="1"/>
  <c r="T74" i="2"/>
  <c r="T73" i="2"/>
  <c r="T275" i="2"/>
  <c r="AA69" i="2"/>
  <c r="AA72" i="2"/>
  <c r="Z68" i="2"/>
  <c r="T133" i="12"/>
  <c r="T181" i="2" l="1"/>
  <c r="R55" i="2"/>
  <c r="R276" i="2" s="1"/>
  <c r="R278" i="2" s="1"/>
  <c r="P54" i="2"/>
  <c r="Q54" i="2" s="1"/>
  <c r="R269" i="2"/>
  <c r="P94" i="2"/>
  <c r="W10" i="2"/>
  <c r="W14" i="2" s="1"/>
  <c r="W255" i="2" s="1"/>
  <c r="P18" i="2"/>
  <c r="P10" i="1" s="1"/>
  <c r="P15" i="1" s="1"/>
  <c r="W54" i="4"/>
  <c r="Z89" i="2"/>
  <c r="Z90" i="2" s="1"/>
  <c r="W182" i="2"/>
  <c r="W181" i="2" s="1"/>
  <c r="AA182" i="2"/>
  <c r="Z182" i="2" s="1"/>
  <c r="AA197" i="2"/>
  <c r="AA199" i="2" s="1"/>
  <c r="W197" i="2"/>
  <c r="W195" i="2" s="1"/>
  <c r="W196" i="2" s="1"/>
  <c r="AA201" i="2"/>
  <c r="Z201" i="2" s="1"/>
  <c r="AA10" i="2"/>
  <c r="AA14" i="2" s="1"/>
  <c r="AA255" i="2" s="1"/>
  <c r="R270" i="2"/>
  <c r="O516" i="2" s="1"/>
  <c r="U522" i="2" s="1"/>
  <c r="U54" i="2"/>
  <c r="Q92" i="2"/>
  <c r="Q94" i="2" s="1"/>
  <c r="U53" i="2"/>
  <c r="U18" i="2"/>
  <c r="L14" i="4" s="1"/>
  <c r="X92" i="2"/>
  <c r="X53" i="2" s="1"/>
  <c r="Y341" i="2"/>
  <c r="Z341" i="2" s="1"/>
  <c r="P347" i="2"/>
  <c r="R349" i="2"/>
  <c r="AA377" i="2"/>
  <c r="AB377" i="2" s="1"/>
  <c r="AD377" i="2" s="1"/>
  <c r="AE377" i="2" s="1"/>
  <c r="AG377" i="2" s="1"/>
  <c r="AH377" i="2" s="1"/>
  <c r="AJ377" i="2" s="1"/>
  <c r="AK377" i="2" s="1"/>
  <c r="AM377" i="2" s="1"/>
  <c r="AN377" i="2" s="1"/>
  <c r="AP377" i="2" s="1"/>
  <c r="AQ377" i="2" s="1"/>
  <c r="AS377" i="2" s="1"/>
  <c r="AT377" i="2" s="1"/>
  <c r="AV377" i="2" s="1"/>
  <c r="Y376" i="2"/>
  <c r="AA380" i="2"/>
  <c r="AB380" i="2" s="1"/>
  <c r="AD380" i="2" s="1"/>
  <c r="AE380" i="2" s="1"/>
  <c r="AG380" i="2" s="1"/>
  <c r="AH380" i="2" s="1"/>
  <c r="AJ380" i="2" s="1"/>
  <c r="AK380" i="2" s="1"/>
  <c r="AM380" i="2" s="1"/>
  <c r="AN380" i="2" s="1"/>
  <c r="AP380" i="2" s="1"/>
  <c r="AQ380" i="2" s="1"/>
  <c r="AS380" i="2" s="1"/>
  <c r="AT380" i="2" s="1"/>
  <c r="AV380" i="2" s="1"/>
  <c r="Y379" i="2"/>
  <c r="Y371" i="2" s="1"/>
  <c r="Y34" i="1" s="1"/>
  <c r="V372" i="2"/>
  <c r="V135" i="1"/>
  <c r="N263" i="2"/>
  <c r="N261" i="2"/>
  <c r="P55" i="2"/>
  <c r="P276" i="2" s="1"/>
  <c r="P278" i="2" s="1"/>
  <c r="O22" i="1"/>
  <c r="O23" i="1"/>
  <c r="G9" i="3"/>
  <c r="G20" i="3"/>
  <c r="N21" i="1"/>
  <c r="N16" i="1"/>
  <c r="R128" i="12"/>
  <c r="T178" i="2"/>
  <c r="U179" i="2"/>
  <c r="U14" i="1"/>
  <c r="L16" i="4"/>
  <c r="R19" i="1"/>
  <c r="AF46" i="2"/>
  <c r="AG47" i="2"/>
  <c r="AG68" i="2"/>
  <c r="AG341" i="2" s="1"/>
  <c r="AE341" i="2" s="1"/>
  <c r="AF341" i="2" s="1"/>
  <c r="AG245" i="2"/>
  <c r="U335" i="2"/>
  <c r="S109" i="12"/>
  <c r="S119" i="12"/>
  <c r="S123" i="12" s="1"/>
  <c r="X351" i="2" s="1"/>
  <c r="X347" i="2" s="1"/>
  <c r="S142" i="12"/>
  <c r="S146" i="12" s="1"/>
  <c r="AC68" i="2"/>
  <c r="AD69" i="2"/>
  <c r="AD72" i="2"/>
  <c r="U133" i="12"/>
  <c r="U111" i="12" s="1"/>
  <c r="R179" i="2"/>
  <c r="Q178" i="2"/>
  <c r="R14" i="1"/>
  <c r="R15" i="1" s="1"/>
  <c r="K16" i="4"/>
  <c r="K17" i="4" s="1"/>
  <c r="K18" i="4" s="1"/>
  <c r="S53" i="2"/>
  <c r="S18" i="2"/>
  <c r="S94" i="2"/>
  <c r="V94" i="2"/>
  <c r="AJ41" i="2"/>
  <c r="AJ46" i="2" s="1"/>
  <c r="AM38" i="2"/>
  <c r="AL41" i="2"/>
  <c r="AO38" i="2"/>
  <c r="X187" i="2"/>
  <c r="X178" i="2" s="1"/>
  <c r="W199" i="2"/>
  <c r="W187" i="2" s="1"/>
  <c r="AA343" i="2"/>
  <c r="W335" i="2"/>
  <c r="W342" i="2"/>
  <c r="W343" i="2"/>
  <c r="R268" i="2"/>
  <c r="R272" i="2" s="1"/>
  <c r="T111" i="12"/>
  <c r="T108" i="12" s="1"/>
  <c r="T126" i="12"/>
  <c r="Z69" i="2"/>
  <c r="U18" i="1"/>
  <c r="T19" i="1"/>
  <c r="T92" i="2"/>
  <c r="Z48" i="2"/>
  <c r="W73" i="2"/>
  <c r="W74" i="2"/>
  <c r="W275" i="2"/>
  <c r="AC47" i="2"/>
  <c r="AC245" i="2"/>
  <c r="R379" i="2"/>
  <c r="R376" i="2"/>
  <c r="Z72" i="2"/>
  <c r="AA73" i="2"/>
  <c r="AA275" i="2"/>
  <c r="T75" i="2"/>
  <c r="T502" i="2"/>
  <c r="S347" i="2"/>
  <c r="U348" i="2"/>
  <c r="U349" i="2"/>
  <c r="M21" i="4"/>
  <c r="S144" i="12"/>
  <c r="S148" i="12" s="1"/>
  <c r="AD89" i="2"/>
  <c r="V343" i="2"/>
  <c r="V335" i="2"/>
  <c r="V342" i="2"/>
  <c r="X129" i="12"/>
  <c r="P285" i="2" l="1"/>
  <c r="R285" i="2"/>
  <c r="P22" i="2"/>
  <c r="P379" i="2" s="1"/>
  <c r="Q379" i="2" s="1"/>
  <c r="P266" i="2"/>
  <c r="P270" i="2" s="1"/>
  <c r="W185" i="2"/>
  <c r="AA181" i="2"/>
  <c r="Z10" i="2"/>
  <c r="Z14" i="2" s="1"/>
  <c r="Z255" i="2" s="1"/>
  <c r="U55" i="2"/>
  <c r="Q53" i="2"/>
  <c r="Z197" i="2"/>
  <c r="Z195" i="2" s="1"/>
  <c r="Z196" i="2" s="1"/>
  <c r="Q93" i="2"/>
  <c r="Q18" i="2"/>
  <c r="Q22" i="2" s="1"/>
  <c r="U266" i="2"/>
  <c r="U269" i="2" s="1"/>
  <c r="Q266" i="2"/>
  <c r="X18" i="2"/>
  <c r="X22" i="2" s="1"/>
  <c r="U22" i="2"/>
  <c r="U376" i="2" s="1"/>
  <c r="U10" i="1"/>
  <c r="U15" i="1" s="1"/>
  <c r="U21" i="1" s="1"/>
  <c r="U23" i="2"/>
  <c r="P348" i="2"/>
  <c r="Q347" i="2"/>
  <c r="Q349" i="2" s="1"/>
  <c r="P336" i="2"/>
  <c r="P134" i="1" s="1"/>
  <c r="X94" i="2"/>
  <c r="W92" i="2"/>
  <c r="W93" i="2" s="1"/>
  <c r="Q55" i="2"/>
  <c r="Q276" i="2" s="1"/>
  <c r="Q278" i="2" s="1"/>
  <c r="AA92" i="2"/>
  <c r="Z92" i="2" s="1"/>
  <c r="P349" i="2"/>
  <c r="Y135" i="1"/>
  <c r="Y372" i="2"/>
  <c r="N23" i="1"/>
  <c r="N22" i="1"/>
  <c r="L17" i="4"/>
  <c r="S128" i="12"/>
  <c r="N34" i="1"/>
  <c r="X335" i="2"/>
  <c r="V395" i="2"/>
  <c r="U19" i="1"/>
  <c r="Y129" i="12"/>
  <c r="X179" i="2"/>
  <c r="W178" i="2"/>
  <c r="X14" i="1"/>
  <c r="M16" i="4"/>
  <c r="S349" i="2"/>
  <c r="S336" i="2"/>
  <c r="S348" i="2"/>
  <c r="T93" i="2"/>
  <c r="T53" i="2"/>
  <c r="T94" i="2"/>
  <c r="T18" i="2"/>
  <c r="T144" i="12"/>
  <c r="T148" i="12" s="1"/>
  <c r="Y342" i="2"/>
  <c r="Y335" i="2"/>
  <c r="Y343" i="2"/>
  <c r="AR38" i="2"/>
  <c r="AO41" i="2"/>
  <c r="P29" i="1"/>
  <c r="Q179" i="2"/>
  <c r="Q14" i="1"/>
  <c r="AD343" i="2"/>
  <c r="AC69" i="2"/>
  <c r="AF68" i="2"/>
  <c r="AG69" i="2"/>
  <c r="AG72" i="2"/>
  <c r="V133" i="12"/>
  <c r="AC89" i="2"/>
  <c r="AC90" i="2" s="1"/>
  <c r="AD90" i="2"/>
  <c r="AD197" i="2"/>
  <c r="AD201" i="2"/>
  <c r="AC201" i="2" s="1"/>
  <c r="AD182" i="2"/>
  <c r="W75" i="2"/>
  <c r="W502" i="2"/>
  <c r="T109" i="12"/>
  <c r="T119" i="12"/>
  <c r="T123" i="12" s="1"/>
  <c r="AA351" i="2" s="1"/>
  <c r="AA347" i="2" s="1"/>
  <c r="T142" i="12"/>
  <c r="T146" i="12" s="1"/>
  <c r="R16" i="1"/>
  <c r="R21" i="1"/>
  <c r="H8" i="3"/>
  <c r="H9" i="3" s="1"/>
  <c r="AC72" i="2"/>
  <c r="AD73" i="2"/>
  <c r="AD275" i="2"/>
  <c r="AD10" i="2"/>
  <c r="AG89" i="2"/>
  <c r="AG10" i="2" s="1"/>
  <c r="AG14" i="2" s="1"/>
  <c r="AG255" i="2" s="1"/>
  <c r="AA187" i="2"/>
  <c r="Z199" i="2"/>
  <c r="Z187" i="2" s="1"/>
  <c r="T179" i="2"/>
  <c r="T14" i="1"/>
  <c r="AI46" i="2"/>
  <c r="AJ68" i="2"/>
  <c r="AJ47" i="2"/>
  <c r="AJ245" i="2"/>
  <c r="S22" i="2"/>
  <c r="S10" i="1"/>
  <c r="S15" i="1" s="1"/>
  <c r="U108" i="12"/>
  <c r="U119" i="12" s="1"/>
  <c r="U126" i="12"/>
  <c r="X18" i="1"/>
  <c r="W19" i="1"/>
  <c r="U276" i="2"/>
  <c r="Z73" i="2"/>
  <c r="Z74" i="2"/>
  <c r="Z275" i="2"/>
  <c r="R392" i="2"/>
  <c r="T347" i="2"/>
  <c r="K22" i="4"/>
  <c r="Z185" i="2"/>
  <c r="Z181" i="2"/>
  <c r="P16" i="1"/>
  <c r="P21" i="1"/>
  <c r="AP38" i="2"/>
  <c r="AM41" i="2"/>
  <c r="AM46" i="2" s="1"/>
  <c r="X54" i="2"/>
  <c r="X55" i="2" s="1"/>
  <c r="S54" i="2"/>
  <c r="S266" i="2" s="1"/>
  <c r="X348" i="2"/>
  <c r="X349" i="2"/>
  <c r="V347" i="2"/>
  <c r="AF47" i="2"/>
  <c r="AF245" i="2"/>
  <c r="P376" i="2" l="1"/>
  <c r="Q376" i="2" s="1"/>
  <c r="P268" i="2"/>
  <c r="P272" i="2" s="1"/>
  <c r="Q285" i="2"/>
  <c r="AA178" i="2"/>
  <c r="Z178" i="2" s="1"/>
  <c r="AA53" i="2"/>
  <c r="AA18" i="2"/>
  <c r="BF18" i="2" s="1"/>
  <c r="AA94" i="2"/>
  <c r="U379" i="2"/>
  <c r="Q10" i="1"/>
  <c r="Q15" i="1" s="1"/>
  <c r="W53" i="2"/>
  <c r="Q270" i="2"/>
  <c r="Q268" i="2"/>
  <c r="Q272" i="2" s="1"/>
  <c r="M14" i="4"/>
  <c r="M17" i="4" s="1"/>
  <c r="M19" i="4" s="1"/>
  <c r="X10" i="1"/>
  <c r="X15" i="1" s="1"/>
  <c r="U270" i="2"/>
  <c r="W94" i="2"/>
  <c r="W18" i="2"/>
  <c r="W10" i="1" s="1"/>
  <c r="AJ89" i="2"/>
  <c r="AJ341" i="2"/>
  <c r="AH341" i="2" s="1"/>
  <c r="AI341" i="2" s="1"/>
  <c r="U16" i="1"/>
  <c r="I8" i="3"/>
  <c r="I9" i="3" s="1"/>
  <c r="L18" i="4"/>
  <c r="Q348" i="2"/>
  <c r="Q336" i="2"/>
  <c r="O34" i="1"/>
  <c r="AL46" i="2"/>
  <c r="AM47" i="2"/>
  <c r="AM68" i="2"/>
  <c r="AM341" i="2" s="1"/>
  <c r="AK341" i="2" s="1"/>
  <c r="AL341" i="2" s="1"/>
  <c r="AM245" i="2"/>
  <c r="Q371" i="2"/>
  <c r="Q380" i="2"/>
  <c r="S268" i="2"/>
  <c r="S272" i="2" s="1"/>
  <c r="S270" i="2"/>
  <c r="S16" i="1"/>
  <c r="S21" i="1"/>
  <c r="V16" i="1"/>
  <c r="BF10" i="2"/>
  <c r="AD14" i="2"/>
  <c r="AD255" i="2" s="1"/>
  <c r="AC73" i="2"/>
  <c r="AC74" i="2"/>
  <c r="AC275" i="2"/>
  <c r="U268" i="2"/>
  <c r="U272" i="2" s="1"/>
  <c r="T54" i="2"/>
  <c r="T266" i="2" s="1"/>
  <c r="AP41" i="2"/>
  <c r="AP46" i="2" s="1"/>
  <c r="AS38" i="2"/>
  <c r="AA14" i="1"/>
  <c r="H18" i="3"/>
  <c r="Z75" i="2"/>
  <c r="Z502" i="2"/>
  <c r="AI47" i="2"/>
  <c r="AI245" i="2"/>
  <c r="AF89" i="2"/>
  <c r="AF90" i="2" s="1"/>
  <c r="AG90" i="2"/>
  <c r="AG182" i="2"/>
  <c r="AG197" i="2"/>
  <c r="AG201" i="2"/>
  <c r="AF201" i="2" s="1"/>
  <c r="P372" i="2"/>
  <c r="P135" i="1"/>
  <c r="P137" i="1" s="1"/>
  <c r="P392" i="2"/>
  <c r="Q29" i="1"/>
  <c r="V336" i="2"/>
  <c r="V348" i="2"/>
  <c r="V349" i="2"/>
  <c r="V392" i="2"/>
  <c r="U22" i="1"/>
  <c r="U23" i="1"/>
  <c r="Z343" i="2"/>
  <c r="Z342" i="2"/>
  <c r="Z335" i="2"/>
  <c r="AA335" i="2" s="1"/>
  <c r="W347" i="2"/>
  <c r="S55" i="2"/>
  <c r="K24" i="4"/>
  <c r="I17" i="22"/>
  <c r="Q372" i="2"/>
  <c r="Q377" i="2"/>
  <c r="Q135" i="1"/>
  <c r="Q392" i="2"/>
  <c r="X19" i="1"/>
  <c r="R23" i="1"/>
  <c r="R22" i="1"/>
  <c r="AA18" i="1"/>
  <c r="Z19" i="1"/>
  <c r="AD199" i="2"/>
  <c r="AC197" i="2"/>
  <c r="AC195" i="2" s="1"/>
  <c r="AC196" i="2" s="1"/>
  <c r="V111" i="12"/>
  <c r="V108" i="12" s="1"/>
  <c r="V119" i="12" s="1"/>
  <c r="V126" i="12"/>
  <c r="AF69" i="2"/>
  <c r="AB343" i="2"/>
  <c r="AB342" i="2"/>
  <c r="AB335" i="2"/>
  <c r="P30" i="1"/>
  <c r="P25" i="1"/>
  <c r="P26" i="1" s="1"/>
  <c r="P31" i="1"/>
  <c r="U392" i="2"/>
  <c r="I18" i="3" s="1"/>
  <c r="P371" i="2"/>
  <c r="T22" i="2"/>
  <c r="T10" i="1"/>
  <c r="T15" i="1" s="1"/>
  <c r="Z129" i="12"/>
  <c r="X376" i="2"/>
  <c r="X379" i="2"/>
  <c r="W379" i="2" s="1"/>
  <c r="X276" i="2"/>
  <c r="L22" i="4"/>
  <c r="U278" i="2"/>
  <c r="L24" i="4" s="1"/>
  <c r="V50" i="4" s="1"/>
  <c r="Y347" i="2"/>
  <c r="AA349" i="2"/>
  <c r="AA348" i="2"/>
  <c r="AG343" i="2"/>
  <c r="AC335" i="2"/>
  <c r="AC343" i="2"/>
  <c r="AC342" i="2"/>
  <c r="V54" i="2"/>
  <c r="W54" i="2" s="1"/>
  <c r="W266" i="2" s="1"/>
  <c r="AA54" i="2"/>
  <c r="X266" i="2"/>
  <c r="P22" i="1"/>
  <c r="P23" i="1"/>
  <c r="T348" i="2"/>
  <c r="T349" i="2"/>
  <c r="T336" i="2"/>
  <c r="T134" i="1" s="1"/>
  <c r="Z53" i="2"/>
  <c r="Z93" i="2"/>
  <c r="Z94" i="2"/>
  <c r="Z18" i="2"/>
  <c r="U123" i="12"/>
  <c r="AD351" i="2" s="1"/>
  <c r="AD347" i="2" s="1"/>
  <c r="S376" i="2"/>
  <c r="T376" i="2" s="1"/>
  <c r="S379" i="2"/>
  <c r="AI68" i="2"/>
  <c r="AJ69" i="2"/>
  <c r="AJ72" i="2"/>
  <c r="W133" i="12"/>
  <c r="AD181" i="2"/>
  <c r="AC182" i="2"/>
  <c r="AF72" i="2"/>
  <c r="AG73" i="2"/>
  <c r="AG275" i="2"/>
  <c r="AC10" i="2"/>
  <c r="AC14" i="2" s="1"/>
  <c r="AC255" i="2" s="1"/>
  <c r="AR41" i="2"/>
  <c r="AU38" i="2"/>
  <c r="AU41" i="2" s="1"/>
  <c r="Y395" i="2"/>
  <c r="T128" i="12"/>
  <c r="S134" i="1"/>
  <c r="W179" i="2"/>
  <c r="W14" i="1"/>
  <c r="AA179" i="2" l="1"/>
  <c r="AA22" i="2"/>
  <c r="AA10" i="1"/>
  <c r="AA15" i="1" s="1"/>
  <c r="T379" i="2"/>
  <c r="T380" i="2" s="1"/>
  <c r="Q16" i="1"/>
  <c r="Q21" i="1"/>
  <c r="Q23" i="1" s="1"/>
  <c r="AJ201" i="2"/>
  <c r="AI201" i="2" s="1"/>
  <c r="AJ182" i="2"/>
  <c r="AJ181" i="2" s="1"/>
  <c r="AJ90" i="2"/>
  <c r="AJ10" i="2"/>
  <c r="AJ14" i="2" s="1"/>
  <c r="AJ255" i="2" s="1"/>
  <c r="AJ197" i="2"/>
  <c r="AJ199" i="2" s="1"/>
  <c r="AI89" i="2"/>
  <c r="AI90" i="2" s="1"/>
  <c r="W22" i="2"/>
  <c r="X269" i="2"/>
  <c r="AD92" i="2"/>
  <c r="AB93" i="2"/>
  <c r="AB92" i="2" s="1"/>
  <c r="AB53" i="2" s="1"/>
  <c r="Q134" i="1"/>
  <c r="R134" i="1" s="1"/>
  <c r="U38" i="4" s="1"/>
  <c r="R336" i="2"/>
  <c r="G15" i="3"/>
  <c r="G19" i="3" s="1"/>
  <c r="AF10" i="2"/>
  <c r="AF14" i="2" s="1"/>
  <c r="AF255" i="2" s="1"/>
  <c r="V123" i="12"/>
  <c r="AG351" i="2" s="1"/>
  <c r="AG347" i="2" s="1"/>
  <c r="AG348" i="2" s="1"/>
  <c r="U336" i="2"/>
  <c r="U128" i="12"/>
  <c r="AO46" i="2"/>
  <c r="AP47" i="2"/>
  <c r="AP68" i="2"/>
  <c r="AP341" i="2" s="1"/>
  <c r="AN341" i="2" s="1"/>
  <c r="AO341" i="2" s="1"/>
  <c r="AP245" i="2"/>
  <c r="T377" i="2"/>
  <c r="T372" i="2"/>
  <c r="T135" i="1"/>
  <c r="T137" i="1" s="1"/>
  <c r="T392" i="2"/>
  <c r="AJ343" i="2"/>
  <c r="Z22" i="2"/>
  <c r="Z10" i="1"/>
  <c r="W268" i="2"/>
  <c r="W272" i="2" s="1"/>
  <c r="W270" i="2"/>
  <c r="AE335" i="2"/>
  <c r="AE342" i="2"/>
  <c r="AE343" i="2"/>
  <c r="AA129" i="12"/>
  <c r="I25" i="22"/>
  <c r="I37" i="22" s="1"/>
  <c r="I29" i="22"/>
  <c r="I41" i="22" s="1"/>
  <c r="I24" i="22"/>
  <c r="I36" i="22" s="1"/>
  <c r="I28" i="22"/>
  <c r="I40" i="22" s="1"/>
  <c r="I23" i="22"/>
  <c r="I35" i="22" s="1"/>
  <c r="I27" i="22"/>
  <c r="I39" i="22" s="1"/>
  <c r="I31" i="22"/>
  <c r="I43" i="22" s="1"/>
  <c r="I26" i="22"/>
  <c r="I38" i="22" s="1"/>
  <c r="I30" i="22"/>
  <c r="I42" i="22" s="1"/>
  <c r="H20" i="3"/>
  <c r="AL68" i="2"/>
  <c r="AM69" i="2"/>
  <c r="AM72" i="2"/>
  <c r="X133" i="12"/>
  <c r="S372" i="2"/>
  <c r="S135" i="1"/>
  <c r="S392" i="2"/>
  <c r="U134" i="1"/>
  <c r="M18" i="4"/>
  <c r="AF74" i="2"/>
  <c r="AF73" i="2"/>
  <c r="AF275" i="2"/>
  <c r="AC185" i="2"/>
  <c r="AC181" i="2"/>
  <c r="W111" i="12"/>
  <c r="W108" i="12" s="1"/>
  <c r="W119" i="12" s="1"/>
  <c r="W126" i="12"/>
  <c r="AI69" i="2"/>
  <c r="S371" i="2"/>
  <c r="X268" i="2"/>
  <c r="X272" i="2" s="1"/>
  <c r="X270" i="2"/>
  <c r="V55" i="2"/>
  <c r="V266" i="2"/>
  <c r="Y348" i="2"/>
  <c r="Y336" i="2"/>
  <c r="Y349" i="2"/>
  <c r="Y392" i="2"/>
  <c r="M22" i="4"/>
  <c r="X278" i="2"/>
  <c r="R371" i="2"/>
  <c r="P34" i="1"/>
  <c r="P395" i="2"/>
  <c r="AD335" i="2"/>
  <c r="AA19" i="1"/>
  <c r="S276" i="2"/>
  <c r="S278" i="2" s="1"/>
  <c r="S285" i="2" s="1"/>
  <c r="T55" i="2"/>
  <c r="T276" i="2" s="1"/>
  <c r="T278" i="2" s="1"/>
  <c r="T285" i="2" s="1"/>
  <c r="T268" i="2"/>
  <c r="T272" i="2" s="1"/>
  <c r="T270" i="2"/>
  <c r="AD18" i="1"/>
  <c r="AC19" i="1"/>
  <c r="AC75" i="2"/>
  <c r="AC502" i="2"/>
  <c r="W371" i="2"/>
  <c r="W380" i="2"/>
  <c r="R29" i="1"/>
  <c r="X21" i="1"/>
  <c r="X16" i="1"/>
  <c r="J8" i="3"/>
  <c r="J9" i="3" s="1"/>
  <c r="R135" i="1"/>
  <c r="U39" i="4" s="1"/>
  <c r="W15" i="1"/>
  <c r="AG199" i="2"/>
  <c r="AF197" i="2"/>
  <c r="AF195" i="2" s="1"/>
  <c r="AF196" i="2" s="1"/>
  <c r="Z179" i="2"/>
  <c r="Z14" i="1"/>
  <c r="AA376" i="2"/>
  <c r="AA379" i="2"/>
  <c r="Z379" i="2" s="1"/>
  <c r="AV38" i="2"/>
  <c r="AS41" i="2"/>
  <c r="AS46" i="2" s="1"/>
  <c r="AS68" i="2" s="1"/>
  <c r="AS72" i="2" s="1"/>
  <c r="V22" i="1"/>
  <c r="S23" i="1"/>
  <c r="S22" i="1"/>
  <c r="Q34" i="1"/>
  <c r="Q395" i="2"/>
  <c r="AL47" i="2"/>
  <c r="AL245" i="2"/>
  <c r="T16" i="1"/>
  <c r="T21" i="1"/>
  <c r="AI72" i="2"/>
  <c r="AJ73" i="2"/>
  <c r="AJ275" i="2"/>
  <c r="AB347" i="2"/>
  <c r="AC347" i="2" s="1"/>
  <c r="AD348" i="2"/>
  <c r="AD349" i="2"/>
  <c r="Y54" i="2"/>
  <c r="Z54" i="2" s="1"/>
  <c r="Z266" i="2" s="1"/>
  <c r="AA266" i="2"/>
  <c r="AA269" i="2" s="1"/>
  <c r="Z347" i="2"/>
  <c r="U285" i="2"/>
  <c r="J17" i="22"/>
  <c r="W376" i="2"/>
  <c r="X392" i="2"/>
  <c r="AD187" i="2"/>
  <c r="AD178" i="2" s="1"/>
  <c r="AC199" i="2"/>
  <c r="AC187" i="2" s="1"/>
  <c r="K25" i="4"/>
  <c r="U50" i="4"/>
  <c r="W336" i="2"/>
  <c r="W134" i="1" s="1"/>
  <c r="W349" i="2"/>
  <c r="W348" i="2"/>
  <c r="V134" i="1"/>
  <c r="Q31" i="1"/>
  <c r="R372" i="2"/>
  <c r="AF182" i="2"/>
  <c r="AG181" i="2"/>
  <c r="AA55" i="2"/>
  <c r="AM89" i="2"/>
  <c r="T371" i="2" l="1"/>
  <c r="AD94" i="2"/>
  <c r="AD18" i="2"/>
  <c r="AD22" i="2" s="1"/>
  <c r="Q22" i="1"/>
  <c r="Q25" i="1"/>
  <c r="AB94" i="2"/>
  <c r="AB18" i="2"/>
  <c r="AB22" i="2" s="1"/>
  <c r="AI182" i="2"/>
  <c r="AI185" i="2" s="1"/>
  <c r="AI10" i="2"/>
  <c r="AI14" i="2" s="1"/>
  <c r="AI255" i="2" s="1"/>
  <c r="AC92" i="2"/>
  <c r="AC93" i="2" s="1"/>
  <c r="AD53" i="2"/>
  <c r="AI197" i="2"/>
  <c r="AI195" i="2" s="1"/>
  <c r="AI196" i="2" s="1"/>
  <c r="AE93" i="2"/>
  <c r="AE92" i="2" s="1"/>
  <c r="AG92" i="2"/>
  <c r="AG94" i="2" s="1"/>
  <c r="AJ92" i="2"/>
  <c r="AH93" i="2"/>
  <c r="AH92" i="2" s="1"/>
  <c r="Q137" i="1"/>
  <c r="U372" i="2"/>
  <c r="U135" i="1"/>
  <c r="V39" i="4" s="1"/>
  <c r="AE347" i="2"/>
  <c r="AF347" i="2" s="1"/>
  <c r="AF349" i="2" s="1"/>
  <c r="V128" i="12"/>
  <c r="AG349" i="2"/>
  <c r="R137" i="1"/>
  <c r="U41" i="4" s="1"/>
  <c r="U40" i="4" s="1"/>
  <c r="AD179" i="2"/>
  <c r="AC178" i="2"/>
  <c r="AD14" i="1"/>
  <c r="AA276" i="2"/>
  <c r="AA278" i="2" s="1"/>
  <c r="AA268" i="2"/>
  <c r="AA272" i="2" s="1"/>
  <c r="AA270" i="2"/>
  <c r="AC336" i="2"/>
  <c r="AC134" i="1" s="1"/>
  <c r="AC348" i="2"/>
  <c r="AC349" i="2"/>
  <c r="T22" i="1"/>
  <c r="T23" i="1"/>
  <c r="AF181" i="2"/>
  <c r="AF185" i="2"/>
  <c r="L25" i="4"/>
  <c r="Z336" i="2"/>
  <c r="Z134" i="1" s="1"/>
  <c r="Z348" i="2"/>
  <c r="Z349" i="2"/>
  <c r="Y55" i="2"/>
  <c r="Y276" i="2" s="1"/>
  <c r="Y278" i="2" s="1"/>
  <c r="Y285" i="2" s="1"/>
  <c r="Y266" i="2"/>
  <c r="AB336" i="2"/>
  <c r="AB348" i="2"/>
  <c r="AB349" i="2"/>
  <c r="AI73" i="2"/>
  <c r="AI74" i="2"/>
  <c r="AI275" i="2"/>
  <c r="W16" i="1"/>
  <c r="W21" i="1"/>
  <c r="X22" i="1"/>
  <c r="X23" i="1"/>
  <c r="T29" i="1"/>
  <c r="T34" i="1"/>
  <c r="T395" i="2"/>
  <c r="AL69" i="2"/>
  <c r="AA21" i="1"/>
  <c r="AA16" i="1"/>
  <c r="K8" i="3"/>
  <c r="K9" i="3" s="1"/>
  <c r="AJ187" i="2"/>
  <c r="AJ178" i="2" s="1"/>
  <c r="AI199" i="2"/>
  <c r="AI187" i="2" s="1"/>
  <c r="AL89" i="2"/>
  <c r="AL90" i="2" s="1"/>
  <c r="AM90" i="2"/>
  <c r="AM197" i="2"/>
  <c r="AM201" i="2"/>
  <c r="AL201" i="2" s="1"/>
  <c r="AM182" i="2"/>
  <c r="AG18" i="1"/>
  <c r="AF19" i="1"/>
  <c r="V137" i="1"/>
  <c r="X134" i="1"/>
  <c r="W372" i="2"/>
  <c r="X372" i="2" s="1"/>
  <c r="W377" i="2"/>
  <c r="W135" i="1"/>
  <c r="X135" i="1" s="1"/>
  <c r="W39" i="4" s="1"/>
  <c r="I20" i="3"/>
  <c r="AD54" i="2"/>
  <c r="Z376" i="2"/>
  <c r="AA392" i="2"/>
  <c r="S29" i="1"/>
  <c r="V270" i="2"/>
  <c r="V268" i="2"/>
  <c r="V272" i="2" s="1"/>
  <c r="W123" i="12"/>
  <c r="AJ351" i="2" s="1"/>
  <c r="AJ347" i="2" s="1"/>
  <c r="AF75" i="2"/>
  <c r="AF502" i="2"/>
  <c r="S137" i="1"/>
  <c r="AM343" i="2"/>
  <c r="AO68" i="2"/>
  <c r="AP69" i="2"/>
  <c r="AP72" i="2"/>
  <c r="Y133" i="12"/>
  <c r="AR46" i="2"/>
  <c r="AS47" i="2"/>
  <c r="AS341" i="2"/>
  <c r="AS245" i="2"/>
  <c r="R25" i="1"/>
  <c r="K28" i="4"/>
  <c r="U51" i="4" s="1"/>
  <c r="R31" i="1"/>
  <c r="X371" i="2"/>
  <c r="W34" i="1"/>
  <c r="W395" i="2"/>
  <c r="AD19" i="1"/>
  <c r="V276" i="2"/>
  <c r="V278" i="2" s="1"/>
  <c r="V285" i="2" s="1"/>
  <c r="W55" i="2"/>
  <c r="W276" i="2" s="1"/>
  <c r="W278" i="2" s="1"/>
  <c r="W285" i="2" s="1"/>
  <c r="U371" i="2"/>
  <c r="S34" i="1"/>
  <c r="S395" i="2"/>
  <c r="V38" i="4"/>
  <c r="AL72" i="2"/>
  <c r="AM73" i="2"/>
  <c r="AM275" i="2"/>
  <c r="AM10" i="2"/>
  <c r="AM14" i="2" s="1"/>
  <c r="AM255" i="2" s="1"/>
  <c r="Z15" i="1"/>
  <c r="AI335" i="2"/>
  <c r="AI342" i="2"/>
  <c r="AI343" i="2"/>
  <c r="Z270" i="2"/>
  <c r="Z268" i="2"/>
  <c r="Z272" i="2" s="1"/>
  <c r="X336" i="2"/>
  <c r="W392" i="2"/>
  <c r="J18" i="3"/>
  <c r="J26" i="22"/>
  <c r="J38" i="22" s="1"/>
  <c r="J30" i="22"/>
  <c r="J42" i="22" s="1"/>
  <c r="J25" i="22"/>
  <c r="J37" i="22" s="1"/>
  <c r="J29" i="22"/>
  <c r="J41" i="22" s="1"/>
  <c r="J24" i="22"/>
  <c r="J36" i="22" s="1"/>
  <c r="J28" i="22"/>
  <c r="J40" i="22" s="1"/>
  <c r="J23" i="22"/>
  <c r="J35" i="22" s="1"/>
  <c r="J27" i="22"/>
  <c r="J39" i="22" s="1"/>
  <c r="J31" i="22"/>
  <c r="J43" i="22" s="1"/>
  <c r="U29" i="1"/>
  <c r="AF343" i="2"/>
  <c r="AF342" i="2"/>
  <c r="AF335" i="2"/>
  <c r="AV41" i="2"/>
  <c r="AV46" i="2" s="1"/>
  <c r="Z371" i="2"/>
  <c r="Z380" i="2"/>
  <c r="AG187" i="2"/>
  <c r="AG178" i="2" s="1"/>
  <c r="AF199" i="2"/>
  <c r="AF187" i="2" s="1"/>
  <c r="R34" i="1"/>
  <c r="R395" i="2"/>
  <c r="H15" i="3" s="1"/>
  <c r="H19" i="3" s="1"/>
  <c r="X285" i="2"/>
  <c r="M24" i="4"/>
  <c r="K17" i="22"/>
  <c r="Y134" i="1"/>
  <c r="X111" i="12"/>
  <c r="X108" i="12" s="1"/>
  <c r="X119" i="12" s="1"/>
  <c r="X126" i="12"/>
  <c r="AH335" i="2"/>
  <c r="AH342" i="2"/>
  <c r="AH343" i="2"/>
  <c r="AP89" i="2"/>
  <c r="AP10" i="2" s="1"/>
  <c r="AP14" i="2" s="1"/>
  <c r="AP255" i="2" s="1"/>
  <c r="AO47" i="2"/>
  <c r="AO245" i="2"/>
  <c r="AI181" i="2" l="1"/>
  <c r="AD10" i="1"/>
  <c r="M26" i="4"/>
  <c r="AC24" i="4"/>
  <c r="AC53" i="2"/>
  <c r="AB10" i="1"/>
  <c r="AB15" i="1" s="1"/>
  <c r="AB16" i="1" s="1"/>
  <c r="AD55" i="2"/>
  <c r="AD276" i="2" s="1"/>
  <c r="AD278" i="2" s="1"/>
  <c r="AC18" i="2"/>
  <c r="AC22" i="2" s="1"/>
  <c r="AC94" i="2"/>
  <c r="AE94" i="2"/>
  <c r="AE53" i="2"/>
  <c r="AE18" i="2"/>
  <c r="AE10" i="1" s="1"/>
  <c r="AE15" i="1" s="1"/>
  <c r="AJ94" i="2"/>
  <c r="AF92" i="2"/>
  <c r="AF18" i="2" s="1"/>
  <c r="AJ53" i="2"/>
  <c r="AG53" i="2"/>
  <c r="AD266" i="2"/>
  <c r="AD270" i="2" s="1"/>
  <c r="AJ18" i="2"/>
  <c r="AJ22" i="2" s="1"/>
  <c r="AD15" i="1"/>
  <c r="AI92" i="2"/>
  <c r="AH94" i="2"/>
  <c r="AH53" i="2"/>
  <c r="AH18" i="2"/>
  <c r="AH10" i="1" s="1"/>
  <c r="AH15" i="1" s="1"/>
  <c r="AG18" i="2"/>
  <c r="AG22" i="2" s="1"/>
  <c r="AQ341" i="2"/>
  <c r="AR341" i="2" s="1"/>
  <c r="AE348" i="2"/>
  <c r="AE336" i="2"/>
  <c r="AF336" i="2"/>
  <c r="AF134" i="1" s="1"/>
  <c r="AE349" i="2"/>
  <c r="AF348" i="2"/>
  <c r="U137" i="1"/>
  <c r="V41" i="4" s="1"/>
  <c r="V40" i="4" s="1"/>
  <c r="AA336" i="2"/>
  <c r="X123" i="12"/>
  <c r="AM351" i="2" s="1"/>
  <c r="AM347" i="2" s="1"/>
  <c r="AM348" i="2" s="1"/>
  <c r="W137" i="1"/>
  <c r="AF178" i="2"/>
  <c r="AG179" i="2"/>
  <c r="AG14" i="1"/>
  <c r="AL343" i="2"/>
  <c r="AL335" i="2"/>
  <c r="AL342" i="2"/>
  <c r="K23" i="22"/>
  <c r="K35" i="22" s="1"/>
  <c r="K27" i="22"/>
  <c r="K39" i="22" s="1"/>
  <c r="K31" i="22"/>
  <c r="K43" i="22" s="1"/>
  <c r="K26" i="22"/>
  <c r="K38" i="22" s="1"/>
  <c r="K30" i="22"/>
  <c r="K42" i="22" s="1"/>
  <c r="K25" i="22"/>
  <c r="K37" i="22" s="1"/>
  <c r="K29" i="22"/>
  <c r="K41" i="22" s="1"/>
  <c r="K24" i="22"/>
  <c r="K36" i="22" s="1"/>
  <c r="K28" i="22"/>
  <c r="K40" i="22" s="1"/>
  <c r="AJ179" i="2"/>
  <c r="AI178" i="2"/>
  <c r="AJ14" i="1"/>
  <c r="AL73" i="2"/>
  <c r="AL74" i="2"/>
  <c r="AL275" i="2"/>
  <c r="V29" i="1"/>
  <c r="AR68" i="2"/>
  <c r="AS69" i="2"/>
  <c r="Z133" i="12"/>
  <c r="AO72" i="2"/>
  <c r="AP73" i="2"/>
  <c r="AP275" i="2"/>
  <c r="AL182" i="2"/>
  <c r="AM181" i="2"/>
  <c r="T30" i="1"/>
  <c r="T31" i="1"/>
  <c r="T25" i="1"/>
  <c r="T26" i="1" s="1"/>
  <c r="AD336" i="2"/>
  <c r="AB134" i="1"/>
  <c r="AU46" i="2"/>
  <c r="AV68" i="2"/>
  <c r="AV47" i="2"/>
  <c r="AV245" i="2"/>
  <c r="AO89" i="2"/>
  <c r="AO90" i="2" s="1"/>
  <c r="AP197" i="2"/>
  <c r="AP201" i="2"/>
  <c r="AO201" i="2" s="1"/>
  <c r="AP90" i="2"/>
  <c r="AP182" i="2"/>
  <c r="W50" i="4"/>
  <c r="M25" i="4"/>
  <c r="AA371" i="2"/>
  <c r="Z34" i="1"/>
  <c r="Z395" i="2"/>
  <c r="Y111" i="12"/>
  <c r="Y108" i="12" s="1"/>
  <c r="Y119" i="12" s="1"/>
  <c r="Y126" i="12"/>
  <c r="AJ348" i="2"/>
  <c r="AJ349" i="2"/>
  <c r="AH347" i="2"/>
  <c r="AI347" i="2" s="1"/>
  <c r="K18" i="3"/>
  <c r="W23" i="1"/>
  <c r="W22" i="1"/>
  <c r="Y268" i="2"/>
  <c r="Y272" i="2" s="1"/>
  <c r="Y270" i="2"/>
  <c r="AA285" i="2"/>
  <c r="L17" i="22"/>
  <c r="AK342" i="2"/>
  <c r="AK343" i="2"/>
  <c r="AK335" i="2"/>
  <c r="Z377" i="2"/>
  <c r="Z372" i="2"/>
  <c r="AA372" i="2" s="1"/>
  <c r="Z135" i="1"/>
  <c r="AA135" i="1" s="1"/>
  <c r="AG19" i="1"/>
  <c r="AM199" i="2"/>
  <c r="AL197" i="2"/>
  <c r="AL195" i="2" s="1"/>
  <c r="AL196" i="2" s="1"/>
  <c r="AJ18" i="1"/>
  <c r="AI19" i="1"/>
  <c r="AA22" i="1"/>
  <c r="AA23" i="1"/>
  <c r="Y29" i="1"/>
  <c r="Z55" i="2"/>
  <c r="Z276" i="2" s="1"/>
  <c r="Z278" i="2" s="1"/>
  <c r="Z285" i="2" s="1"/>
  <c r="AC179" i="2"/>
  <c r="AC14" i="1"/>
  <c r="AJ335" i="2"/>
  <c r="Y137" i="1"/>
  <c r="AA134" i="1"/>
  <c r="U25" i="1"/>
  <c r="U26" i="1" s="1"/>
  <c r="U31" i="1"/>
  <c r="U30" i="1"/>
  <c r="L28" i="4"/>
  <c r="V51" i="4" s="1"/>
  <c r="AD379" i="2"/>
  <c r="AD376" i="2"/>
  <c r="Z16" i="1"/>
  <c r="Z21" i="1"/>
  <c r="U34" i="1"/>
  <c r="U395" i="2"/>
  <c r="I15" i="3" s="1"/>
  <c r="I19" i="3" s="1"/>
  <c r="X34" i="1"/>
  <c r="X395" i="2"/>
  <c r="J15" i="3" s="1"/>
  <c r="J19" i="3" s="1"/>
  <c r="AR47" i="2"/>
  <c r="AR245" i="2"/>
  <c r="X29" i="1"/>
  <c r="AB379" i="2"/>
  <c r="AB376" i="2"/>
  <c r="J20" i="3"/>
  <c r="W29" i="1"/>
  <c r="AS89" i="2"/>
  <c r="AP343" i="2"/>
  <c r="AO69" i="2"/>
  <c r="AG335" i="2"/>
  <c r="S25" i="1"/>
  <c r="S26" i="1" s="1"/>
  <c r="S31" i="1"/>
  <c r="S30" i="1"/>
  <c r="AG54" i="2"/>
  <c r="AB54" i="2"/>
  <c r="AC54" i="2" s="1"/>
  <c r="AC266" i="2" s="1"/>
  <c r="X137" i="1"/>
  <c r="W41" i="4" s="1"/>
  <c r="W38" i="4"/>
  <c r="AL10" i="2"/>
  <c r="AL14" i="2" s="1"/>
  <c r="AL255" i="2" s="1"/>
  <c r="W128" i="12"/>
  <c r="AI75" i="2"/>
  <c r="AI502" i="2"/>
  <c r="Z392" i="2"/>
  <c r="AB21" i="1" l="1"/>
  <c r="AC10" i="1"/>
  <c r="AD16" i="1"/>
  <c r="AF53" i="2"/>
  <c r="AE22" i="2"/>
  <c r="AE379" i="2" s="1"/>
  <c r="AH22" i="2"/>
  <c r="AH379" i="2" s="1"/>
  <c r="AF93" i="2"/>
  <c r="AF94" i="2"/>
  <c r="AD21" i="1"/>
  <c r="AD22" i="1" s="1"/>
  <c r="AJ10" i="1"/>
  <c r="AJ15" i="1" s="1"/>
  <c r="L8" i="3"/>
  <c r="L9" i="3" s="1"/>
  <c r="AI94" i="2"/>
  <c r="AI53" i="2"/>
  <c r="AG10" i="1"/>
  <c r="AG15" i="1" s="1"/>
  <c r="AG21" i="1" s="1"/>
  <c r="AI18" i="2"/>
  <c r="AI22" i="2" s="1"/>
  <c r="AI93" i="2"/>
  <c r="AK93" i="2"/>
  <c r="AK92" i="2" s="1"/>
  <c r="AK53" i="2" s="1"/>
  <c r="AM92" i="2"/>
  <c r="AM53" i="2" s="1"/>
  <c r="AV89" i="2"/>
  <c r="AV182" i="2" s="1"/>
  <c r="AV341" i="2"/>
  <c r="AT341" i="2" s="1"/>
  <c r="AU341" i="2" s="1"/>
  <c r="AG336" i="2"/>
  <c r="AE134" i="1"/>
  <c r="AG134" i="1" s="1"/>
  <c r="X128" i="12"/>
  <c r="AM349" i="2"/>
  <c r="AO10" i="2"/>
  <c r="AO14" i="2" s="1"/>
  <c r="AO255" i="2" s="1"/>
  <c r="AK347" i="2"/>
  <c r="AL347" i="2" s="1"/>
  <c r="AL348" i="2" s="1"/>
  <c r="N306" i="2"/>
  <c r="N313" i="2" s="1"/>
  <c r="AA137" i="1"/>
  <c r="W40" i="4"/>
  <c r="Y123" i="12"/>
  <c r="AP351" i="2" s="1"/>
  <c r="AP347" i="2" s="1"/>
  <c r="AP348" i="2" s="1"/>
  <c r="AI349" i="2"/>
  <c r="AI336" i="2"/>
  <c r="AI134" i="1" s="1"/>
  <c r="AI348" i="2"/>
  <c r="AD268" i="2"/>
  <c r="AD272" i="2" s="1"/>
  <c r="AN343" i="2"/>
  <c r="AN335" i="2"/>
  <c r="AN342" i="2"/>
  <c r="AE54" i="2"/>
  <c r="AJ54" i="2"/>
  <c r="AG266" i="2"/>
  <c r="AG270" i="2" s="1"/>
  <c r="AB372" i="2"/>
  <c r="AB135" i="1"/>
  <c r="AB137" i="1" s="1"/>
  <c r="AB392" i="2"/>
  <c r="AH16" i="1"/>
  <c r="AH21" i="1"/>
  <c r="AJ379" i="2"/>
  <c r="AJ376" i="2"/>
  <c r="AC379" i="2"/>
  <c r="Z137" i="1"/>
  <c r="AU47" i="2"/>
  <c r="AU245" i="2"/>
  <c r="AD285" i="2"/>
  <c r="M17" i="22"/>
  <c r="AC270" i="2"/>
  <c r="AC268" i="2"/>
  <c r="AC272" i="2" s="1"/>
  <c r="AR89" i="2"/>
  <c r="AR90" i="2" s="1"/>
  <c r="AS90" i="2"/>
  <c r="AS197" i="2"/>
  <c r="AS201" i="2"/>
  <c r="AR201" i="2" s="1"/>
  <c r="AS182" i="2"/>
  <c r="AB371" i="2"/>
  <c r="AC15" i="1"/>
  <c r="Z29" i="1"/>
  <c r="Y25" i="1"/>
  <c r="Y31" i="1"/>
  <c r="Y30" i="1"/>
  <c r="AM18" i="1"/>
  <c r="AL19" i="1"/>
  <c r="AM187" i="2"/>
  <c r="AM178" i="2" s="1"/>
  <c r="AL199" i="2"/>
  <c r="AL187" i="2" s="1"/>
  <c r="L24" i="22"/>
  <c r="L36" i="22" s="1"/>
  <c r="L28" i="22"/>
  <c r="L40" i="22" s="1"/>
  <c r="L23" i="22"/>
  <c r="L35" i="22" s="1"/>
  <c r="L27" i="22"/>
  <c r="L39" i="22" s="1"/>
  <c r="L31" i="22"/>
  <c r="L43" i="22" s="1"/>
  <c r="L26" i="22"/>
  <c r="L38" i="22" s="1"/>
  <c r="L30" i="22"/>
  <c r="L42" i="22" s="1"/>
  <c r="L25" i="22"/>
  <c r="L37" i="22" s="1"/>
  <c r="L29" i="22"/>
  <c r="L41" i="22" s="1"/>
  <c r="AG376" i="2"/>
  <c r="AG379" i="2"/>
  <c r="AH336" i="2"/>
  <c r="AH348" i="2"/>
  <c r="AH349" i="2"/>
  <c r="AA34" i="1"/>
  <c r="AA395" i="2"/>
  <c r="K15" i="3" s="1"/>
  <c r="K19" i="3" s="1"/>
  <c r="Z111" i="12"/>
  <c r="Z108" i="12" s="1"/>
  <c r="Z119" i="12" s="1"/>
  <c r="Z126" i="12"/>
  <c r="AR69" i="2"/>
  <c r="X30" i="1"/>
  <c r="X25" i="1"/>
  <c r="X26" i="1" s="1"/>
  <c r="X31" i="1"/>
  <c r="M28" i="4"/>
  <c r="W51" i="4" s="1"/>
  <c r="K20" i="3"/>
  <c r="AP199" i="2"/>
  <c r="AO197" i="2"/>
  <c r="AO195" i="2" s="1"/>
  <c r="AO196" i="2" s="1"/>
  <c r="AF22" i="2"/>
  <c r="AF10" i="1"/>
  <c r="AS343" i="2"/>
  <c r="AS10" i="2"/>
  <c r="AS14" i="2" s="1"/>
  <c r="AS255" i="2" s="1"/>
  <c r="V25" i="1"/>
  <c r="V26" i="1" s="1"/>
  <c r="V30" i="1"/>
  <c r="V31" i="1"/>
  <c r="AL75" i="2"/>
  <c r="AL502" i="2"/>
  <c r="AE21" i="1"/>
  <c r="AE16" i="1"/>
  <c r="W25" i="1"/>
  <c r="W26" i="1" s="1"/>
  <c r="W31" i="1"/>
  <c r="W30" i="1"/>
  <c r="AM335" i="2"/>
  <c r="AB266" i="2"/>
  <c r="AB55" i="2"/>
  <c r="Z23" i="1"/>
  <c r="Z22" i="1"/>
  <c r="AC376" i="2"/>
  <c r="AD392" i="2"/>
  <c r="L18" i="3" s="1"/>
  <c r="AB23" i="1"/>
  <c r="AB22" i="1"/>
  <c r="AJ19" i="1"/>
  <c r="AA29" i="1"/>
  <c r="AG55" i="2"/>
  <c r="AP181" i="2"/>
  <c r="AO182" i="2"/>
  <c r="AU68" i="2"/>
  <c r="AV69" i="2"/>
  <c r="AV72" i="2"/>
  <c r="AA133" i="12"/>
  <c r="AD134" i="1"/>
  <c r="AL185" i="2"/>
  <c r="AL181" i="2"/>
  <c r="AO73" i="2"/>
  <c r="AO74" i="2"/>
  <c r="AO275" i="2"/>
  <c r="AR72" i="2"/>
  <c r="AS73" i="2"/>
  <c r="AS275" i="2"/>
  <c r="AE376" i="2"/>
  <c r="AI179" i="2"/>
  <c r="AI14" i="1"/>
  <c r="AF179" i="2"/>
  <c r="AF14" i="1"/>
  <c r="AH376" i="2" l="1"/>
  <c r="AH392" i="2" s="1"/>
  <c r="AD23" i="1"/>
  <c r="N8" i="3"/>
  <c r="AJ21" i="1"/>
  <c r="AJ23" i="1" s="1"/>
  <c r="AM94" i="2"/>
  <c r="AU89" i="2"/>
  <c r="AU90" i="2" s="1"/>
  <c r="AM18" i="2"/>
  <c r="AM22" i="2" s="1"/>
  <c r="AI10" i="1"/>
  <c r="AI15" i="1" s="1"/>
  <c r="AV10" i="2"/>
  <c r="AV14" i="2" s="1"/>
  <c r="AV255" i="2" s="1"/>
  <c r="AV197" i="2"/>
  <c r="AU197" i="2" s="1"/>
  <c r="AV90" i="2"/>
  <c r="AK94" i="2"/>
  <c r="AL92" i="2"/>
  <c r="AL53" i="2" s="1"/>
  <c r="AK18" i="2"/>
  <c r="AK22" i="2" s="1"/>
  <c r="AJ16" i="1"/>
  <c r="AV201" i="2"/>
  <c r="AU201" i="2" s="1"/>
  <c r="M8" i="3"/>
  <c r="M9" i="3" s="1"/>
  <c r="AP92" i="2"/>
  <c r="AP94" i="2" s="1"/>
  <c r="AN93" i="2"/>
  <c r="AN92" i="2" s="1"/>
  <c r="AQ93" i="2"/>
  <c r="AQ92" i="2" s="1"/>
  <c r="AG16" i="1"/>
  <c r="Y128" i="12"/>
  <c r="AR10" i="2"/>
  <c r="AR14" i="2" s="1"/>
  <c r="AR255" i="2" s="1"/>
  <c r="AP349" i="2"/>
  <c r="AL336" i="2"/>
  <c r="AL134" i="1" s="1"/>
  <c r="AK349" i="2"/>
  <c r="AL349" i="2"/>
  <c r="AN347" i="2"/>
  <c r="AO347" i="2" s="1"/>
  <c r="AO349" i="2" s="1"/>
  <c r="AK336" i="2"/>
  <c r="AK134" i="1" s="1"/>
  <c r="AK348" i="2"/>
  <c r="O296" i="2"/>
  <c r="AF15" i="1"/>
  <c r="AF16" i="1" s="1"/>
  <c r="Z123" i="12"/>
  <c r="AS351" i="2" s="1"/>
  <c r="AS347" i="2" s="1"/>
  <c r="AQ347" i="2" s="1"/>
  <c r="AR347" i="2" s="1"/>
  <c r="AR343" i="2"/>
  <c r="AR342" i="2"/>
  <c r="AR335" i="2"/>
  <c r="AM179" i="2"/>
  <c r="AL178" i="2"/>
  <c r="AM14" i="1"/>
  <c r="AP187" i="2"/>
  <c r="AP178" i="2" s="1"/>
  <c r="AO199" i="2"/>
  <c r="AO187" i="2" s="1"/>
  <c r="AA111" i="12"/>
  <c r="AA108" i="12" s="1"/>
  <c r="AA119" i="12" s="1"/>
  <c r="AA126" i="12"/>
  <c r="AU69" i="2"/>
  <c r="AG276" i="2"/>
  <c r="AG278" i="2" s="1"/>
  <c r="AC372" i="2"/>
  <c r="AD372" i="2" s="1"/>
  <c r="AC377" i="2"/>
  <c r="AC135" i="1"/>
  <c r="AC137" i="1" s="1"/>
  <c r="AC392" i="2"/>
  <c r="AP18" i="1"/>
  <c r="AO19" i="1"/>
  <c r="AB268" i="2"/>
  <c r="AB272" i="2" s="1"/>
  <c r="AB270" i="2"/>
  <c r="AF376" i="2"/>
  <c r="AG392" i="2"/>
  <c r="M18" i="3" s="1"/>
  <c r="Y26" i="1"/>
  <c r="AH372" i="2"/>
  <c r="AH135" i="1"/>
  <c r="AS199" i="2"/>
  <c r="AR197" i="2"/>
  <c r="AR195" i="2" s="1"/>
  <c r="AR196" i="2" s="1"/>
  <c r="AE266" i="2"/>
  <c r="AE55" i="2"/>
  <c r="AE276" i="2" s="1"/>
  <c r="AE278" i="2" s="1"/>
  <c r="AE285" i="2" s="1"/>
  <c r="AE372" i="2"/>
  <c r="AE135" i="1"/>
  <c r="AE392" i="2"/>
  <c r="AV343" i="2"/>
  <c r="AA25" i="1"/>
  <c r="AA26" i="1" s="1"/>
  <c r="AA31" i="1"/>
  <c r="AA30" i="1"/>
  <c r="AQ335" i="2"/>
  <c r="AQ342" i="2"/>
  <c r="AQ343" i="2"/>
  <c r="Z30" i="1"/>
  <c r="Z25" i="1"/>
  <c r="Z26" i="1" s="1"/>
  <c r="Z31" i="1"/>
  <c r="AH371" i="2"/>
  <c r="M25" i="22"/>
  <c r="M37" i="22" s="1"/>
  <c r="M29" i="22"/>
  <c r="M41" i="22" s="1"/>
  <c r="M24" i="22"/>
  <c r="M36" i="22" s="1"/>
  <c r="M28" i="22"/>
  <c r="M40" i="22" s="1"/>
  <c r="M23" i="22"/>
  <c r="M35" i="22" s="1"/>
  <c r="M27" i="22"/>
  <c r="M39" i="22" s="1"/>
  <c r="M31" i="22"/>
  <c r="M43" i="22" s="1"/>
  <c r="M26" i="22"/>
  <c r="M38" i="22" s="1"/>
  <c r="M30" i="22"/>
  <c r="M42" i="22" s="1"/>
  <c r="AI379" i="2"/>
  <c r="AO335" i="2"/>
  <c r="AP335" i="2" s="1"/>
  <c r="AO342" i="2"/>
  <c r="AO343" i="2"/>
  <c r="AG268" i="2"/>
  <c r="AG272" i="2" s="1"/>
  <c r="AM19" i="1"/>
  <c r="AC21" i="1"/>
  <c r="AC16" i="1"/>
  <c r="AR182" i="2"/>
  <c r="AS181" i="2"/>
  <c r="AG22" i="1"/>
  <c r="AG23" i="1"/>
  <c r="AH23" i="1"/>
  <c r="AH22" i="1"/>
  <c r="AH54" i="2"/>
  <c r="AI54" i="2" s="1"/>
  <c r="AI266" i="2" s="1"/>
  <c r="AM54" i="2"/>
  <c r="AM55" i="2" s="1"/>
  <c r="AJ266" i="2"/>
  <c r="AJ55" i="2"/>
  <c r="AO75" i="2"/>
  <c r="AO502" i="2"/>
  <c r="AU72" i="2"/>
  <c r="AV73" i="2"/>
  <c r="AV275" i="2"/>
  <c r="AE371" i="2"/>
  <c r="AR74" i="2"/>
  <c r="AR73" i="2"/>
  <c r="AR275" i="2"/>
  <c r="AO185" i="2"/>
  <c r="AO181" i="2"/>
  <c r="L20" i="3"/>
  <c r="AB276" i="2"/>
  <c r="AB278" i="2" s="1"/>
  <c r="AB285" i="2" s="1"/>
  <c r="AC55" i="2"/>
  <c r="AC276" i="2" s="1"/>
  <c r="AC278" i="2" s="1"/>
  <c r="AC285" i="2" s="1"/>
  <c r="AE22" i="1"/>
  <c r="AE23" i="1"/>
  <c r="AV181" i="2"/>
  <c r="AU182" i="2"/>
  <c r="AJ336" i="2"/>
  <c r="AH134" i="1"/>
  <c r="AF379" i="2"/>
  <c r="AB34" i="1"/>
  <c r="AB395" i="2"/>
  <c r="AD29" i="1"/>
  <c r="AC371" i="2"/>
  <c r="AC380" i="2"/>
  <c r="AI376" i="2"/>
  <c r="AJ392" i="2"/>
  <c r="N18" i="3" s="1"/>
  <c r="AF54" i="2"/>
  <c r="AF266" i="2" s="1"/>
  <c r="AJ22" i="1" l="1"/>
  <c r="AM10" i="1"/>
  <c r="AM15" i="1" s="1"/>
  <c r="AM16" i="1" s="1"/>
  <c r="AK10" i="1"/>
  <c r="AK15" i="1" s="1"/>
  <c r="AV199" i="2"/>
  <c r="AV187" i="2" s="1"/>
  <c r="AV178" i="2" s="1"/>
  <c r="AL93" i="2"/>
  <c r="AU10" i="2"/>
  <c r="AU14" i="2" s="1"/>
  <c r="AU255" i="2" s="1"/>
  <c r="AU195" i="2"/>
  <c r="AU196" i="2" s="1"/>
  <c r="AN53" i="2"/>
  <c r="AL18" i="2"/>
  <c r="AL10" i="1" s="1"/>
  <c r="AL94" i="2"/>
  <c r="AO92" i="2"/>
  <c r="AO53" i="2" s="1"/>
  <c r="AN18" i="2"/>
  <c r="AN22" i="2" s="1"/>
  <c r="N9" i="3"/>
  <c r="AP18" i="2"/>
  <c r="AP22" i="2" s="1"/>
  <c r="AP53" i="2"/>
  <c r="AN94" i="2"/>
  <c r="AF21" i="1"/>
  <c r="AF23" i="1" s="1"/>
  <c r="AS92" i="2"/>
  <c r="AT93" i="2"/>
  <c r="AV93" i="2" s="1"/>
  <c r="AV92" i="2" s="1"/>
  <c r="AD135" i="1"/>
  <c r="AD137" i="1" s="1"/>
  <c r="AN349" i="2"/>
  <c r="AN348" i="2"/>
  <c r="AN336" i="2"/>
  <c r="AN134" i="1" s="1"/>
  <c r="AM336" i="2"/>
  <c r="AO348" i="2"/>
  <c r="AO336" i="2"/>
  <c r="AO134" i="1" s="1"/>
  <c r="AS348" i="2"/>
  <c r="AS349" i="2"/>
  <c r="Z128" i="12"/>
  <c r="N307" i="2"/>
  <c r="N315" i="2" s="1"/>
  <c r="N316" i="2" s="1"/>
  <c r="O50" i="1"/>
  <c r="AM276" i="2"/>
  <c r="AM278" i="2" s="1"/>
  <c r="N20" i="3"/>
  <c r="AC34" i="1"/>
  <c r="AC395" i="2"/>
  <c r="AD371" i="2"/>
  <c r="AH137" i="1"/>
  <c r="AJ134" i="1"/>
  <c r="AC29" i="1"/>
  <c r="AE34" i="1"/>
  <c r="AE395" i="2"/>
  <c r="AJ268" i="2"/>
  <c r="AJ272" i="2" s="1"/>
  <c r="AJ270" i="2"/>
  <c r="AC22" i="1"/>
  <c r="AC23" i="1"/>
  <c r="AH34" i="1"/>
  <c r="AH395" i="2"/>
  <c r="AU335" i="2"/>
  <c r="AU342" i="2"/>
  <c r="AU343" i="2"/>
  <c r="AE268" i="2"/>
  <c r="AE272" i="2" s="1"/>
  <c r="AE270" i="2"/>
  <c r="AI21" i="1"/>
  <c r="AI16" i="1"/>
  <c r="AS187" i="2"/>
  <c r="AS178" i="2" s="1"/>
  <c r="AR199" i="2"/>
  <c r="AR187" i="2" s="1"/>
  <c r="AL179" i="2"/>
  <c r="AL14" i="1"/>
  <c r="AR75" i="2"/>
  <c r="AR502" i="2"/>
  <c r="AI372" i="2"/>
  <c r="AJ372" i="2" s="1"/>
  <c r="AI377" i="2"/>
  <c r="AI135" i="1"/>
  <c r="AI137" i="1" s="1"/>
  <c r="AI392" i="2"/>
  <c r="AD30" i="1"/>
  <c r="AD31" i="1"/>
  <c r="AD25" i="1"/>
  <c r="AD26" i="1" s="1"/>
  <c r="AB29" i="1"/>
  <c r="AI270" i="2"/>
  <c r="AI268" i="2"/>
  <c r="AI272" i="2" s="1"/>
  <c r="AS18" i="1"/>
  <c r="AR19" i="1"/>
  <c r="AR336" i="2"/>
  <c r="AR134" i="1" s="1"/>
  <c r="AR348" i="2"/>
  <c r="AR349" i="2"/>
  <c r="AS335" i="2"/>
  <c r="AM134" i="1"/>
  <c r="M20" i="3"/>
  <c r="AP19" i="1"/>
  <c r="AA123" i="12"/>
  <c r="AV351" i="2" s="1"/>
  <c r="AV347" i="2" s="1"/>
  <c r="AK21" i="1"/>
  <c r="AK16" i="1"/>
  <c r="AU73" i="2"/>
  <c r="AU74" i="2"/>
  <c r="AU275" i="2"/>
  <c r="AM376" i="2"/>
  <c r="AM379" i="2"/>
  <c r="AF377" i="2"/>
  <c r="AF372" i="2"/>
  <c r="AG372" i="2" s="1"/>
  <c r="AF135" i="1"/>
  <c r="AF137" i="1" s="1"/>
  <c r="AF392" i="2"/>
  <c r="AG285" i="2"/>
  <c r="N17" i="22"/>
  <c r="AP179" i="2"/>
  <c r="AO178" i="2"/>
  <c r="AP14" i="1"/>
  <c r="AP54" i="2"/>
  <c r="AK54" i="2"/>
  <c r="AL54" i="2" s="1"/>
  <c r="AL266" i="2" s="1"/>
  <c r="AM266" i="2"/>
  <c r="AI371" i="2"/>
  <c r="AJ371" i="2" s="1"/>
  <c r="AI380" i="2"/>
  <c r="AF268" i="2"/>
  <c r="AF272" i="2" s="1"/>
  <c r="AF270" i="2"/>
  <c r="AK376" i="2"/>
  <c r="AK379" i="2"/>
  <c r="AF371" i="2"/>
  <c r="AG371" i="2" s="1"/>
  <c r="AF380" i="2"/>
  <c r="AU181" i="2"/>
  <c r="AU185" i="2"/>
  <c r="AJ276" i="2"/>
  <c r="AJ278" i="2" s="1"/>
  <c r="AH266" i="2"/>
  <c r="AH55" i="2"/>
  <c r="AH276" i="2" s="1"/>
  <c r="AH278" i="2" s="1"/>
  <c r="AH285" i="2" s="1"/>
  <c r="AR181" i="2"/>
  <c r="AR185" i="2"/>
  <c r="AQ349" i="2"/>
  <c r="AQ336" i="2"/>
  <c r="AQ348" i="2"/>
  <c r="AT335" i="2"/>
  <c r="AT342" i="2"/>
  <c r="AT343" i="2"/>
  <c r="AE137" i="1"/>
  <c r="AE29" i="1"/>
  <c r="AQ53" i="2"/>
  <c r="AQ18" i="2"/>
  <c r="AQ94" i="2"/>
  <c r="AF55" i="2"/>
  <c r="AF276" i="2" s="1"/>
  <c r="AF278" i="2" s="1"/>
  <c r="AF285" i="2" s="1"/>
  <c r="AU199" i="2" l="1"/>
  <c r="AU187" i="2" s="1"/>
  <c r="AL22" i="2"/>
  <c r="AM21" i="1"/>
  <c r="AM23" i="1" s="1"/>
  <c r="AO18" i="2"/>
  <c r="AO10" i="1" s="1"/>
  <c r="AN10" i="1"/>
  <c r="AN15" i="1" s="1"/>
  <c r="AN16" i="1" s="1"/>
  <c r="AO94" i="2"/>
  <c r="AO93" i="2"/>
  <c r="AP10" i="1"/>
  <c r="AP15" i="1" s="1"/>
  <c r="AS94" i="2"/>
  <c r="AF22" i="1"/>
  <c r="AS18" i="2"/>
  <c r="AS10" i="1" s="1"/>
  <c r="AR92" i="2"/>
  <c r="AT92" i="2"/>
  <c r="AT94" i="2" s="1"/>
  <c r="AS53" i="2"/>
  <c r="O8" i="3"/>
  <c r="O9" i="3" s="1"/>
  <c r="AP336" i="2"/>
  <c r="AJ135" i="1"/>
  <c r="AJ137" i="1" s="1"/>
  <c r="N296" i="2"/>
  <c r="AL15" i="1"/>
  <c r="AL21" i="1" s="1"/>
  <c r="J37" i="4"/>
  <c r="G13" i="3"/>
  <c r="N308" i="2"/>
  <c r="N50" i="1"/>
  <c r="AV179" i="2"/>
  <c r="AU178" i="2"/>
  <c r="AV14" i="1"/>
  <c r="AG34" i="1"/>
  <c r="AG395" i="2"/>
  <c r="M15" i="3" s="1"/>
  <c r="M19" i="3" s="1"/>
  <c r="AJ34" i="1"/>
  <c r="AJ395" i="2"/>
  <c r="N15" i="3" s="1"/>
  <c r="N19" i="3" s="1"/>
  <c r="AM270" i="2"/>
  <c r="AM268" i="2"/>
  <c r="AM272" i="2" s="1"/>
  <c r="AN379" i="2"/>
  <c r="AN376" i="2"/>
  <c r="AP134" i="1"/>
  <c r="AV335" i="2"/>
  <c r="AS336" i="2"/>
  <c r="AQ134" i="1"/>
  <c r="AJ285" i="2"/>
  <c r="O17" i="22"/>
  <c r="AS54" i="2"/>
  <c r="AN54" i="2"/>
  <c r="AO54" i="2" s="1"/>
  <c r="AO266" i="2" s="1"/>
  <c r="AP266" i="2"/>
  <c r="AO179" i="2"/>
  <c r="AO14" i="1"/>
  <c r="AG29" i="1"/>
  <c r="AK22" i="1"/>
  <c r="AK23" i="1"/>
  <c r="AA128" i="12"/>
  <c r="AC25" i="1"/>
  <c r="AC26" i="1" s="1"/>
  <c r="AC31" i="1"/>
  <c r="AC30" i="1"/>
  <c r="AH29" i="1"/>
  <c r="AQ22" i="2"/>
  <c r="AQ10" i="1"/>
  <c r="AQ15" i="1" s="1"/>
  <c r="AE25" i="1"/>
  <c r="AE31" i="1"/>
  <c r="AE30" i="1"/>
  <c r="AI55" i="2"/>
  <c r="AI276" i="2" s="1"/>
  <c r="AI278" i="2" s="1"/>
  <c r="AI285" i="2" s="1"/>
  <c r="AK371" i="2"/>
  <c r="AR178" i="2"/>
  <c r="AS179" i="2"/>
  <c r="AS14" i="1"/>
  <c r="AL268" i="2"/>
  <c r="AL272" i="2" s="1"/>
  <c r="AL270" i="2"/>
  <c r="AL376" i="2"/>
  <c r="AM392" i="2"/>
  <c r="O18" i="3" s="1"/>
  <c r="AU75" i="2"/>
  <c r="AU502" i="2"/>
  <c r="AB30" i="1"/>
  <c r="AB25" i="1"/>
  <c r="AB26" i="1" s="1"/>
  <c r="AB31" i="1"/>
  <c r="AI22" i="1"/>
  <c r="AI23" i="1"/>
  <c r="AP55" i="2"/>
  <c r="AV53" i="2"/>
  <c r="AV94" i="2"/>
  <c r="AV18" i="2"/>
  <c r="AM285" i="2"/>
  <c r="P17" i="22"/>
  <c r="AK372" i="2"/>
  <c r="AK135" i="1"/>
  <c r="AK392" i="2"/>
  <c r="N26" i="22"/>
  <c r="N38" i="22" s="1"/>
  <c r="N30" i="22"/>
  <c r="N42" i="22" s="1"/>
  <c r="N25" i="22"/>
  <c r="N37" i="22" s="1"/>
  <c r="N29" i="22"/>
  <c r="N41" i="22" s="1"/>
  <c r="N24" i="22"/>
  <c r="N36" i="22" s="1"/>
  <c r="N28" i="22"/>
  <c r="N40" i="22" s="1"/>
  <c r="N23" i="22"/>
  <c r="N35" i="22" s="1"/>
  <c r="N27" i="22"/>
  <c r="N39" i="22" s="1"/>
  <c r="N31" i="22"/>
  <c r="N43" i="22" s="1"/>
  <c r="AF29" i="1"/>
  <c r="AG135" i="1"/>
  <c r="AG137" i="1" s="1"/>
  <c r="AO22" i="2"/>
  <c r="AH270" i="2"/>
  <c r="AH268" i="2"/>
  <c r="AH272" i="2" s="1"/>
  <c r="AF34" i="1"/>
  <c r="AF395" i="2"/>
  <c r="AI34" i="1"/>
  <c r="AI395" i="2"/>
  <c r="AK266" i="2"/>
  <c r="AK55" i="2"/>
  <c r="AL379" i="2"/>
  <c r="AT347" i="2"/>
  <c r="AV348" i="2"/>
  <c r="AV349" i="2"/>
  <c r="AS19" i="1"/>
  <c r="AV18" i="1"/>
  <c r="AU19" i="1"/>
  <c r="AP379" i="2"/>
  <c r="AP376" i="2"/>
  <c r="AD34" i="1"/>
  <c r="AD395" i="2"/>
  <c r="L15" i="3" s="1"/>
  <c r="L19" i="3" s="1"/>
  <c r="AS22" i="2" l="1"/>
  <c r="AM22" i="1"/>
  <c r="AS55" i="2"/>
  <c r="AN21" i="1"/>
  <c r="AN23" i="1" s="1"/>
  <c r="AL16" i="1"/>
  <c r="AR53" i="2"/>
  <c r="AR93" i="2"/>
  <c r="AR94" i="2"/>
  <c r="AR18" i="2"/>
  <c r="AR10" i="1" s="1"/>
  <c r="AS266" i="2"/>
  <c r="AT53" i="2"/>
  <c r="AT18" i="2"/>
  <c r="AT22" i="2" s="1"/>
  <c r="AU92" i="2"/>
  <c r="AO15" i="1"/>
  <c r="AO21" i="1" s="1"/>
  <c r="AM29" i="1"/>
  <c r="AL377" i="2"/>
  <c r="AL372" i="2"/>
  <c r="AM372" i="2" s="1"/>
  <c r="AL135" i="1"/>
  <c r="AL137" i="1" s="1"/>
  <c r="AL392" i="2"/>
  <c r="AR179" i="2"/>
  <c r="AR14" i="1"/>
  <c r="AE26" i="1"/>
  <c r="AH30" i="1"/>
  <c r="AH31" i="1"/>
  <c r="AH25" i="1"/>
  <c r="AH26" i="1" s="1"/>
  <c r="AS376" i="2"/>
  <c r="AS379" i="2"/>
  <c r="AV54" i="2"/>
  <c r="AV55" i="2" s="1"/>
  <c r="AQ54" i="2"/>
  <c r="AR54" i="2" s="1"/>
  <c r="AR266" i="2" s="1"/>
  <c r="AN372" i="2"/>
  <c r="AN135" i="1"/>
  <c r="AN392" i="2"/>
  <c r="P24" i="22"/>
  <c r="P36" i="22" s="1"/>
  <c r="P28" i="22"/>
  <c r="P40" i="22" s="1"/>
  <c r="P23" i="22"/>
  <c r="P35" i="22" s="1"/>
  <c r="P27" i="22"/>
  <c r="P39" i="22" s="1"/>
  <c r="P31" i="22"/>
  <c r="P43" i="22" s="1"/>
  <c r="P26" i="22"/>
  <c r="P38" i="22" s="1"/>
  <c r="P30" i="22"/>
  <c r="P42" i="22" s="1"/>
  <c r="P25" i="22"/>
  <c r="P37" i="22" s="1"/>
  <c r="P29" i="22"/>
  <c r="P41" i="22" s="1"/>
  <c r="AK268" i="2"/>
  <c r="AK272" i="2" s="1"/>
  <c r="AK270" i="2"/>
  <c r="AN22" i="1"/>
  <c r="AF30" i="1"/>
  <c r="AF25" i="1"/>
  <c r="AF26" i="1" s="1"/>
  <c r="AF31" i="1"/>
  <c r="AV19" i="1"/>
  <c r="AL371" i="2"/>
  <c r="AM371" i="2" s="1"/>
  <c r="AL380" i="2"/>
  <c r="AK137" i="1"/>
  <c r="AP16" i="1"/>
  <c r="AP21" i="1"/>
  <c r="P8" i="3"/>
  <c r="P9" i="3" s="1"/>
  <c r="AP276" i="2"/>
  <c r="AP278" i="2" s="1"/>
  <c r="AL23" i="1"/>
  <c r="AL22" i="1"/>
  <c r="AK34" i="1"/>
  <c r="AK395" i="2"/>
  <c r="AO270" i="2"/>
  <c r="AO268" i="2"/>
  <c r="AO272" i="2" s="1"/>
  <c r="AJ29" i="1"/>
  <c r="AS134" i="1"/>
  <c r="AV22" i="2"/>
  <c r="AV10" i="1"/>
  <c r="AV15" i="1" s="1"/>
  <c r="AQ21" i="1"/>
  <c r="AQ16" i="1"/>
  <c r="AS276" i="2"/>
  <c r="AS278" i="2" s="1"/>
  <c r="R17" i="22" s="1"/>
  <c r="R25" i="22" s="1"/>
  <c r="R37" i="22" s="1"/>
  <c r="AG25" i="1"/>
  <c r="AG26" i="1" s="1"/>
  <c r="AG31" i="1"/>
  <c r="AG30" i="1"/>
  <c r="AP268" i="2"/>
  <c r="AP272" i="2" s="1"/>
  <c r="AP270" i="2"/>
  <c r="AN371" i="2"/>
  <c r="AU179" i="2"/>
  <c r="AU14" i="1"/>
  <c r="AO376" i="2"/>
  <c r="AP392" i="2"/>
  <c r="P18" i="3" s="1"/>
  <c r="AT336" i="2"/>
  <c r="AT348" i="2"/>
  <c r="AT349" i="2"/>
  <c r="AO379" i="2"/>
  <c r="AU347" i="2"/>
  <c r="AK276" i="2"/>
  <c r="AK278" i="2" s="1"/>
  <c r="AK285" i="2" s="1"/>
  <c r="AL55" i="2"/>
  <c r="AL276" i="2" s="1"/>
  <c r="AL278" i="2" s="1"/>
  <c r="AL285" i="2" s="1"/>
  <c r="O20" i="3"/>
  <c r="AI29" i="1"/>
  <c r="AQ376" i="2"/>
  <c r="AQ379" i="2"/>
  <c r="AS15" i="1"/>
  <c r="AN266" i="2"/>
  <c r="AN55" i="2"/>
  <c r="AN276" i="2" s="1"/>
  <c r="AN278" i="2" s="1"/>
  <c r="AN285" i="2" s="1"/>
  <c r="O23" i="22"/>
  <c r="O35" i="22" s="1"/>
  <c r="O27" i="22"/>
  <c r="O39" i="22" s="1"/>
  <c r="O31" i="22"/>
  <c r="O43" i="22" s="1"/>
  <c r="O26" i="22"/>
  <c r="O38" i="22" s="1"/>
  <c r="O30" i="22"/>
  <c r="O42" i="22" s="1"/>
  <c r="O25" i="22"/>
  <c r="O37" i="22" s="1"/>
  <c r="O29" i="22"/>
  <c r="O41" i="22" s="1"/>
  <c r="O24" i="22"/>
  <c r="O36" i="22" s="1"/>
  <c r="O28" i="22"/>
  <c r="O40" i="22" s="1"/>
  <c r="AR22" i="2" l="1"/>
  <c r="AO16" i="1"/>
  <c r="AU53" i="2"/>
  <c r="AT10" i="1"/>
  <c r="AT15" i="1" s="1"/>
  <c r="AT21" i="1" s="1"/>
  <c r="AU18" i="2"/>
  <c r="AU10" i="1" s="1"/>
  <c r="AU15" i="1" s="1"/>
  <c r="AU93" i="2"/>
  <c r="AU94" i="2"/>
  <c r="AM135" i="1"/>
  <c r="AM137" i="1" s="1"/>
  <c r="AR15" i="1"/>
  <c r="AR21" i="1" s="1"/>
  <c r="T35" i="4"/>
  <c r="AR268" i="2"/>
  <c r="AR272" i="2" s="1"/>
  <c r="AR270" i="2"/>
  <c r="AQ372" i="2"/>
  <c r="AQ135" i="1"/>
  <c r="AQ392" i="2"/>
  <c r="AK29" i="1"/>
  <c r="AU349" i="2"/>
  <c r="AU336" i="2"/>
  <c r="AU134" i="1" s="1"/>
  <c r="AU348" i="2"/>
  <c r="AO380" i="2"/>
  <c r="AO371" i="2"/>
  <c r="AP371" i="2" s="1"/>
  <c r="AT134" i="1"/>
  <c r="AS285" i="2"/>
  <c r="AN268" i="2"/>
  <c r="AN272" i="2" s="1"/>
  <c r="AN270" i="2"/>
  <c r="AS21" i="1"/>
  <c r="AS16" i="1"/>
  <c r="Q8" i="3"/>
  <c r="Q9" i="3" s="1"/>
  <c r="AI25" i="1"/>
  <c r="AI26" i="1" s="1"/>
  <c r="AI31" i="1"/>
  <c r="AI30" i="1"/>
  <c r="AV276" i="2"/>
  <c r="AV278" i="2" s="1"/>
  <c r="AO22" i="1"/>
  <c r="AO23" i="1"/>
  <c r="P20" i="3"/>
  <c r="AV16" i="1"/>
  <c r="AV21" i="1"/>
  <c r="R8" i="3"/>
  <c r="AJ30" i="1"/>
  <c r="AJ25" i="1"/>
  <c r="AJ26" i="1" s="1"/>
  <c r="AJ31" i="1"/>
  <c r="AO55" i="2"/>
  <c r="AO276" i="2" s="1"/>
  <c r="AO278" i="2" s="1"/>
  <c r="AO285" i="2" s="1"/>
  <c r="AN137" i="1"/>
  <c r="AT54" i="2"/>
  <c r="AV266" i="2"/>
  <c r="AR379" i="2"/>
  <c r="AN29" i="1"/>
  <c r="AQ371" i="2"/>
  <c r="AO372" i="2"/>
  <c r="AP372" i="2" s="1"/>
  <c r="AO377" i="2"/>
  <c r="AO135" i="1"/>
  <c r="AO137" i="1" s="1"/>
  <c r="AO392" i="2"/>
  <c r="AN34" i="1"/>
  <c r="AN395" i="2"/>
  <c r="AV379" i="2"/>
  <c r="AV376" i="2"/>
  <c r="AM34" i="1"/>
  <c r="AM395" i="2"/>
  <c r="O15" i="3" s="1"/>
  <c r="O19" i="3" s="1"/>
  <c r="AS268" i="2"/>
  <c r="AS272" i="2" s="1"/>
  <c r="AS270" i="2"/>
  <c r="AR376" i="2"/>
  <c r="AS392" i="2"/>
  <c r="Q18" i="3" s="1"/>
  <c r="AM25" i="1"/>
  <c r="AM31" i="1"/>
  <c r="AM30" i="1"/>
  <c r="AL29" i="1"/>
  <c r="AQ22" i="1"/>
  <c r="AQ23" i="1"/>
  <c r="AP285" i="2"/>
  <c r="Q17" i="22"/>
  <c r="AP23" i="1"/>
  <c r="AP22" i="1"/>
  <c r="AL34" i="1"/>
  <c r="AL395" i="2"/>
  <c r="AQ266" i="2"/>
  <c r="AQ55" i="2"/>
  <c r="AT376" i="2"/>
  <c r="AT379" i="2"/>
  <c r="AT16" i="1" l="1"/>
  <c r="AU22" i="2"/>
  <c r="AU54" i="2"/>
  <c r="AU266" i="2" s="1"/>
  <c r="AU268" i="2" s="1"/>
  <c r="AU272" i="2" s="1"/>
  <c r="AT266" i="2"/>
  <c r="AT270" i="2" s="1"/>
  <c r="AR16" i="1"/>
  <c r="AM26" i="1"/>
  <c r="AV336" i="2"/>
  <c r="AU376" i="2"/>
  <c r="AV392" i="2"/>
  <c r="R18" i="3" s="1"/>
  <c r="AV268" i="2"/>
  <c r="AV272" i="2" s="1"/>
  <c r="AV270" i="2"/>
  <c r="AP135" i="1"/>
  <c r="AP137" i="1" s="1"/>
  <c r="S8" i="3"/>
  <c r="T8" i="3" s="1"/>
  <c r="U8" i="3" s="1"/>
  <c r="V8" i="3" s="1"/>
  <c r="W8" i="3" s="1"/>
  <c r="X8" i="3" s="1"/>
  <c r="Y8" i="3" s="1"/>
  <c r="Z8" i="3" s="1"/>
  <c r="AA8" i="3" s="1"/>
  <c r="AB8" i="3" s="1"/>
  <c r="R9" i="3"/>
  <c r="AS29" i="1"/>
  <c r="AK25" i="1"/>
  <c r="AK26" i="1" s="1"/>
  <c r="AK31" i="1"/>
  <c r="AK30" i="1"/>
  <c r="AT372" i="2"/>
  <c r="AT135" i="1"/>
  <c r="AT137" i="1" s="1"/>
  <c r="AT392" i="2"/>
  <c r="AU379" i="2"/>
  <c r="AL30" i="1"/>
  <c r="AL31" i="1"/>
  <c r="AL25" i="1"/>
  <c r="AL26" i="1" s="1"/>
  <c r="AQ34" i="1"/>
  <c r="AQ395" i="2"/>
  <c r="AO29" i="1"/>
  <c r="AV23" i="1"/>
  <c r="AV22" i="1"/>
  <c r="AV285" i="2"/>
  <c r="S17" i="22"/>
  <c r="AS22" i="1"/>
  <c r="AS23" i="1"/>
  <c r="AQ137" i="1"/>
  <c r="AR377" i="2"/>
  <c r="AR372" i="2"/>
  <c r="AS372" i="2" s="1"/>
  <c r="AR135" i="1"/>
  <c r="AR137" i="1" s="1"/>
  <c r="AR392" i="2"/>
  <c r="AR371" i="2"/>
  <c r="AS371" i="2" s="1"/>
  <c r="AR380" i="2"/>
  <c r="AR23" i="1"/>
  <c r="AR22" i="1"/>
  <c r="AV134" i="1"/>
  <c r="Q25" i="22"/>
  <c r="Q37" i="22" s="1"/>
  <c r="Q29" i="22"/>
  <c r="Q41" i="22" s="1"/>
  <c r="Q24" i="22"/>
  <c r="Q36" i="22" s="1"/>
  <c r="Q28" i="22"/>
  <c r="Q40" i="22" s="1"/>
  <c r="Q23" i="22"/>
  <c r="Q35" i="22" s="1"/>
  <c r="Q27" i="22"/>
  <c r="Q39" i="22" s="1"/>
  <c r="Q31" i="22"/>
  <c r="Q43" i="22" s="1"/>
  <c r="Q26" i="22"/>
  <c r="Q38" i="22" s="1"/>
  <c r="Q30" i="22"/>
  <c r="Q42" i="22" s="1"/>
  <c r="AT23" i="1"/>
  <c r="AT22" i="1"/>
  <c r="AU21" i="1"/>
  <c r="AU16" i="1"/>
  <c r="AQ276" i="2"/>
  <c r="AQ278" i="2" s="1"/>
  <c r="AQ285" i="2" s="1"/>
  <c r="AR55" i="2"/>
  <c r="AR276" i="2" s="1"/>
  <c r="AR278" i="2" s="1"/>
  <c r="AR285" i="2" s="1"/>
  <c r="AT371" i="2"/>
  <c r="AQ270" i="2"/>
  <c r="AQ268" i="2"/>
  <c r="AQ272" i="2" s="1"/>
  <c r="AP29" i="1"/>
  <c r="Q20" i="3"/>
  <c r="AP34" i="1"/>
  <c r="AP395" i="2"/>
  <c r="P15" i="3" s="1"/>
  <c r="P19" i="3" s="1"/>
  <c r="AN30" i="1"/>
  <c r="AN25" i="1"/>
  <c r="AN31" i="1"/>
  <c r="AT55" i="2"/>
  <c r="R26" i="22"/>
  <c r="R38" i="22" s="1"/>
  <c r="R30" i="22"/>
  <c r="R42" i="22" s="1"/>
  <c r="R29" i="22"/>
  <c r="R41" i="22" s="1"/>
  <c r="R24" i="22"/>
  <c r="R36" i="22" s="1"/>
  <c r="R28" i="22"/>
  <c r="R40" i="22" s="1"/>
  <c r="R23" i="22"/>
  <c r="R35" i="22" s="1"/>
  <c r="R27" i="22"/>
  <c r="R39" i="22" s="1"/>
  <c r="R31" i="22"/>
  <c r="R43" i="22" s="1"/>
  <c r="AO34" i="1"/>
  <c r="AO395" i="2"/>
  <c r="AU270" i="2" l="1"/>
  <c r="AN26" i="1"/>
  <c r="AS135" i="1"/>
  <c r="AS137" i="1" s="1"/>
  <c r="AT276" i="2"/>
  <c r="AT278" i="2" s="1"/>
  <c r="AT285" i="2" s="1"/>
  <c r="AU55" i="2"/>
  <c r="AU276" i="2" s="1"/>
  <c r="AU278" i="2" s="1"/>
  <c r="AU285" i="2" s="1"/>
  <c r="AT268" i="2"/>
  <c r="AT272" i="2" s="1"/>
  <c r="AP30" i="1"/>
  <c r="AP25" i="1"/>
  <c r="AP26" i="1" s="1"/>
  <c r="AP31" i="1"/>
  <c r="AT34" i="1"/>
  <c r="AT395" i="2"/>
  <c r="AR29" i="1"/>
  <c r="AQ29" i="1"/>
  <c r="AU22" i="1"/>
  <c r="AU23" i="1"/>
  <c r="AR34" i="1"/>
  <c r="AR395" i="2"/>
  <c r="S23" i="22"/>
  <c r="S35" i="22" s="1"/>
  <c r="S27" i="22"/>
  <c r="S39" i="22" s="1"/>
  <c r="S31" i="22"/>
  <c r="S43" i="22" s="1"/>
  <c r="S26" i="22"/>
  <c r="S38" i="22" s="1"/>
  <c r="S30" i="22"/>
  <c r="S42" i="22" s="1"/>
  <c r="S25" i="22"/>
  <c r="S37" i="22" s="1"/>
  <c r="S29" i="22"/>
  <c r="S41" i="22" s="1"/>
  <c r="S24" i="22"/>
  <c r="S36" i="22" s="1"/>
  <c r="S28" i="22"/>
  <c r="S40" i="22" s="1"/>
  <c r="AV29" i="1"/>
  <c r="AO25" i="1"/>
  <c r="AO26" i="1" s="1"/>
  <c r="AO31" i="1"/>
  <c r="AO30" i="1"/>
  <c r="AS34" i="1"/>
  <c r="AS395" i="2"/>
  <c r="Q15" i="3" s="1"/>
  <c r="Q19" i="3" s="1"/>
  <c r="AU371" i="2"/>
  <c r="AV371" i="2" s="1"/>
  <c r="AU380" i="2"/>
  <c r="AS25" i="1"/>
  <c r="AS31" i="1"/>
  <c r="AS30" i="1"/>
  <c r="R20" i="3"/>
  <c r="AU372" i="2"/>
  <c r="AV372" i="2" s="1"/>
  <c r="AU377" i="2"/>
  <c r="AU135" i="1"/>
  <c r="AU137" i="1" s="1"/>
  <c r="AU392" i="2"/>
  <c r="AS26" i="1" l="1"/>
  <c r="AV135" i="1"/>
  <c r="AV137" i="1" s="1"/>
  <c r="AU34" i="1"/>
  <c r="AU395" i="2"/>
  <c r="AV30" i="1"/>
  <c r="AV25" i="1"/>
  <c r="AV26" i="1" s="1"/>
  <c r="AV31" i="1"/>
  <c r="AQ25" i="1"/>
  <c r="AQ26" i="1" s="1"/>
  <c r="AQ31" i="1"/>
  <c r="AQ30" i="1"/>
  <c r="AR30" i="1"/>
  <c r="AR25" i="1"/>
  <c r="AR26" i="1" s="1"/>
  <c r="AR31" i="1"/>
  <c r="AV34" i="1"/>
  <c r="AV395" i="2"/>
  <c r="R15" i="3" s="1"/>
  <c r="AU29" i="1"/>
  <c r="AT29" i="1"/>
  <c r="S15" i="3" l="1"/>
  <c r="R19" i="3"/>
  <c r="T19" i="3" s="1"/>
  <c r="U19" i="3" s="1"/>
  <c r="V19" i="3" s="1"/>
  <c r="W19" i="3" s="1"/>
  <c r="X19" i="3" s="1"/>
  <c r="Y19" i="3" s="1"/>
  <c r="Z19" i="3" s="1"/>
  <c r="AA19" i="3" s="1"/>
  <c r="AB19" i="3" s="1"/>
  <c r="AT30" i="1"/>
  <c r="AT31" i="1"/>
  <c r="AT25" i="1"/>
  <c r="AT26" i="1" s="1"/>
  <c r="AU25" i="1"/>
  <c r="AU26" i="1" s="1"/>
  <c r="AU31" i="1"/>
  <c r="AU30" i="1"/>
  <c r="S18" i="3" l="1"/>
  <c r="S20" i="3" s="1"/>
  <c r="T15" i="3"/>
  <c r="U15" i="3" s="1"/>
  <c r="T18" i="3" l="1"/>
  <c r="T20" i="3" s="1"/>
  <c r="V15" i="3"/>
  <c r="U18" i="3"/>
  <c r="U20" i="3" s="1"/>
  <c r="W15" i="3" l="1"/>
  <c r="V18" i="3"/>
  <c r="V20" i="3" s="1"/>
  <c r="X15" i="3" l="1"/>
  <c r="W18" i="3"/>
  <c r="W20" i="3" s="1"/>
  <c r="Y15" i="3" l="1"/>
  <c r="X18" i="3"/>
  <c r="X20" i="3" s="1"/>
  <c r="Z15" i="3" l="1"/>
  <c r="Y18" i="3"/>
  <c r="Y20" i="3" s="1"/>
  <c r="AA15" i="3" l="1"/>
  <c r="Z18" i="3"/>
  <c r="Z20" i="3" s="1"/>
  <c r="AB15" i="3" l="1"/>
  <c r="AB18" i="3" s="1"/>
  <c r="AB20" i="3" s="1"/>
  <c r="AA18" i="3"/>
  <c r="AA20" i="3" s="1"/>
  <c r="O288" i="2" l="1"/>
  <c r="O290" i="2" s="1"/>
  <c r="O294" i="2" s="1"/>
  <c r="N33" i="1"/>
  <c r="N35" i="1" s="1"/>
  <c r="O33" i="1"/>
  <c r="O35" i="1" s="1"/>
  <c r="G10" i="3"/>
  <c r="G11" i="3" s="1"/>
  <c r="J30" i="4" l="1"/>
  <c r="N362" i="2"/>
  <c r="Q362" i="2" s="1"/>
  <c r="Q357" i="2" s="1"/>
  <c r="P357" i="2" s="1"/>
  <c r="R357" i="2" s="1"/>
  <c r="N389" i="2"/>
  <c r="N288" i="2" s="1"/>
  <c r="N290" i="2" s="1"/>
  <c r="N294" i="2" s="1"/>
  <c r="G12" i="3"/>
  <c r="T33" i="4"/>
  <c r="R33" i="1" l="1"/>
  <c r="R389" i="2"/>
  <c r="T362" i="2"/>
  <c r="T357" i="2" s="1"/>
  <c r="T389" i="2" s="1"/>
  <c r="S357" i="2" l="1"/>
  <c r="W362" i="2"/>
  <c r="N61" i="1"/>
  <c r="N60" i="1"/>
  <c r="U357" i="2" l="1"/>
  <c r="Z362" i="2"/>
  <c r="W357" i="2"/>
  <c r="T33" i="1"/>
  <c r="T35" i="1" s="1"/>
  <c r="T288" i="2"/>
  <c r="T290" i="2" s="1"/>
  <c r="O61" i="1"/>
  <c r="O60" i="1"/>
  <c r="J43" i="4"/>
  <c r="N478" i="2"/>
  <c r="S362" i="2" l="1"/>
  <c r="S33" i="1"/>
  <c r="S35" i="1" s="1"/>
  <c r="S389" i="2"/>
  <c r="S288" i="2" s="1"/>
  <c r="S290" i="2" s="1"/>
  <c r="T124" i="1"/>
  <c r="T38" i="1"/>
  <c r="W33" i="1"/>
  <c r="W35" i="1" s="1"/>
  <c r="V357" i="2"/>
  <c r="W389" i="2"/>
  <c r="W288" i="2" s="1"/>
  <c r="W290" i="2" s="1"/>
  <c r="AC362" i="2"/>
  <c r="Z357" i="2"/>
  <c r="Y357" i="2" l="1"/>
  <c r="Z33" i="1"/>
  <c r="Z35" i="1" s="1"/>
  <c r="Z389" i="2"/>
  <c r="Z288" i="2" s="1"/>
  <c r="Z290" i="2" s="1"/>
  <c r="W124" i="1"/>
  <c r="W38" i="1"/>
  <c r="U362" i="2"/>
  <c r="U389" i="2"/>
  <c r="U288" i="2" s="1"/>
  <c r="U290" i="2" s="1"/>
  <c r="I10" i="3" s="1"/>
  <c r="U33" i="1"/>
  <c r="U35" i="1" s="1"/>
  <c r="S124" i="1"/>
  <c r="U124" i="1" s="1"/>
  <c r="V33" i="4" s="1"/>
  <c r="S38" i="1"/>
  <c r="AF362" i="2"/>
  <c r="AC357" i="2"/>
  <c r="V33" i="1"/>
  <c r="V35" i="1" s="1"/>
  <c r="V389" i="2"/>
  <c r="V288" i="2" s="1"/>
  <c r="V290" i="2" s="1"/>
  <c r="X357" i="2"/>
  <c r="V362" i="2"/>
  <c r="T40" i="1"/>
  <c r="T123" i="1"/>
  <c r="S123" i="1" l="1"/>
  <c r="U123" i="1" s="1"/>
  <c r="V32" i="4" s="1"/>
  <c r="S40" i="1"/>
  <c r="V124" i="1"/>
  <c r="X124" i="1" s="1"/>
  <c r="W33" i="4" s="1"/>
  <c r="V38" i="1"/>
  <c r="AB357" i="2"/>
  <c r="AC33" i="1"/>
  <c r="AC35" i="1" s="1"/>
  <c r="AC389" i="2"/>
  <c r="AC288" i="2" s="1"/>
  <c r="AC290" i="2" s="1"/>
  <c r="L30" i="4"/>
  <c r="U38" i="1"/>
  <c r="Z124" i="1"/>
  <c r="Z38" i="1"/>
  <c r="X362" i="2"/>
  <c r="X33" i="1"/>
  <c r="X35" i="1" s="1"/>
  <c r="X389" i="2"/>
  <c r="X288" i="2" s="1"/>
  <c r="X290" i="2" s="1"/>
  <c r="J10" i="3" s="1"/>
  <c r="AI362" i="2"/>
  <c r="AI357" i="2" s="1"/>
  <c r="AF357" i="2"/>
  <c r="I11" i="3"/>
  <c r="W123" i="1"/>
  <c r="W40" i="1"/>
  <c r="W39" i="1"/>
  <c r="Y389" i="2"/>
  <c r="Y288" i="2" s="1"/>
  <c r="Y290" i="2" s="1"/>
  <c r="Y362" i="2"/>
  <c r="Y33" i="1"/>
  <c r="Y35" i="1" s="1"/>
  <c r="AA357" i="2"/>
  <c r="T42" i="4"/>
  <c r="N113" i="1"/>
  <c r="AC124" i="1" l="1"/>
  <c r="AC38" i="1"/>
  <c r="AL362" i="2"/>
  <c r="Z39" i="1"/>
  <c r="Z40" i="1"/>
  <c r="Z123" i="1"/>
  <c r="J11" i="3"/>
  <c r="J12" i="3"/>
  <c r="AA33" i="1"/>
  <c r="AA35" i="1" s="1"/>
  <c r="AA38" i="1" s="1"/>
  <c r="AA362" i="2"/>
  <c r="AA389" i="2"/>
  <c r="AA288" i="2" s="1"/>
  <c r="AA290" i="2" s="1"/>
  <c r="K10" i="3" s="1"/>
  <c r="M30" i="4"/>
  <c r="X38" i="1"/>
  <c r="L31" i="4"/>
  <c r="U40" i="1"/>
  <c r="AB33" i="1"/>
  <c r="AB35" i="1" s="1"/>
  <c r="AD357" i="2"/>
  <c r="AB362" i="2"/>
  <c r="AB389" i="2"/>
  <c r="AB288" i="2" s="1"/>
  <c r="AB290" i="2" s="1"/>
  <c r="Y124" i="1"/>
  <c r="AA124" i="1" s="1"/>
  <c r="Y38" i="1"/>
  <c r="AE357" i="2"/>
  <c r="AF33" i="1"/>
  <c r="AF35" i="1" s="1"/>
  <c r="AF389" i="2"/>
  <c r="AF288" i="2" s="1"/>
  <c r="AF290" i="2" s="1"/>
  <c r="V39" i="1"/>
  <c r="V123" i="1"/>
  <c r="X123" i="1" s="1"/>
  <c r="W32" i="4" s="1"/>
  <c r="V40" i="1"/>
  <c r="O113" i="1"/>
  <c r="AB124" i="1" l="1"/>
  <c r="AD124" i="1" s="1"/>
  <c r="AB38" i="1"/>
  <c r="AO362" i="2"/>
  <c r="AL357" i="2"/>
  <c r="AF124" i="1"/>
  <c r="AF38" i="1"/>
  <c r="K12" i="3"/>
  <c r="K11" i="3"/>
  <c r="AC40" i="1"/>
  <c r="AC39" i="1"/>
  <c r="AC123" i="1"/>
  <c r="AE33" i="1"/>
  <c r="AE35" i="1" s="1"/>
  <c r="AG357" i="2"/>
  <c r="AE362" i="2"/>
  <c r="AE389" i="2"/>
  <c r="AE288" i="2" s="1"/>
  <c r="AE290" i="2" s="1"/>
  <c r="V52" i="4"/>
  <c r="Y39" i="1"/>
  <c r="Y40" i="1"/>
  <c r="Y123" i="1"/>
  <c r="AD362" i="2"/>
  <c r="AD33" i="1"/>
  <c r="AD35" i="1" s="1"/>
  <c r="AD38" i="1" s="1"/>
  <c r="AD389" i="2"/>
  <c r="AD288" i="2" s="1"/>
  <c r="AD290" i="2" s="1"/>
  <c r="X40" i="1"/>
  <c r="M31" i="4"/>
  <c r="X39" i="1"/>
  <c r="AA39" i="1"/>
  <c r="AA40" i="1"/>
  <c r="AI33" i="1"/>
  <c r="AI35" i="1" s="1"/>
  <c r="AH357" i="2"/>
  <c r="AI389" i="2"/>
  <c r="AI288" i="2" s="1"/>
  <c r="AI290" i="2" s="1"/>
  <c r="AI124" i="1" l="1"/>
  <c r="AI38" i="1"/>
  <c r="AH33" i="1"/>
  <c r="AH35" i="1" s="1"/>
  <c r="AH362" i="2"/>
  <c r="AJ357" i="2"/>
  <c r="AH389" i="2"/>
  <c r="AH288" i="2" s="1"/>
  <c r="AH290" i="2" s="1"/>
  <c r="M32" i="4"/>
  <c r="W52" i="4"/>
  <c r="AR362" i="2"/>
  <c r="AO357" i="2"/>
  <c r="AF123" i="1"/>
  <c r="AF39" i="1"/>
  <c r="AF40" i="1"/>
  <c r="AA123" i="1"/>
  <c r="L10" i="3"/>
  <c r="AG362" i="2"/>
  <c r="AG33" i="1"/>
  <c r="AG35" i="1" s="1"/>
  <c r="AG38" i="1" s="1"/>
  <c r="AG389" i="2"/>
  <c r="AG288" i="2" s="1"/>
  <c r="AG290" i="2" s="1"/>
  <c r="AB123" i="1"/>
  <c r="AB39" i="1"/>
  <c r="AB40" i="1"/>
  <c r="AD39" i="1"/>
  <c r="AD40" i="1"/>
  <c r="AE124" i="1"/>
  <c r="AG124" i="1" s="1"/>
  <c r="AE38" i="1"/>
  <c r="AL33" i="1"/>
  <c r="AL35" i="1" s="1"/>
  <c r="AK357" i="2"/>
  <c r="AL389" i="2"/>
  <c r="AL288" i="2" s="1"/>
  <c r="AL290" i="2" s="1"/>
  <c r="AN357" i="2" l="1"/>
  <c r="AO33" i="1"/>
  <c r="AO35" i="1" s="1"/>
  <c r="AO389" i="2"/>
  <c r="AO288" i="2" s="1"/>
  <c r="AO290" i="2" s="1"/>
  <c r="AI39" i="1"/>
  <c r="AI123" i="1"/>
  <c r="AI40" i="1"/>
  <c r="AL124" i="1"/>
  <c r="AL38" i="1"/>
  <c r="AE123" i="1"/>
  <c r="AG123" i="1" s="1"/>
  <c r="AE40" i="1"/>
  <c r="AE39" i="1"/>
  <c r="AG40" i="1"/>
  <c r="AG39" i="1"/>
  <c r="AD123" i="1"/>
  <c r="AH124" i="1"/>
  <c r="AJ124" i="1" s="1"/>
  <c r="AH38" i="1"/>
  <c r="AK33" i="1"/>
  <c r="AK35" i="1" s="1"/>
  <c r="AK362" i="2"/>
  <c r="AM357" i="2"/>
  <c r="AK389" i="2"/>
  <c r="AK288" i="2" s="1"/>
  <c r="AK290" i="2" s="1"/>
  <c r="M10" i="3"/>
  <c r="L12" i="3"/>
  <c r="L11" i="3"/>
  <c r="L13" i="3"/>
  <c r="AU362" i="2"/>
  <c r="AU357" i="2" s="1"/>
  <c r="AR357" i="2"/>
  <c r="AJ33" i="1"/>
  <c r="AJ35" i="1" s="1"/>
  <c r="AJ38" i="1" s="1"/>
  <c r="AJ362" i="2"/>
  <c r="AJ389" i="2"/>
  <c r="AJ288" i="2" s="1"/>
  <c r="AJ290" i="2" s="1"/>
  <c r="M11" i="3" l="1"/>
  <c r="M12" i="3"/>
  <c r="M13" i="3"/>
  <c r="AL123" i="1"/>
  <c r="AL39" i="1"/>
  <c r="AL40" i="1"/>
  <c r="AR33" i="1"/>
  <c r="AR35" i="1" s="1"/>
  <c r="AQ357" i="2"/>
  <c r="AR389" i="2"/>
  <c r="AR288" i="2" s="1"/>
  <c r="AR290" i="2" s="1"/>
  <c r="AK124" i="1"/>
  <c r="AM124" i="1" s="1"/>
  <c r="AK38" i="1"/>
  <c r="AO124" i="1"/>
  <c r="AO38" i="1"/>
  <c r="N10" i="3"/>
  <c r="AU33" i="1"/>
  <c r="AU35" i="1" s="1"/>
  <c r="AT357" i="2"/>
  <c r="AU389" i="2"/>
  <c r="AU288" i="2" s="1"/>
  <c r="AU290" i="2" s="1"/>
  <c r="AH40" i="1"/>
  <c r="AH39" i="1"/>
  <c r="AH123" i="1"/>
  <c r="AJ123" i="1" s="1"/>
  <c r="AN33" i="1"/>
  <c r="AN35" i="1" s="1"/>
  <c r="AN362" i="2"/>
  <c r="AP357" i="2"/>
  <c r="AN389" i="2"/>
  <c r="AN288" i="2" s="1"/>
  <c r="AN290" i="2" s="1"/>
  <c r="AJ39" i="1"/>
  <c r="AJ40" i="1"/>
  <c r="AM362" i="2"/>
  <c r="AM33" i="1"/>
  <c r="AM35" i="1" s="1"/>
  <c r="AM38" i="1" s="1"/>
  <c r="AM389" i="2"/>
  <c r="AM288" i="2" s="1"/>
  <c r="AM290" i="2" s="1"/>
  <c r="N11" i="3" l="1"/>
  <c r="N12" i="3"/>
  <c r="N13" i="3"/>
  <c r="AT33" i="1"/>
  <c r="AT35" i="1" s="1"/>
  <c r="AV357" i="2"/>
  <c r="AT362" i="2"/>
  <c r="AT389" i="2"/>
  <c r="AT288" i="2" s="1"/>
  <c r="AT290" i="2" s="1"/>
  <c r="AO39" i="1"/>
  <c r="AO40" i="1"/>
  <c r="AO123" i="1"/>
  <c r="AK39" i="1"/>
  <c r="AK40" i="1"/>
  <c r="AK123" i="1"/>
  <c r="AN124" i="1"/>
  <c r="AP124" i="1" s="1"/>
  <c r="AN38" i="1"/>
  <c r="O10" i="3"/>
  <c r="AP362" i="2"/>
  <c r="AP33" i="1"/>
  <c r="AP35" i="1" s="1"/>
  <c r="AP38" i="1" s="1"/>
  <c r="AP389" i="2"/>
  <c r="AP288" i="2" s="1"/>
  <c r="AP290" i="2" s="1"/>
  <c r="AU124" i="1"/>
  <c r="AU38" i="1"/>
  <c r="AQ33" i="1"/>
  <c r="AQ35" i="1" s="1"/>
  <c r="AQ362" i="2"/>
  <c r="AS357" i="2"/>
  <c r="AQ389" i="2"/>
  <c r="AQ288" i="2" s="1"/>
  <c r="AQ290" i="2" s="1"/>
  <c r="AM40" i="1"/>
  <c r="AM39" i="1"/>
  <c r="AR124" i="1"/>
  <c r="AR38" i="1"/>
  <c r="AP40" i="1" l="1"/>
  <c r="AP39" i="1"/>
  <c r="AT124" i="1"/>
  <c r="AV124" i="1" s="1"/>
  <c r="AT38" i="1"/>
  <c r="AU123" i="1"/>
  <c r="AU39" i="1"/>
  <c r="AU40" i="1"/>
  <c r="AN123" i="1"/>
  <c r="AN39" i="1"/>
  <c r="AN40" i="1"/>
  <c r="AM123" i="1"/>
  <c r="P10" i="3"/>
  <c r="AR39" i="1"/>
  <c r="AR40" i="1"/>
  <c r="AR123" i="1"/>
  <c r="AQ124" i="1"/>
  <c r="AS124" i="1" s="1"/>
  <c r="AQ38" i="1"/>
  <c r="AS33" i="1"/>
  <c r="AS35" i="1" s="1"/>
  <c r="AS38" i="1" s="1"/>
  <c r="AS362" i="2"/>
  <c r="AS389" i="2"/>
  <c r="AS288" i="2" s="1"/>
  <c r="AS290" i="2" s="1"/>
  <c r="O13" i="3"/>
  <c r="O11" i="3"/>
  <c r="O12" i="3"/>
  <c r="AV362" i="2"/>
  <c r="AV33" i="1"/>
  <c r="AV35" i="1" s="1"/>
  <c r="AV38" i="1" s="1"/>
  <c r="AV389" i="2"/>
  <c r="AV288" i="2" s="1"/>
  <c r="AV290" i="2" s="1"/>
  <c r="R10" i="3" l="1"/>
  <c r="Q10" i="3"/>
  <c r="AQ40" i="1"/>
  <c r="AQ123" i="1"/>
  <c r="AQ39" i="1"/>
  <c r="AV39" i="1"/>
  <c r="AV40" i="1"/>
  <c r="AP123" i="1"/>
  <c r="AS40" i="1"/>
  <c r="AS39" i="1"/>
  <c r="P13" i="3"/>
  <c r="P12" i="3"/>
  <c r="P11" i="3"/>
  <c r="AT39" i="1"/>
  <c r="AT40" i="1"/>
  <c r="AT123" i="1"/>
  <c r="R11" i="3" l="1"/>
  <c r="S11" i="3" s="1"/>
  <c r="R12" i="3"/>
  <c r="R13" i="3"/>
  <c r="AV123" i="1"/>
  <c r="Q13" i="3"/>
  <c r="Q12" i="3"/>
  <c r="Q11" i="3"/>
  <c r="AS123" i="1"/>
  <c r="S10" i="3" l="1"/>
  <c r="T11" i="3"/>
  <c r="S13" i="3" l="1"/>
  <c r="S12" i="3"/>
  <c r="U11" i="3"/>
  <c r="T10" i="3"/>
  <c r="T12" i="3" l="1"/>
  <c r="T13" i="3"/>
  <c r="U10" i="3"/>
  <c r="V11" i="3"/>
  <c r="W11" i="3" l="1"/>
  <c r="V10" i="3"/>
  <c r="U12" i="3"/>
  <c r="U13" i="3"/>
  <c r="V12" i="3" l="1"/>
  <c r="V13" i="3"/>
  <c r="X11" i="3"/>
  <c r="W10" i="3"/>
  <c r="W13" i="3" l="1"/>
  <c r="W12" i="3"/>
  <c r="X10" i="3"/>
  <c r="Y11" i="3"/>
  <c r="X13" i="3" l="1"/>
  <c r="X12" i="3"/>
  <c r="Z11" i="3"/>
  <c r="Y10" i="3"/>
  <c r="AA11" i="3" l="1"/>
  <c r="Z10" i="3"/>
  <c r="Y13" i="3"/>
  <c r="Y12" i="3"/>
  <c r="Z12" i="3" l="1"/>
  <c r="Z13" i="3"/>
  <c r="AB11" i="3"/>
  <c r="AB10" i="3" s="1"/>
  <c r="AA10" i="3"/>
  <c r="AA13" i="3" l="1"/>
  <c r="AA12" i="3"/>
  <c r="AB12" i="3"/>
  <c r="AB13" i="3"/>
  <c r="G16" i="3"/>
  <c r="G17" i="3" s="1"/>
  <c r="G22" i="3" l="1"/>
  <c r="G23" i="3" s="1"/>
  <c r="O450" i="2" l="1"/>
  <c r="O451" i="2" s="1"/>
  <c r="O455" i="2" s="1"/>
  <c r="R455" i="2" s="1"/>
  <c r="P153" i="1"/>
  <c r="R153" i="1"/>
  <c r="T14" i="4"/>
  <c r="O415" i="2"/>
  <c r="O420" i="2" s="1"/>
  <c r="P420" i="2" s="1"/>
  <c r="T15" i="4"/>
  <c r="R454" i="2" l="1"/>
  <c r="P455" i="2"/>
  <c r="P454" i="2" s="1"/>
  <c r="P415" i="2"/>
  <c r="Q420" i="2"/>
  <c r="R420" i="2" s="1"/>
  <c r="Q454" i="2" l="1"/>
  <c r="R415" i="2"/>
  <c r="S420" i="2"/>
  <c r="P76" i="1"/>
  <c r="S415" i="2" l="1"/>
  <c r="T420" i="2"/>
  <c r="U420" i="2" s="1"/>
  <c r="Q415" i="2"/>
  <c r="Q76" i="1" l="1"/>
  <c r="R76" i="1" s="1"/>
  <c r="U415" i="2"/>
  <c r="V420" i="2"/>
  <c r="S76" i="1"/>
  <c r="V415" i="2" l="1"/>
  <c r="W420" i="2"/>
  <c r="X420" i="2" s="1"/>
  <c r="T415" i="2"/>
  <c r="U15" i="4"/>
  <c r="T76" i="1" l="1"/>
  <c r="U76" i="1" s="1"/>
  <c r="X415" i="2"/>
  <c r="Y420" i="2"/>
  <c r="V76" i="1"/>
  <c r="V15" i="4" l="1"/>
  <c r="Y415" i="2"/>
  <c r="Z420" i="2"/>
  <c r="AA420" i="2" s="1"/>
  <c r="W415" i="2"/>
  <c r="AA415" i="2" l="1"/>
  <c r="AB420" i="2"/>
  <c r="Y76" i="1"/>
  <c r="W76" i="1"/>
  <c r="X76" i="1" s="1"/>
  <c r="W15" i="4" l="1"/>
  <c r="AB415" i="2"/>
  <c r="AC420" i="2"/>
  <c r="AD420" i="2" s="1"/>
  <c r="Z415" i="2"/>
  <c r="AD415" i="2" l="1"/>
  <c r="AE420" i="2"/>
  <c r="Z76" i="1"/>
  <c r="AA76" i="1" s="1"/>
  <c r="AB76" i="1"/>
  <c r="AE415" i="2" l="1"/>
  <c r="AF420" i="2"/>
  <c r="AG420" i="2" s="1"/>
  <c r="AC415" i="2"/>
  <c r="AG415" i="2" l="1"/>
  <c r="AH420" i="2"/>
  <c r="AE76" i="1"/>
  <c r="AC76" i="1"/>
  <c r="AD76" i="1" s="1"/>
  <c r="AH415" i="2" l="1"/>
  <c r="AI420" i="2"/>
  <c r="AJ420" i="2" s="1"/>
  <c r="AF415" i="2"/>
  <c r="AF76" i="1" l="1"/>
  <c r="AG76" i="1" s="1"/>
  <c r="AJ415" i="2"/>
  <c r="AK420" i="2"/>
  <c r="AH76" i="1"/>
  <c r="AI415" i="2" l="1"/>
  <c r="AK415" i="2"/>
  <c r="AL420" i="2"/>
  <c r="AM420" i="2" s="1"/>
  <c r="AM415" i="2" l="1"/>
  <c r="AN420" i="2"/>
  <c r="AK76" i="1"/>
  <c r="AI76" i="1"/>
  <c r="AJ76" i="1" s="1"/>
  <c r="AN415" i="2" l="1"/>
  <c r="AO420" i="2"/>
  <c r="AP420" i="2" s="1"/>
  <c r="AL415" i="2"/>
  <c r="AP415" i="2" l="1"/>
  <c r="AQ420" i="2"/>
  <c r="AN76" i="1"/>
  <c r="AL76" i="1"/>
  <c r="AM76" i="1" s="1"/>
  <c r="AQ415" i="2" l="1"/>
  <c r="AR420" i="2"/>
  <c r="AS420" i="2" s="1"/>
  <c r="AO415" i="2"/>
  <c r="AS415" i="2" l="1"/>
  <c r="AT420" i="2"/>
  <c r="AQ76" i="1"/>
  <c r="AO76" i="1"/>
  <c r="AP76" i="1" s="1"/>
  <c r="AT415" i="2" l="1"/>
  <c r="AU420" i="2"/>
  <c r="AV420" i="2" s="1"/>
  <c r="AV415" i="2" s="1"/>
  <c r="AR415" i="2"/>
  <c r="AU415" i="2" l="1"/>
  <c r="AR76" i="1"/>
  <c r="AS76" i="1" s="1"/>
  <c r="AT76" i="1"/>
  <c r="AU76" i="1" l="1"/>
  <c r="AV76" i="1" s="1"/>
  <c r="O416" i="2"/>
  <c r="O421" i="2" s="1"/>
  <c r="P421" i="2" s="1"/>
  <c r="Q421" i="2" s="1"/>
  <c r="R421" i="2" s="1"/>
  <c r="R416" i="2" s="1"/>
  <c r="Q416" i="2" s="1"/>
  <c r="Q77" i="1" s="1"/>
  <c r="R77" i="1" s="1"/>
  <c r="O80" i="1"/>
  <c r="N80" i="1" s="1"/>
  <c r="S421" i="2" l="1"/>
  <c r="P416" i="2"/>
  <c r="S416" i="2" l="1"/>
  <c r="T421" i="2"/>
  <c r="U421" i="2" s="1"/>
  <c r="P77" i="1"/>
  <c r="U416" i="2" l="1"/>
  <c r="V421" i="2"/>
  <c r="S77" i="1"/>
  <c r="T416" i="2" l="1"/>
  <c r="V416" i="2"/>
  <c r="W421" i="2"/>
  <c r="X421" i="2" s="1"/>
  <c r="Y421" i="2" l="1"/>
  <c r="X416" i="2"/>
  <c r="V77" i="1"/>
  <c r="T77" i="1"/>
  <c r="W416" i="2" l="1"/>
  <c r="U77" i="1"/>
  <c r="Y416" i="2"/>
  <c r="Z421" i="2"/>
  <c r="AA421" i="2" s="1"/>
  <c r="AA416" i="2" l="1"/>
  <c r="AB421" i="2"/>
  <c r="Y77" i="1"/>
  <c r="W77" i="1"/>
  <c r="X77" i="1" l="1"/>
  <c r="AC421" i="2"/>
  <c r="AD421" i="2" s="1"/>
  <c r="AB416" i="2"/>
  <c r="Z416" i="2"/>
  <c r="AB77" i="1" l="1"/>
  <c r="AD416" i="2"/>
  <c r="AE421" i="2"/>
  <c r="Z77" i="1"/>
  <c r="AE416" i="2" l="1"/>
  <c r="AF421" i="2"/>
  <c r="AG421" i="2" s="1"/>
  <c r="AC416" i="2"/>
  <c r="AA77" i="1"/>
  <c r="AC77" i="1" l="1"/>
  <c r="AG416" i="2"/>
  <c r="AH421" i="2"/>
  <c r="AE77" i="1"/>
  <c r="AH416" i="2" l="1"/>
  <c r="AI421" i="2"/>
  <c r="AJ421" i="2" s="1"/>
  <c r="AF416" i="2"/>
  <c r="AD77" i="1"/>
  <c r="AK421" i="2" l="1"/>
  <c r="AJ416" i="2"/>
  <c r="AF77" i="1"/>
  <c r="AH77" i="1"/>
  <c r="AI416" i="2" l="1"/>
  <c r="AK416" i="2"/>
  <c r="AL421" i="2"/>
  <c r="AM421" i="2" s="1"/>
  <c r="AG77" i="1"/>
  <c r="AK77" i="1" l="1"/>
  <c r="AM416" i="2"/>
  <c r="AN421" i="2"/>
  <c r="AI77" i="1"/>
  <c r="AL416" i="2" l="1"/>
  <c r="AJ77" i="1"/>
  <c r="AO421" i="2"/>
  <c r="AP421" i="2" s="1"/>
  <c r="AN416" i="2"/>
  <c r="AN77" i="1" l="1"/>
  <c r="AP416" i="2"/>
  <c r="AQ421" i="2"/>
  <c r="AL77" i="1"/>
  <c r="AO416" i="2" l="1"/>
  <c r="AM77" i="1"/>
  <c r="AQ416" i="2"/>
  <c r="AR421" i="2"/>
  <c r="AS421" i="2" s="1"/>
  <c r="AQ77" i="1" l="1"/>
  <c r="AS416" i="2"/>
  <c r="AT421" i="2"/>
  <c r="AO77" i="1"/>
  <c r="AT416" i="2" l="1"/>
  <c r="AU421" i="2"/>
  <c r="AV421" i="2" s="1"/>
  <c r="AV416" i="2" s="1"/>
  <c r="AP77" i="1"/>
  <c r="AR416" i="2"/>
  <c r="AR77" i="1" l="1"/>
  <c r="AU416" i="2"/>
  <c r="AT77" i="1"/>
  <c r="AU77" i="1" l="1"/>
  <c r="AV77" i="1" s="1"/>
  <c r="AS77" i="1"/>
  <c r="N415" i="2"/>
  <c r="N420" i="2" s="1"/>
  <c r="N416" i="2"/>
  <c r="N421" i="2" s="1"/>
  <c r="N450" i="2"/>
  <c r="N451" i="2" s="1"/>
  <c r="N455" i="2" s="1"/>
  <c r="O338" i="2"/>
  <c r="T16" i="4"/>
  <c r="O337" i="2" l="1"/>
  <c r="O339" i="2"/>
  <c r="P334" i="2"/>
  <c r="P338" i="2" s="1"/>
  <c r="R334" i="2"/>
  <c r="Q334" i="2" l="1"/>
  <c r="Q338" i="2" s="1"/>
  <c r="P84" i="1"/>
  <c r="R338" i="2" l="1"/>
  <c r="R339" i="2" s="1"/>
  <c r="Q84" i="1"/>
  <c r="R84" i="1" l="1"/>
  <c r="S334" i="2"/>
  <c r="S338" i="2" s="1"/>
  <c r="R337" i="2"/>
  <c r="U334" i="2"/>
  <c r="T334" i="2" l="1"/>
  <c r="T338" i="2" s="1"/>
  <c r="S84" i="1"/>
  <c r="U16" i="4"/>
  <c r="U338" i="2" l="1"/>
  <c r="U339" i="2" s="1"/>
  <c r="T84" i="1"/>
  <c r="U84" i="1" l="1"/>
  <c r="X334" i="2"/>
  <c r="U337" i="2"/>
  <c r="V334" i="2"/>
  <c r="V338" i="2" s="1"/>
  <c r="W334" i="2" l="1"/>
  <c r="W338" i="2" s="1"/>
  <c r="V84" i="1"/>
  <c r="V16" i="4"/>
  <c r="X338" i="2" l="1"/>
  <c r="W84" i="1"/>
  <c r="X84" i="1" l="1"/>
  <c r="AA334" i="2"/>
  <c r="Y334" i="2"/>
  <c r="Y338" i="2" s="1"/>
  <c r="X337" i="2"/>
  <c r="Z334" i="2" l="1"/>
  <c r="Z338" i="2" s="1"/>
  <c r="Y84" i="1"/>
  <c r="W16" i="4"/>
  <c r="AA338" i="2" l="1"/>
  <c r="Z84" i="1"/>
  <c r="AB334" i="2" l="1"/>
  <c r="AB338" i="2" s="1"/>
  <c r="AD334" i="2"/>
  <c r="AA337" i="2"/>
  <c r="AA84" i="1"/>
  <c r="AC334" i="2" l="1"/>
  <c r="AC338" i="2" s="1"/>
  <c r="AB84" i="1"/>
  <c r="AD338" i="2" l="1"/>
  <c r="AC84" i="1"/>
  <c r="AE334" i="2" l="1"/>
  <c r="AE338" i="2" s="1"/>
  <c r="AG334" i="2"/>
  <c r="AD337" i="2"/>
  <c r="AD84" i="1"/>
  <c r="AF334" i="2" l="1"/>
  <c r="AF338" i="2" s="1"/>
  <c r="AE84" i="1"/>
  <c r="AG338" i="2" l="1"/>
  <c r="AF84" i="1"/>
  <c r="AG84" i="1" l="1"/>
  <c r="AJ334" i="2"/>
  <c r="AG337" i="2"/>
  <c r="AH334" i="2"/>
  <c r="AH338" i="2" s="1"/>
  <c r="AI334" i="2" l="1"/>
  <c r="AI338" i="2" s="1"/>
  <c r="AH84" i="1"/>
  <c r="AJ338" i="2" l="1"/>
  <c r="AI84" i="1"/>
  <c r="AJ84" i="1" l="1"/>
  <c r="AJ337" i="2"/>
  <c r="AK334" i="2"/>
  <c r="AK338" i="2" s="1"/>
  <c r="AM334" i="2"/>
  <c r="AL334" i="2" l="1"/>
  <c r="AL338" i="2" s="1"/>
  <c r="AK84" i="1"/>
  <c r="AM338" i="2" l="1"/>
  <c r="AL84" i="1"/>
  <c r="AM84" i="1" l="1"/>
  <c r="AN334" i="2"/>
  <c r="AN338" i="2" s="1"/>
  <c r="AP334" i="2"/>
  <c r="AM337" i="2"/>
  <c r="AO334" i="2" l="1"/>
  <c r="AO338" i="2" s="1"/>
  <c r="AN84" i="1"/>
  <c r="AP338" i="2" l="1"/>
  <c r="AO84" i="1"/>
  <c r="AP84" i="1" l="1"/>
  <c r="AQ334" i="2"/>
  <c r="AQ338" i="2" s="1"/>
  <c r="AP337" i="2"/>
  <c r="AS334" i="2"/>
  <c r="AR334" i="2" l="1"/>
  <c r="AR338" i="2" s="1"/>
  <c r="AQ84" i="1"/>
  <c r="AS338" i="2" l="1"/>
  <c r="AR84" i="1"/>
  <c r="AS84" i="1" l="1"/>
  <c r="AV334" i="2"/>
  <c r="AS337" i="2"/>
  <c r="AT334" i="2"/>
  <c r="AT338" i="2" s="1"/>
  <c r="AU334" i="2" l="1"/>
  <c r="AU338" i="2" s="1"/>
  <c r="AT84" i="1"/>
  <c r="AV338" i="2" l="1"/>
  <c r="AV337" i="2" s="1"/>
  <c r="AU84" i="1"/>
  <c r="AV84" i="1" l="1"/>
  <c r="O360" i="2"/>
  <c r="R355" i="2" s="1"/>
  <c r="P355" i="2" l="1"/>
  <c r="O359" i="2"/>
  <c r="O407" i="2" l="1"/>
  <c r="O411" i="2" l="1"/>
  <c r="O467" i="2"/>
  <c r="O408" i="2"/>
  <c r="P408" i="2" s="1"/>
  <c r="P407" i="2" l="1"/>
  <c r="R408" i="2"/>
  <c r="S408" i="2" l="1"/>
  <c r="R407" i="2"/>
  <c r="R466" i="2" s="1"/>
  <c r="P409" i="2"/>
  <c r="P86" i="1"/>
  <c r="P411" i="2"/>
  <c r="P359" i="2" s="1"/>
  <c r="R409" i="2" l="1"/>
  <c r="Q407" i="2"/>
  <c r="R411" i="2"/>
  <c r="R359" i="2" s="1"/>
  <c r="S407" i="2"/>
  <c r="U408" i="2"/>
  <c r="V408" i="2" l="1"/>
  <c r="U407" i="2"/>
  <c r="S409" i="2"/>
  <c r="S411" i="2"/>
  <c r="S359" i="2" s="1"/>
  <c r="S86" i="1"/>
  <c r="Q411" i="2"/>
  <c r="Q359" i="2" s="1"/>
  <c r="Q408" i="2"/>
  <c r="Q86" i="1"/>
  <c r="R86" i="1" s="1"/>
  <c r="R472" i="2"/>
  <c r="R42" i="1" s="1"/>
  <c r="P466" i="2"/>
  <c r="P472" i="2" l="1"/>
  <c r="P42" i="1" s="1"/>
  <c r="Q466" i="2"/>
  <c r="Q472" i="2" s="1"/>
  <c r="Q42" i="1" s="1"/>
  <c r="U466" i="2"/>
  <c r="U411" i="2"/>
  <c r="U359" i="2" s="1"/>
  <c r="U409" i="2"/>
  <c r="T407" i="2"/>
  <c r="V407" i="2"/>
  <c r="X408" i="2"/>
  <c r="T86" i="1" l="1"/>
  <c r="U86" i="1" s="1"/>
  <c r="T408" i="2"/>
  <c r="T409" i="2"/>
  <c r="T411" i="2"/>
  <c r="T359" i="2" s="1"/>
  <c r="Y408" i="2"/>
  <c r="X407" i="2"/>
  <c r="V409" i="2"/>
  <c r="V411" i="2"/>
  <c r="V359" i="2" s="1"/>
  <c r="V86" i="1"/>
  <c r="S466" i="2"/>
  <c r="S472" i="2" s="1"/>
  <c r="S42" i="1" s="1"/>
  <c r="U472" i="2"/>
  <c r="U42" i="1" s="1"/>
  <c r="T466" i="2" l="1"/>
  <c r="T472" i="2" s="1"/>
  <c r="T42" i="1" s="1"/>
  <c r="W407" i="2"/>
  <c r="X411" i="2"/>
  <c r="X359" i="2" s="1"/>
  <c r="X409" i="2"/>
  <c r="X466" i="2"/>
  <c r="AA408" i="2"/>
  <c r="Y407" i="2"/>
  <c r="Y411" i="2" l="1"/>
  <c r="Y359" i="2" s="1"/>
  <c r="Y409" i="2"/>
  <c r="Y86" i="1"/>
  <c r="AA407" i="2"/>
  <c r="AB408" i="2"/>
  <c r="W408" i="2"/>
  <c r="W409" i="2"/>
  <c r="W86" i="1"/>
  <c r="X86" i="1" s="1"/>
  <c r="W411" i="2"/>
  <c r="W359" i="2" s="1"/>
  <c r="X472" i="2"/>
  <c r="X42" i="1" s="1"/>
  <c r="V466" i="2"/>
  <c r="V472" i="2" s="1"/>
  <c r="V42" i="1" s="1"/>
  <c r="AA466" i="2" l="1"/>
  <c r="Z407" i="2"/>
  <c r="AA411" i="2"/>
  <c r="AA359" i="2" s="1"/>
  <c r="AA409" i="2"/>
  <c r="W466" i="2"/>
  <c r="W472" i="2" s="1"/>
  <c r="W42" i="1" s="1"/>
  <c r="AB407" i="2"/>
  <c r="AD408" i="2"/>
  <c r="AD407" i="2" l="1"/>
  <c r="AE408" i="2"/>
  <c r="AB409" i="2"/>
  <c r="AB411" i="2"/>
  <c r="AB359" i="2" s="1"/>
  <c r="AB86" i="1"/>
  <c r="Z411" i="2"/>
  <c r="Z359" i="2" s="1"/>
  <c r="Z409" i="2"/>
  <c r="Z408" i="2"/>
  <c r="Z86" i="1"/>
  <c r="AA86" i="1" s="1"/>
  <c r="Y466" i="2"/>
  <c r="Y472" i="2" s="1"/>
  <c r="Y42" i="1" s="1"/>
  <c r="AA472" i="2"/>
  <c r="AA42" i="1" s="1"/>
  <c r="AE407" i="2" l="1"/>
  <c r="AG408" i="2"/>
  <c r="AD411" i="2"/>
  <c r="AD359" i="2" s="1"/>
  <c r="AD466" i="2"/>
  <c r="AD409" i="2"/>
  <c r="AC407" i="2"/>
  <c r="Z466" i="2"/>
  <c r="Z472" i="2" s="1"/>
  <c r="Z42" i="1" s="1"/>
  <c r="AD472" i="2" l="1"/>
  <c r="AD42" i="1" s="1"/>
  <c r="AB466" i="2"/>
  <c r="AC411" i="2"/>
  <c r="AC359" i="2" s="1"/>
  <c r="AC409" i="2"/>
  <c r="AC408" i="2"/>
  <c r="AC86" i="1"/>
  <c r="AD86" i="1" s="1"/>
  <c r="AG407" i="2"/>
  <c r="AH408" i="2"/>
  <c r="AE409" i="2"/>
  <c r="AE86" i="1"/>
  <c r="AE411" i="2"/>
  <c r="AE359" i="2" s="1"/>
  <c r="AH407" i="2" l="1"/>
  <c r="AJ408" i="2"/>
  <c r="AG411" i="2"/>
  <c r="AG359" i="2" s="1"/>
  <c r="AG409" i="2"/>
  <c r="AG466" i="2"/>
  <c r="AF407" i="2"/>
  <c r="AC466" i="2"/>
  <c r="AC472" i="2" s="1"/>
  <c r="AC42" i="1" s="1"/>
  <c r="AB472" i="2"/>
  <c r="AB42" i="1" s="1"/>
  <c r="AF408" i="2" l="1"/>
  <c r="AF409" i="2"/>
  <c r="AF86" i="1"/>
  <c r="AG86" i="1" s="1"/>
  <c r="AF411" i="2"/>
  <c r="AF359" i="2" s="1"/>
  <c r="AJ407" i="2"/>
  <c r="AK408" i="2"/>
  <c r="AE466" i="2"/>
  <c r="AE472" i="2" s="1"/>
  <c r="AE42" i="1" s="1"/>
  <c r="AG472" i="2"/>
  <c r="AG42" i="1" s="1"/>
  <c r="AH411" i="2"/>
  <c r="AH359" i="2" s="1"/>
  <c r="AH86" i="1"/>
  <c r="AH409" i="2"/>
  <c r="AK407" i="2" l="1"/>
  <c r="AM408" i="2"/>
  <c r="AF466" i="2"/>
  <c r="AF472" i="2" s="1"/>
  <c r="AF42" i="1" s="1"/>
  <c r="AJ466" i="2"/>
  <c r="AJ409" i="2"/>
  <c r="AJ411" i="2"/>
  <c r="AJ359" i="2" s="1"/>
  <c r="AI407" i="2"/>
  <c r="AJ472" i="2" l="1"/>
  <c r="AJ42" i="1" s="1"/>
  <c r="AH466" i="2"/>
  <c r="AI86" i="1"/>
  <c r="AJ86" i="1" s="1"/>
  <c r="AI408" i="2"/>
  <c r="AI409" i="2"/>
  <c r="AI411" i="2"/>
  <c r="AI359" i="2" s="1"/>
  <c r="AM407" i="2"/>
  <c r="AN408" i="2"/>
  <c r="AK86" i="1"/>
  <c r="AK409" i="2"/>
  <c r="AK411" i="2"/>
  <c r="AK359" i="2" s="1"/>
  <c r="AN407" i="2" l="1"/>
  <c r="AP408" i="2"/>
  <c r="AM409" i="2"/>
  <c r="AM466" i="2"/>
  <c r="AL407" i="2"/>
  <c r="AM411" i="2"/>
  <c r="AM359" i="2" s="1"/>
  <c r="AI466" i="2"/>
  <c r="AI472" i="2" s="1"/>
  <c r="AI42" i="1" s="1"/>
  <c r="AH472" i="2"/>
  <c r="AH42" i="1" s="1"/>
  <c r="AK466" i="2" l="1"/>
  <c r="AK472" i="2" s="1"/>
  <c r="AK42" i="1" s="1"/>
  <c r="AM472" i="2"/>
  <c r="AM42" i="1" s="1"/>
  <c r="AQ408" i="2"/>
  <c r="AP407" i="2"/>
  <c r="AL86" i="1"/>
  <c r="AM86" i="1" s="1"/>
  <c r="AL408" i="2"/>
  <c r="AL411" i="2"/>
  <c r="AL359" i="2" s="1"/>
  <c r="AL409" i="2"/>
  <c r="AN86" i="1"/>
  <c r="AN409" i="2"/>
  <c r="AN411" i="2"/>
  <c r="AN359" i="2" s="1"/>
  <c r="AL466" i="2" l="1"/>
  <c r="AL472" i="2" s="1"/>
  <c r="AL42" i="1" s="1"/>
  <c r="AQ407" i="2"/>
  <c r="AS408" i="2"/>
  <c r="AP409" i="2"/>
  <c r="AP411" i="2"/>
  <c r="AP359" i="2" s="1"/>
  <c r="AO407" i="2"/>
  <c r="AP466" i="2"/>
  <c r="AN466" i="2" l="1"/>
  <c r="AP472" i="2"/>
  <c r="AP42" i="1" s="1"/>
  <c r="AT408" i="2"/>
  <c r="AS407" i="2"/>
  <c r="AO411" i="2"/>
  <c r="AO359" i="2" s="1"/>
  <c r="AO408" i="2"/>
  <c r="AO409" i="2"/>
  <c r="AO86" i="1"/>
  <c r="AP86" i="1" s="1"/>
  <c r="AQ86" i="1"/>
  <c r="AQ409" i="2"/>
  <c r="AQ411" i="2"/>
  <c r="AQ359" i="2" s="1"/>
  <c r="AS411" i="2" l="1"/>
  <c r="AS359" i="2" s="1"/>
  <c r="AS409" i="2"/>
  <c r="AR407" i="2"/>
  <c r="AS466" i="2"/>
  <c r="AV408" i="2"/>
  <c r="AV407" i="2" s="1"/>
  <c r="AT407" i="2"/>
  <c r="AN472" i="2"/>
  <c r="AN42" i="1" s="1"/>
  <c r="AO466" i="2"/>
  <c r="AO472" i="2" s="1"/>
  <c r="AO42" i="1" s="1"/>
  <c r="AS472" i="2" l="1"/>
  <c r="AS42" i="1" s="1"/>
  <c r="AQ466" i="2"/>
  <c r="AQ472" i="2" s="1"/>
  <c r="AQ42" i="1" s="1"/>
  <c r="AR409" i="2"/>
  <c r="AR411" i="2"/>
  <c r="AR359" i="2" s="1"/>
  <c r="AR86" i="1"/>
  <c r="AS86" i="1" s="1"/>
  <c r="AR408" i="2"/>
  <c r="AT409" i="2"/>
  <c r="AT86" i="1"/>
  <c r="AT411" i="2"/>
  <c r="AT359" i="2" s="1"/>
  <c r="AV409" i="2"/>
  <c r="AV411" i="2"/>
  <c r="AV359" i="2" s="1"/>
  <c r="AV466" i="2"/>
  <c r="AU407" i="2"/>
  <c r="AR466" i="2" l="1"/>
  <c r="AR472" i="2" s="1"/>
  <c r="AR42" i="1" s="1"/>
  <c r="AU409" i="2"/>
  <c r="AU86" i="1"/>
  <c r="AV86" i="1" s="1"/>
  <c r="AU408" i="2"/>
  <c r="AU411" i="2"/>
  <c r="AU359" i="2" s="1"/>
  <c r="AT466" i="2"/>
  <c r="AV472" i="2"/>
  <c r="AV42" i="1" s="1"/>
  <c r="AT472" i="2" l="1"/>
  <c r="AT42" i="1" s="1"/>
  <c r="AU466" i="2"/>
  <c r="AU472" i="2" s="1"/>
  <c r="AU42" i="1" s="1"/>
  <c r="O374" i="2" l="1"/>
  <c r="P370" i="2" s="1"/>
  <c r="P374" i="2" s="1"/>
  <c r="Q370" i="2" s="1"/>
  <c r="Q374" i="2" s="1"/>
  <c r="Q87" i="1" s="1"/>
  <c r="R87" i="1" s="1"/>
  <c r="O89" i="1"/>
  <c r="N89" i="1" s="1"/>
  <c r="T17" i="4"/>
  <c r="O90" i="1" l="1"/>
  <c r="U17" i="4"/>
  <c r="P87" i="1"/>
  <c r="T19" i="4"/>
  <c r="T18" i="4" s="1"/>
  <c r="R370" i="2"/>
  <c r="R374" i="2" s="1"/>
  <c r="O373" i="2"/>
  <c r="N90" i="1" l="1"/>
  <c r="S370" i="2"/>
  <c r="S374" i="2" s="1"/>
  <c r="U370" i="2"/>
  <c r="U374" i="2" s="1"/>
  <c r="V370" i="2" l="1"/>
  <c r="V374" i="2" s="1"/>
  <c r="X370" i="2"/>
  <c r="X374" i="2" s="1"/>
  <c r="T370" i="2"/>
  <c r="T374" i="2" s="1"/>
  <c r="T87" i="1" s="1"/>
  <c r="S87" i="1"/>
  <c r="U87" i="1" l="1"/>
  <c r="AA370" i="2"/>
  <c r="AA374" i="2" s="1"/>
  <c r="Y370" i="2"/>
  <c r="Y374" i="2" s="1"/>
  <c r="W370" i="2"/>
  <c r="W374" i="2" s="1"/>
  <c r="W87" i="1" s="1"/>
  <c r="V87" i="1"/>
  <c r="AD370" i="2" l="1"/>
  <c r="AD374" i="2" s="1"/>
  <c r="AB370" i="2"/>
  <c r="AB374" i="2" s="1"/>
  <c r="V17" i="4"/>
  <c r="X87" i="1"/>
  <c r="Z370" i="2"/>
  <c r="Z374" i="2" s="1"/>
  <c r="Z87" i="1" s="1"/>
  <c r="Y87" i="1"/>
  <c r="W17" i="4" l="1"/>
  <c r="AC370" i="2"/>
  <c r="AC374" i="2" s="1"/>
  <c r="AC87" i="1" s="1"/>
  <c r="AB87" i="1"/>
  <c r="AA87" i="1"/>
  <c r="AE370" i="2"/>
  <c r="AE374" i="2" s="1"/>
  <c r="AG370" i="2"/>
  <c r="AG374" i="2" s="1"/>
  <c r="AF370" i="2" l="1"/>
  <c r="AF374" i="2" s="1"/>
  <c r="AF87" i="1" s="1"/>
  <c r="AE87" i="1"/>
  <c r="AH370" i="2"/>
  <c r="AH374" i="2" s="1"/>
  <c r="AJ370" i="2"/>
  <c r="AJ374" i="2" s="1"/>
  <c r="AD87" i="1"/>
  <c r="AI370" i="2" l="1"/>
  <c r="AI374" i="2" s="1"/>
  <c r="AI87" i="1" s="1"/>
  <c r="AH87" i="1"/>
  <c r="AG87" i="1"/>
  <c r="AK370" i="2"/>
  <c r="AK374" i="2" s="1"/>
  <c r="AM370" i="2"/>
  <c r="AM374" i="2" s="1"/>
  <c r="AP370" i="2" l="1"/>
  <c r="AP374" i="2" s="1"/>
  <c r="AN370" i="2"/>
  <c r="AN374" i="2" s="1"/>
  <c r="AL370" i="2"/>
  <c r="AL374" i="2" s="1"/>
  <c r="AL87" i="1" s="1"/>
  <c r="AK87" i="1"/>
  <c r="AJ87" i="1"/>
  <c r="AS370" i="2" l="1"/>
  <c r="AS374" i="2" s="1"/>
  <c r="AQ370" i="2"/>
  <c r="AQ374" i="2" s="1"/>
  <c r="AM87" i="1"/>
  <c r="AO370" i="2"/>
  <c r="AO374" i="2" s="1"/>
  <c r="AO87" i="1" s="1"/>
  <c r="AN87" i="1"/>
  <c r="AR370" i="2" l="1"/>
  <c r="AR374" i="2" s="1"/>
  <c r="AR87" i="1" s="1"/>
  <c r="AQ87" i="1"/>
  <c r="AT370" i="2"/>
  <c r="AT374" i="2" s="1"/>
  <c r="AV370" i="2"/>
  <c r="AV374" i="2" s="1"/>
  <c r="AP87" i="1"/>
  <c r="AU370" i="2" l="1"/>
  <c r="AU374" i="2" s="1"/>
  <c r="AU87" i="1" s="1"/>
  <c r="AT87" i="1"/>
  <c r="AS87" i="1"/>
  <c r="AV87" i="1" l="1"/>
  <c r="N338" i="2" l="1"/>
  <c r="N337" i="2" s="1"/>
  <c r="N360" i="2"/>
  <c r="N359" i="2" s="1"/>
  <c r="N374" i="2"/>
  <c r="N373" i="2" s="1"/>
  <c r="N407" i="2"/>
  <c r="Q409" i="2" s="1"/>
  <c r="O417" i="2"/>
  <c r="O422" i="2" s="1"/>
  <c r="P422" i="2" s="1"/>
  <c r="O98" i="1"/>
  <c r="N98" i="1" s="1"/>
  <c r="T21" i="4"/>
  <c r="N408" i="2" l="1"/>
  <c r="N411" i="2"/>
  <c r="O418" i="2"/>
  <c r="N467" i="2"/>
  <c r="Q422" i="2"/>
  <c r="R422" i="2" s="1"/>
  <c r="P417" i="2"/>
  <c r="P418" i="2" l="1"/>
  <c r="P424" i="2" s="1"/>
  <c r="P93" i="1"/>
  <c r="S422" i="2"/>
  <c r="R417" i="2"/>
  <c r="Q417" i="2" l="1"/>
  <c r="R418" i="2"/>
  <c r="R424" i="2" s="1"/>
  <c r="S417" i="2"/>
  <c r="T422" i="2"/>
  <c r="U422" i="2" s="1"/>
  <c r="P98" i="1"/>
  <c r="P126" i="1" a="1"/>
  <c r="P126" i="1" s="1"/>
  <c r="U417" i="2" l="1"/>
  <c r="V422" i="2"/>
  <c r="S418" i="2"/>
  <c r="S424" i="2" s="1"/>
  <c r="S93" i="1"/>
  <c r="H16" i="3"/>
  <c r="H17" i="3" s="1"/>
  <c r="Q418" i="2"/>
  <c r="Q424" i="2" s="1"/>
  <c r="Q93" i="1"/>
  <c r="S98" i="1" l="1"/>
  <c r="W422" i="2"/>
  <c r="X422" i="2" s="1"/>
  <c r="V417" i="2"/>
  <c r="Q98" i="1"/>
  <c r="R93" i="1"/>
  <c r="Q126" i="1" a="1"/>
  <c r="Q126" i="1" s="1"/>
  <c r="T417" i="2"/>
  <c r="U418" i="2"/>
  <c r="U424" i="2" s="1"/>
  <c r="T418" i="2" l="1"/>
  <c r="T424" i="2" s="1"/>
  <c r="T93" i="1"/>
  <c r="R98" i="1"/>
  <c r="U21" i="4"/>
  <c r="V418" i="2"/>
  <c r="V424" i="2" s="1"/>
  <c r="V93" i="1"/>
  <c r="S126" i="1" a="1"/>
  <c r="S126" i="1" s="1"/>
  <c r="I16" i="3"/>
  <c r="I17" i="3" s="1"/>
  <c r="R126" i="1"/>
  <c r="Y422" i="2"/>
  <c r="X417" i="2"/>
  <c r="W417" i="2" l="1"/>
  <c r="X418" i="2"/>
  <c r="X424" i="2" s="1"/>
  <c r="V98" i="1"/>
  <c r="T98" i="1"/>
  <c r="U93" i="1"/>
  <c r="V126" i="1" s="1" a="1"/>
  <c r="V126" i="1" s="1"/>
  <c r="T126" i="1" a="1"/>
  <c r="T126" i="1" s="1"/>
  <c r="Y417" i="2"/>
  <c r="Z422" i="2"/>
  <c r="AA422" i="2" s="1"/>
  <c r="U34" i="4"/>
  <c r="W418" i="2" l="1"/>
  <c r="W424" i="2" s="1"/>
  <c r="W93" i="1"/>
  <c r="AA417" i="2"/>
  <c r="AB422" i="2"/>
  <c r="Y418" i="2"/>
  <c r="Y424" i="2" s="1"/>
  <c r="Y93" i="1"/>
  <c r="U98" i="1"/>
  <c r="V21" i="4"/>
  <c r="J16" i="3"/>
  <c r="J17" i="3" s="1"/>
  <c r="U126" i="1"/>
  <c r="AC422" i="2" l="1"/>
  <c r="AD422" i="2" s="1"/>
  <c r="AB417" i="2"/>
  <c r="Z417" i="2"/>
  <c r="AA418" i="2"/>
  <c r="AA424" i="2" s="1"/>
  <c r="V34" i="4"/>
  <c r="Y98" i="1"/>
  <c r="X93" i="1"/>
  <c r="W98" i="1"/>
  <c r="W126" i="1" a="1"/>
  <c r="W126" i="1" s="1"/>
  <c r="X126" i="1" l="1"/>
  <c r="Z418" i="2"/>
  <c r="Z424" i="2" s="1"/>
  <c r="Z93" i="1"/>
  <c r="AB418" i="2"/>
  <c r="AB424" i="2" s="1"/>
  <c r="AB93" i="1"/>
  <c r="AE422" i="2"/>
  <c r="AD417" i="2"/>
  <c r="X98" i="1"/>
  <c r="W21" i="4"/>
  <c r="Y126" i="1" a="1"/>
  <c r="Y126" i="1" s="1"/>
  <c r="K16" i="3"/>
  <c r="K17" i="3" s="1"/>
  <c r="AC417" i="2" l="1"/>
  <c r="AD418" i="2"/>
  <c r="AD424" i="2" s="1"/>
  <c r="AB98" i="1"/>
  <c r="AE417" i="2"/>
  <c r="AF422" i="2"/>
  <c r="AG422" i="2" s="1"/>
  <c r="W34" i="4"/>
  <c r="AA93" i="1"/>
  <c r="AA98" i="1" s="1"/>
  <c r="Z126" i="1" a="1"/>
  <c r="Z126" i="1" s="1"/>
  <c r="Z98" i="1"/>
  <c r="AB126" i="1" l="1" a="1"/>
  <c r="AB126" i="1" s="1"/>
  <c r="L16" i="3"/>
  <c r="L17" i="3" s="1"/>
  <c r="AC418" i="2"/>
  <c r="AC424" i="2" s="1"/>
  <c r="AC93" i="1"/>
  <c r="AG417" i="2"/>
  <c r="AH422" i="2"/>
  <c r="AA126" i="1"/>
  <c r="AE418" i="2"/>
  <c r="AE424" i="2" s="1"/>
  <c r="AE93" i="1"/>
  <c r="AE98" i="1" l="1"/>
  <c r="AC98" i="1"/>
  <c r="AD93" i="1"/>
  <c r="AD98" i="1" s="1"/>
  <c r="AC126" i="1" a="1"/>
  <c r="AC126" i="1" s="1"/>
  <c r="AF417" i="2"/>
  <c r="AG418" i="2"/>
  <c r="AG424" i="2" s="1"/>
  <c r="AI422" i="2"/>
  <c r="AJ422" i="2" s="1"/>
  <c r="AH417" i="2"/>
  <c r="AH418" i="2" l="1"/>
  <c r="AH424" i="2" s="1"/>
  <c r="AH93" i="1"/>
  <c r="M16" i="3"/>
  <c r="M17" i="3" s="1"/>
  <c r="AK422" i="2"/>
  <c r="AJ417" i="2"/>
  <c r="AF418" i="2"/>
  <c r="AF424" i="2" s="1"/>
  <c r="AF93" i="1"/>
  <c r="AE126" i="1" a="1"/>
  <c r="AE126" i="1" s="1"/>
  <c r="AD126" i="1"/>
  <c r="AF98" i="1" l="1"/>
  <c r="AG93" i="1"/>
  <c r="AG98" i="1" s="1"/>
  <c r="AF126" i="1" a="1"/>
  <c r="AF126" i="1" s="1"/>
  <c r="AG126" i="1" s="1"/>
  <c r="AH98" i="1"/>
  <c r="AI417" i="2"/>
  <c r="AJ418" i="2"/>
  <c r="AJ424" i="2" s="1"/>
  <c r="AK417" i="2"/>
  <c r="AL422" i="2"/>
  <c r="AM422" i="2" s="1"/>
  <c r="AH126" i="1" l="1" a="1"/>
  <c r="AH126" i="1" s="1"/>
  <c r="AM417" i="2"/>
  <c r="AN422" i="2"/>
  <c r="AK418" i="2"/>
  <c r="AK424" i="2" s="1"/>
  <c r="AK93" i="1"/>
  <c r="N16" i="3"/>
  <c r="N17" i="3" s="1"/>
  <c r="AI418" i="2"/>
  <c r="AI424" i="2" s="1"/>
  <c r="AI93" i="1"/>
  <c r="AO422" i="2" l="1"/>
  <c r="AP422" i="2" s="1"/>
  <c r="AN417" i="2"/>
  <c r="AM418" i="2"/>
  <c r="AM424" i="2" s="1"/>
  <c r="AL417" i="2"/>
  <c r="AJ93" i="1"/>
  <c r="AJ98" i="1" s="1"/>
  <c r="AI98" i="1"/>
  <c r="AI126" i="1" a="1"/>
  <c r="AI126" i="1" s="1"/>
  <c r="AJ126" i="1" s="1"/>
  <c r="AK98" i="1"/>
  <c r="AK126" i="1" l="1" a="1"/>
  <c r="AK126" i="1" s="1"/>
  <c r="AL418" i="2"/>
  <c r="AL424" i="2" s="1"/>
  <c r="AL93" i="1"/>
  <c r="AN418" i="2"/>
  <c r="AN424" i="2" s="1"/>
  <c r="AN93" i="1"/>
  <c r="O16" i="3"/>
  <c r="O17" i="3" s="1"/>
  <c r="AQ422" i="2"/>
  <c r="AP417" i="2"/>
  <c r="AN98" i="1" l="1"/>
  <c r="AO417" i="2"/>
  <c r="AP418" i="2"/>
  <c r="AP424" i="2" s="1"/>
  <c r="AQ417" i="2"/>
  <c r="AR422" i="2"/>
  <c r="AS422" i="2" s="1"/>
  <c r="AM93" i="1"/>
  <c r="AM98" i="1" s="1"/>
  <c r="AL98" i="1"/>
  <c r="AL126" i="1" a="1"/>
  <c r="AL126" i="1" s="1"/>
  <c r="P16" i="3" l="1"/>
  <c r="P17" i="3" s="1"/>
  <c r="AO418" i="2"/>
  <c r="AO424" i="2" s="1"/>
  <c r="AO93" i="1"/>
  <c r="AS417" i="2"/>
  <c r="AT422" i="2"/>
  <c r="AN126" i="1" a="1"/>
  <c r="AN126" i="1" s="1"/>
  <c r="AM126" i="1"/>
  <c r="AQ418" i="2"/>
  <c r="AQ424" i="2" s="1"/>
  <c r="AQ93" i="1"/>
  <c r="AQ98" i="1" l="1"/>
  <c r="AU422" i="2"/>
  <c r="AV422" i="2" s="1"/>
  <c r="AV417" i="2" s="1"/>
  <c r="AT417" i="2"/>
  <c r="AO98" i="1"/>
  <c r="AP93" i="1"/>
  <c r="AP98" i="1" s="1"/>
  <c r="AO126" i="1" a="1"/>
  <c r="AO126" i="1" s="1"/>
  <c r="AP126" i="1" s="1"/>
  <c r="AR417" i="2"/>
  <c r="AS418" i="2"/>
  <c r="AS424" i="2" s="1"/>
  <c r="AQ126" i="1" l="1" a="1"/>
  <c r="AQ126" i="1" s="1"/>
  <c r="Q16" i="3"/>
  <c r="Q17" i="3" s="1"/>
  <c r="AR418" i="2"/>
  <c r="AR424" i="2" s="1"/>
  <c r="AR93" i="1"/>
  <c r="AT418" i="2"/>
  <c r="AT424" i="2" s="1"/>
  <c r="AT93" i="1"/>
  <c r="AU417" i="2"/>
  <c r="AV418" i="2"/>
  <c r="AV424" i="2" s="1"/>
  <c r="R16" i="3" s="1"/>
  <c r="R17" i="3" s="1"/>
  <c r="S17" i="3" s="1"/>
  <c r="AU418" i="2" l="1"/>
  <c r="AU424" i="2" s="1"/>
  <c r="AU93" i="1"/>
  <c r="AR98" i="1"/>
  <c r="AS93" i="1"/>
  <c r="AS98" i="1" s="1"/>
  <c r="AR126" i="1" a="1"/>
  <c r="AR126" i="1" s="1"/>
  <c r="T17" i="3"/>
  <c r="S16" i="3"/>
  <c r="AT98" i="1"/>
  <c r="AT126" i="1" l="1" a="1"/>
  <c r="AT126" i="1" s="1"/>
  <c r="AV93" i="1"/>
  <c r="AV98" i="1" s="1"/>
  <c r="AU98" i="1"/>
  <c r="AU126" i="1" a="1"/>
  <c r="AU126" i="1" s="1"/>
  <c r="U17" i="3"/>
  <c r="T16" i="3"/>
  <c r="AS126" i="1"/>
  <c r="U16" i="3" l="1"/>
  <c r="V17" i="3"/>
  <c r="AV126" i="1"/>
  <c r="V16" i="3" l="1"/>
  <c r="W17" i="3"/>
  <c r="X17" i="3" l="1"/>
  <c r="W16" i="3"/>
  <c r="Y17" i="3" l="1"/>
  <c r="X16" i="3"/>
  <c r="Y16" i="3" l="1"/>
  <c r="Z17" i="3"/>
  <c r="Z16" i="3" l="1"/>
  <c r="AA17" i="3"/>
  <c r="AB17" i="3" l="1"/>
  <c r="AB16" i="3" s="1"/>
  <c r="AA16" i="3"/>
  <c r="N417" i="2" l="1"/>
  <c r="N126" i="1" a="1"/>
  <c r="N126" i="1" s="1"/>
  <c r="N424" i="2" l="1"/>
  <c r="O126" i="1"/>
  <c r="N418" i="2"/>
  <c r="N422" i="2"/>
  <c r="O424" i="2" l="1"/>
  <c r="T34" i="4"/>
  <c r="T22" i="4" l="1"/>
  <c r="R464" i="2"/>
  <c r="O105" i="1"/>
  <c r="O106" i="1" l="1"/>
  <c r="T24" i="4" s="1"/>
  <c r="T23" i="4" s="1"/>
  <c r="N105" i="1"/>
  <c r="U464" i="2"/>
  <c r="O115" i="1" l="1"/>
  <c r="O116" i="1"/>
  <c r="N106" i="1"/>
  <c r="O108" i="1"/>
  <c r="X464" i="2"/>
  <c r="N108" i="1" l="1"/>
  <c r="T26" i="4"/>
  <c r="AA464" i="2"/>
  <c r="AD464" i="2" l="1"/>
  <c r="AG464" i="2" l="1"/>
  <c r="AJ464" i="2" l="1"/>
  <c r="AM464" i="2" l="1"/>
  <c r="AP464" i="2" l="1"/>
  <c r="AS464" i="2" l="1"/>
  <c r="AV464" i="2" l="1"/>
  <c r="N438" i="2"/>
  <c r="N464" i="2"/>
  <c r="N115" i="1"/>
  <c r="N116" i="1"/>
  <c r="N437" i="2" l="1"/>
  <c r="O437" i="2" s="1"/>
  <c r="O438" i="2" s="1"/>
  <c r="P436" i="2" l="1"/>
  <c r="P438" i="2" s="1"/>
  <c r="R436" i="2"/>
  <c r="R438" i="2" s="1"/>
  <c r="U436" i="2" l="1"/>
  <c r="U438" i="2" s="1"/>
  <c r="S436" i="2"/>
  <c r="S438" i="2" s="1"/>
  <c r="Q436" i="2"/>
  <c r="Q438" i="2" s="1"/>
  <c r="T436" i="2" l="1"/>
  <c r="T438" i="2" s="1"/>
  <c r="X436" i="2"/>
  <c r="X438" i="2" s="1"/>
  <c r="V436" i="2"/>
  <c r="V438" i="2" s="1"/>
  <c r="Y436" i="2" l="1"/>
  <c r="Y438" i="2" s="1"/>
  <c r="AA436" i="2"/>
  <c r="AA438" i="2" s="1"/>
  <c r="W436" i="2"/>
  <c r="W438" i="2" s="1"/>
  <c r="AB436" i="2" l="1"/>
  <c r="AB438" i="2" s="1"/>
  <c r="AD436" i="2"/>
  <c r="AD438" i="2" s="1"/>
  <c r="Z436" i="2"/>
  <c r="Z438" i="2" s="1"/>
  <c r="AG436" i="2" l="1"/>
  <c r="AG438" i="2" s="1"/>
  <c r="AE436" i="2"/>
  <c r="AE438" i="2" s="1"/>
  <c r="AC436" i="2"/>
  <c r="AC438" i="2" s="1"/>
  <c r="AF436" i="2" l="1"/>
  <c r="AF438" i="2" s="1"/>
  <c r="AJ436" i="2"/>
  <c r="AJ438" i="2" s="1"/>
  <c r="AH436" i="2"/>
  <c r="AH438" i="2" s="1"/>
  <c r="AK436" i="2" l="1"/>
  <c r="AK438" i="2" s="1"/>
  <c r="AM436" i="2"/>
  <c r="AM438" i="2" s="1"/>
  <c r="AI436" i="2"/>
  <c r="AI438" i="2" s="1"/>
  <c r="AN436" i="2" l="1"/>
  <c r="AN438" i="2" s="1"/>
  <c r="AP436" i="2"/>
  <c r="AP438" i="2" s="1"/>
  <c r="AL436" i="2"/>
  <c r="AL438" i="2" s="1"/>
  <c r="AS436" i="2" l="1"/>
  <c r="AS438" i="2" s="1"/>
  <c r="AQ436" i="2"/>
  <c r="AQ438" i="2" s="1"/>
  <c r="AO436" i="2"/>
  <c r="AO438" i="2" s="1"/>
  <c r="AR436" i="2" l="1"/>
  <c r="AR438" i="2" s="1"/>
  <c r="AV436" i="2"/>
  <c r="AV438" i="2" s="1"/>
  <c r="AT436" i="2"/>
  <c r="AT438" i="2" s="1"/>
  <c r="AU436" i="2" l="1"/>
  <c r="AU438" i="2" s="1"/>
  <c r="O127" i="1"/>
  <c r="N127" i="1" s="1"/>
  <c r="T37" i="4"/>
  <c r="N152" i="1"/>
  <c r="O152" i="1"/>
  <c r="O155" i="1" s="1"/>
  <c r="N167" i="1"/>
  <c r="O167" i="1"/>
  <c r="T43" i="4"/>
  <c r="T45" i="4"/>
  <c r="N155" i="1" l="1"/>
  <c r="N156" i="1" s="1"/>
  <c r="T46" i="4"/>
  <c r="T44" i="4"/>
  <c r="O156" i="1"/>
  <c r="N400" i="2" l="1"/>
  <c r="R399" i="2"/>
  <c r="K400" i="2" l="1"/>
  <c r="L401" i="2"/>
  <c r="M399" i="2" s="1"/>
  <c r="M400" i="2" s="1"/>
  <c r="O399" i="2" l="1"/>
  <c r="O400" i="2" s="1"/>
  <c r="L400" i="2"/>
  <c r="P356" i="2" l="1"/>
  <c r="P360" i="2" s="1"/>
  <c r="Q355" i="2" s="1"/>
  <c r="P362" i="2"/>
  <c r="R362" i="2"/>
  <c r="P389" i="2"/>
  <c r="P288" i="2" s="1"/>
  <c r="P290" i="2" s="1"/>
  <c r="Q389" i="2"/>
  <c r="Q288" i="2" s="1"/>
  <c r="Q290" i="2" s="1"/>
  <c r="R288" i="2"/>
  <c r="R290" i="2" s="1"/>
  <c r="H10" i="3" s="1"/>
  <c r="H11" i="3" s="1"/>
  <c r="P33" i="1"/>
  <c r="P35" i="1" s="1"/>
  <c r="P124" i="1" s="1"/>
  <c r="Q33" i="1"/>
  <c r="Q35" i="1" s="1"/>
  <c r="Q38" i="1" s="1"/>
  <c r="Q40" i="1" s="1"/>
  <c r="R35" i="1"/>
  <c r="R38" i="1" s="1"/>
  <c r="Q124" i="1" l="1"/>
  <c r="R124" i="1" s="1"/>
  <c r="U33" i="4" s="1"/>
  <c r="Q123" i="1"/>
  <c r="P85" i="1"/>
  <c r="P89" i="1" s="1"/>
  <c r="K30" i="4"/>
  <c r="K31" i="4"/>
  <c r="P38" i="1"/>
  <c r="P40" i="1" s="1"/>
  <c r="I12" i="3"/>
  <c r="H12" i="3"/>
  <c r="U39" i="1"/>
  <c r="T39" i="1"/>
  <c r="R40" i="1"/>
  <c r="Q356" i="2"/>
  <c r="U52" i="4" l="1"/>
  <c r="L32" i="4"/>
  <c r="P39" i="1"/>
  <c r="P123" i="1"/>
  <c r="R123" i="1" s="1"/>
  <c r="S39" i="1"/>
  <c r="R356" i="2"/>
  <c r="R360" i="2" s="1"/>
  <c r="Q360" i="2"/>
  <c r="Q85" i="1" s="1"/>
  <c r="R85" i="1" l="1"/>
  <c r="R89" i="1" s="1"/>
  <c r="Q89" i="1"/>
  <c r="U32" i="4"/>
  <c r="S355" i="2"/>
  <c r="S356" i="2" s="1"/>
  <c r="U355" i="2"/>
  <c r="S360" i="2" l="1"/>
  <c r="R91" i="1"/>
  <c r="T355" i="2" l="1"/>
  <c r="T356" i="2" s="1"/>
  <c r="S85" i="1"/>
  <c r="S89" i="1" s="1"/>
  <c r="U356" i="2" l="1"/>
  <c r="U360" i="2" s="1"/>
  <c r="T360" i="2"/>
  <c r="T85" i="1" s="1"/>
  <c r="U85" i="1" l="1"/>
  <c r="U89" i="1" s="1"/>
  <c r="T89" i="1"/>
  <c r="X355" i="2"/>
  <c r="V355" i="2"/>
  <c r="V356" i="2" s="1"/>
  <c r="V360" i="2" l="1"/>
  <c r="U91" i="1"/>
  <c r="W355" i="2" l="1"/>
  <c r="W356" i="2" s="1"/>
  <c r="X356" i="2" s="1"/>
  <c r="V85" i="1"/>
  <c r="V89" i="1" s="1"/>
  <c r="W360" i="2" l="1"/>
  <c r="W85" i="1" s="1"/>
  <c r="X85" i="1" l="1"/>
  <c r="X89" i="1" s="1"/>
  <c r="W89" i="1"/>
  <c r="X360" i="2"/>
  <c r="Y355" i="2" l="1"/>
  <c r="Y356" i="2" s="1"/>
  <c r="AA355" i="2"/>
  <c r="X91" i="1"/>
  <c r="Y360" i="2" l="1"/>
  <c r="Z355" i="2" l="1"/>
  <c r="Z356" i="2" s="1"/>
  <c r="AA356" i="2" s="1"/>
  <c r="Y85" i="1"/>
  <c r="Y89" i="1" s="1"/>
  <c r="Z360" i="2" l="1"/>
  <c r="Z85" i="1" s="1"/>
  <c r="AA85" i="1" l="1"/>
  <c r="AA89" i="1" s="1"/>
  <c r="Z89" i="1"/>
  <c r="AA360" i="2"/>
  <c r="AB355" i="2" l="1"/>
  <c r="AB356" i="2" s="1"/>
  <c r="AD355" i="2"/>
  <c r="AA91" i="1"/>
  <c r="AB360" i="2" l="1"/>
  <c r="AC355" i="2" l="1"/>
  <c r="AC356" i="2" s="1"/>
  <c r="AD356" i="2" s="1"/>
  <c r="AB85" i="1"/>
  <c r="AB89" i="1" s="1"/>
  <c r="AC360" i="2" l="1"/>
  <c r="AC85" i="1" s="1"/>
  <c r="AC89" i="1" l="1"/>
  <c r="AD85" i="1"/>
  <c r="AD89" i="1" s="1"/>
  <c r="AD360" i="2"/>
  <c r="AG355" i="2" l="1"/>
  <c r="AE355" i="2"/>
  <c r="AE356" i="2" s="1"/>
  <c r="AD91" i="1"/>
  <c r="AE360" i="2" l="1"/>
  <c r="AF355" i="2" l="1"/>
  <c r="AF356" i="2" s="1"/>
  <c r="AG356" i="2" s="1"/>
  <c r="AE85" i="1"/>
  <c r="AE89" i="1" s="1"/>
  <c r="AF360" i="2" l="1"/>
  <c r="AF85" i="1" s="1"/>
  <c r="AG85" i="1" l="1"/>
  <c r="AG89" i="1" s="1"/>
  <c r="AF89" i="1"/>
  <c r="AG360" i="2"/>
  <c r="AH355" i="2" l="1"/>
  <c r="AH356" i="2" s="1"/>
  <c r="AJ355" i="2"/>
  <c r="AG91" i="1"/>
  <c r="AH360" i="2" l="1"/>
  <c r="AI355" i="2" l="1"/>
  <c r="AI356" i="2" s="1"/>
  <c r="AJ356" i="2" s="1"/>
  <c r="AH85" i="1"/>
  <c r="AH89" i="1" s="1"/>
  <c r="AI360" i="2" l="1"/>
  <c r="AI85" i="1" s="1"/>
  <c r="AJ85" i="1" l="1"/>
  <c r="AJ89" i="1" s="1"/>
  <c r="AI89" i="1"/>
  <c r="AJ360" i="2"/>
  <c r="AM355" i="2" l="1"/>
  <c r="AK355" i="2"/>
  <c r="AK356" i="2" s="1"/>
  <c r="AJ91" i="1"/>
  <c r="AK360" i="2" l="1"/>
  <c r="AL355" i="2" l="1"/>
  <c r="AL356" i="2" s="1"/>
  <c r="AM356" i="2" s="1"/>
  <c r="AK85" i="1"/>
  <c r="AK89" i="1" s="1"/>
  <c r="AL360" i="2" l="1"/>
  <c r="AL85" i="1" s="1"/>
  <c r="AL89" i="1" l="1"/>
  <c r="AM85" i="1"/>
  <c r="AM89" i="1" s="1"/>
  <c r="AM360" i="2"/>
  <c r="AP355" i="2" l="1"/>
  <c r="AN355" i="2"/>
  <c r="AN356" i="2" s="1"/>
  <c r="AM91" i="1"/>
  <c r="AN360" i="2" l="1"/>
  <c r="AO355" i="2" l="1"/>
  <c r="AO356" i="2" s="1"/>
  <c r="AP356" i="2" s="1"/>
  <c r="AN85" i="1"/>
  <c r="AN89" i="1" s="1"/>
  <c r="AO360" i="2" l="1"/>
  <c r="AO85" i="1" s="1"/>
  <c r="AP85" i="1" l="1"/>
  <c r="AP89" i="1" s="1"/>
  <c r="AO89" i="1"/>
  <c r="AP360" i="2"/>
  <c r="AQ355" i="2" l="1"/>
  <c r="AQ356" i="2" s="1"/>
  <c r="AS355" i="2"/>
  <c r="AP91" i="1"/>
  <c r="AQ360" i="2" l="1"/>
  <c r="AR355" i="2" l="1"/>
  <c r="AR356" i="2" s="1"/>
  <c r="AS356" i="2" s="1"/>
  <c r="AQ85" i="1"/>
  <c r="AQ89" i="1" s="1"/>
  <c r="AR360" i="2" l="1"/>
  <c r="AR85" i="1" s="1"/>
  <c r="AS85" i="1" l="1"/>
  <c r="AS89" i="1" s="1"/>
  <c r="AR89" i="1"/>
  <c r="AS360" i="2"/>
  <c r="AT355" i="2" l="1"/>
  <c r="AT356" i="2" s="1"/>
  <c r="AV355" i="2"/>
  <c r="AS91" i="1"/>
  <c r="AT360" i="2" l="1"/>
  <c r="AU355" i="2" l="1"/>
  <c r="AU356" i="2" s="1"/>
  <c r="AV356" i="2" s="1"/>
  <c r="AT85" i="1"/>
  <c r="AT89" i="1" s="1"/>
  <c r="AV360" i="2" l="1"/>
  <c r="AU360" i="2"/>
  <c r="AU85" i="1" s="1"/>
  <c r="AV85" i="1" l="1"/>
  <c r="AV89" i="1" s="1"/>
  <c r="AU89" i="1"/>
  <c r="AV91" i="1" l="1"/>
  <c r="T32" i="4" l="1"/>
  <c r="T36" i="4" s="1"/>
  <c r="N26" i="1"/>
  <c r="O26" i="1"/>
  <c r="Q26" i="1"/>
  <c r="R26" i="1"/>
  <c r="N29" i="1"/>
  <c r="N31" i="1" s="1"/>
  <c r="O29" i="1"/>
  <c r="R30" i="1" s="1"/>
  <c r="J28" i="4"/>
  <c r="T51" i="4" s="1"/>
  <c r="O38" i="1" l="1"/>
  <c r="J31" i="4" s="1"/>
  <c r="J32" i="4" s="1"/>
  <c r="N30" i="1"/>
  <c r="O30" i="1"/>
  <c r="O31" i="1"/>
  <c r="M33" i="4"/>
  <c r="T52" i="4"/>
  <c r="K32" i="4"/>
  <c r="R39" i="1"/>
  <c r="O39" i="1"/>
  <c r="O40" i="1"/>
  <c r="N38" i="1"/>
  <c r="O47" i="1"/>
  <c r="Q30" i="1"/>
  <c r="O54" i="1" l="1"/>
  <c r="J36" i="4"/>
  <c r="N40" i="1"/>
  <c r="N47" i="1"/>
  <c r="N54" i="1" s="1"/>
  <c r="N39" i="1"/>
  <c r="Q39" i="1"/>
  <c r="N55" i="1" l="1"/>
  <c r="N59" i="1"/>
  <c r="N479" i="2" s="1"/>
  <c r="N58" i="1"/>
  <c r="O55" i="1"/>
  <c r="Q55" i="1" s="1"/>
  <c r="R55" i="1" s="1"/>
  <c r="S55" i="1" s="1"/>
  <c r="T55" i="1" s="1"/>
  <c r="U55" i="1" s="1"/>
  <c r="V55" i="1" s="1"/>
  <c r="W55" i="1" s="1"/>
  <c r="X55" i="1" s="1"/>
  <c r="Y55" i="1" s="1"/>
  <c r="Z55" i="1" s="1"/>
  <c r="AA55" i="1" s="1"/>
  <c r="AB55" i="1" s="1"/>
  <c r="AC55" i="1" s="1"/>
  <c r="AD55" i="1" s="1"/>
  <c r="AE55" i="1" s="1"/>
  <c r="AF55" i="1" s="1"/>
  <c r="AG55" i="1" s="1"/>
  <c r="AH55" i="1" s="1"/>
  <c r="AI55" i="1" s="1"/>
  <c r="AJ55" i="1" s="1"/>
  <c r="AK55" i="1" s="1"/>
  <c r="AL55" i="1" s="1"/>
  <c r="AM55" i="1" s="1"/>
  <c r="AN55" i="1" s="1"/>
  <c r="AO55" i="1" s="1"/>
  <c r="AP55" i="1" s="1"/>
  <c r="AQ55" i="1" s="1"/>
  <c r="AR55" i="1" s="1"/>
  <c r="AS55" i="1" s="1"/>
  <c r="AT55" i="1" s="1"/>
  <c r="AU55" i="1" s="1"/>
  <c r="AV55" i="1" s="1"/>
  <c r="O59" i="1"/>
  <c r="O58" i="1"/>
  <c r="J38" i="4"/>
  <c r="O479" i="2" l="1"/>
  <c r="J44" i="4"/>
  <c r="T53" i="4"/>
  <c r="T56" i="4"/>
  <c r="J42" i="4"/>
  <c r="J39" i="4"/>
  <c r="T55" i="4"/>
  <c r="J45" i="4" l="1"/>
  <c r="T61" i="4"/>
  <c r="P292" i="2" l="1"/>
  <c r="Q292" i="2"/>
  <c r="R292" i="2"/>
  <c r="S292" i="2"/>
  <c r="T292" i="2"/>
  <c r="U292" i="2"/>
  <c r="V292" i="2"/>
  <c r="W292" i="2"/>
  <c r="X292" i="2"/>
  <c r="Y292" i="2"/>
  <c r="Z292" i="2"/>
  <c r="AA292" i="2"/>
  <c r="AB292" i="2"/>
  <c r="AC292" i="2"/>
  <c r="AD292" i="2"/>
  <c r="AE292" i="2"/>
  <c r="AF292" i="2"/>
  <c r="AG292" i="2"/>
  <c r="AH292" i="2"/>
  <c r="AI292" i="2"/>
  <c r="AJ292" i="2"/>
  <c r="AK292" i="2"/>
  <c r="AL292" i="2"/>
  <c r="AM292" i="2"/>
  <c r="AN292" i="2"/>
  <c r="AO292" i="2"/>
  <c r="AP292" i="2"/>
  <c r="AQ292" i="2"/>
  <c r="AR292" i="2"/>
  <c r="AS292" i="2"/>
  <c r="AT292" i="2"/>
  <c r="AU292" i="2"/>
  <c r="AV292" i="2"/>
  <c r="P294" i="2"/>
  <c r="Q294" i="2"/>
  <c r="R294" i="2"/>
  <c r="S294" i="2"/>
  <c r="T294" i="2"/>
  <c r="U294" i="2"/>
  <c r="V294" i="2"/>
  <c r="W294" i="2"/>
  <c r="X294" i="2"/>
  <c r="Y294" i="2"/>
  <c r="Z294" i="2"/>
  <c r="AA294" i="2"/>
  <c r="AB294" i="2"/>
  <c r="AC294" i="2"/>
  <c r="AD294" i="2"/>
  <c r="AE294" i="2"/>
  <c r="AF294" i="2"/>
  <c r="AG294" i="2"/>
  <c r="AH294" i="2"/>
  <c r="AI294" i="2"/>
  <c r="AJ294" i="2"/>
  <c r="AK294" i="2"/>
  <c r="AL294" i="2"/>
  <c r="AM294" i="2"/>
  <c r="AN294" i="2"/>
  <c r="AO294" i="2"/>
  <c r="AP294" i="2"/>
  <c r="AQ294" i="2"/>
  <c r="AR294" i="2"/>
  <c r="AS294" i="2"/>
  <c r="AT294" i="2"/>
  <c r="AU294" i="2"/>
  <c r="AV294" i="2"/>
  <c r="P296" i="2"/>
  <c r="Q296" i="2"/>
  <c r="R296" i="2"/>
  <c r="S296" i="2"/>
  <c r="T296" i="2"/>
  <c r="U296" i="2"/>
  <c r="V296" i="2"/>
  <c r="W296" i="2"/>
  <c r="X296" i="2"/>
  <c r="Y296" i="2"/>
  <c r="Z296" i="2"/>
  <c r="AA296" i="2"/>
  <c r="AB296" i="2"/>
  <c r="AC296" i="2"/>
  <c r="AD296" i="2"/>
  <c r="AE296" i="2"/>
  <c r="AF296" i="2"/>
  <c r="AG296" i="2"/>
  <c r="AH296" i="2"/>
  <c r="AI296" i="2"/>
  <c r="AJ296" i="2"/>
  <c r="AK296" i="2"/>
  <c r="AL296" i="2"/>
  <c r="AM296" i="2"/>
  <c r="AN296" i="2"/>
  <c r="AO296" i="2"/>
  <c r="AP296" i="2"/>
  <c r="AQ296" i="2"/>
  <c r="AR296" i="2"/>
  <c r="AS296" i="2"/>
  <c r="AT296" i="2"/>
  <c r="AU296" i="2"/>
  <c r="AV296" i="2"/>
  <c r="P306" i="2"/>
  <c r="Q306" i="2"/>
  <c r="R306" i="2"/>
  <c r="S306" i="2"/>
  <c r="T306" i="2"/>
  <c r="U306" i="2"/>
  <c r="V306" i="2"/>
  <c r="W306" i="2"/>
  <c r="X306" i="2"/>
  <c r="Y306" i="2"/>
  <c r="Z306" i="2"/>
  <c r="AA306" i="2"/>
  <c r="AB306" i="2"/>
  <c r="AC306" i="2"/>
  <c r="AD306" i="2"/>
  <c r="AE306" i="2"/>
  <c r="AF306" i="2"/>
  <c r="AG306" i="2"/>
  <c r="AH306" i="2"/>
  <c r="AI306" i="2"/>
  <c r="AJ306" i="2"/>
  <c r="AK306" i="2"/>
  <c r="AL306" i="2"/>
  <c r="AM306" i="2"/>
  <c r="AN306" i="2"/>
  <c r="AO306" i="2"/>
  <c r="AP306" i="2"/>
  <c r="AQ306" i="2"/>
  <c r="AR306" i="2"/>
  <c r="AS306" i="2"/>
  <c r="AT306" i="2"/>
  <c r="AU306" i="2"/>
  <c r="AV306" i="2"/>
  <c r="P307" i="2"/>
  <c r="Q307" i="2"/>
  <c r="R307" i="2"/>
  <c r="S307" i="2"/>
  <c r="T307" i="2"/>
  <c r="U307" i="2"/>
  <c r="V307" i="2"/>
  <c r="W307" i="2"/>
  <c r="X307" i="2"/>
  <c r="Y307" i="2"/>
  <c r="Z307" i="2"/>
  <c r="AA307" i="2"/>
  <c r="AB307" i="2"/>
  <c r="AC307" i="2"/>
  <c r="AD307" i="2"/>
  <c r="AE307" i="2"/>
  <c r="AF307" i="2"/>
  <c r="AG307" i="2"/>
  <c r="AH307" i="2"/>
  <c r="AI307" i="2"/>
  <c r="AJ307" i="2"/>
  <c r="AK307" i="2"/>
  <c r="AL307" i="2"/>
  <c r="AM307" i="2"/>
  <c r="AN307" i="2"/>
  <c r="AO307" i="2"/>
  <c r="AP307" i="2"/>
  <c r="AQ307" i="2"/>
  <c r="AR307" i="2"/>
  <c r="AS307" i="2"/>
  <c r="AT307" i="2"/>
  <c r="AU307" i="2"/>
  <c r="AV307" i="2"/>
  <c r="P308" i="2"/>
  <c r="Q308" i="2"/>
  <c r="R308" i="2"/>
  <c r="S308" i="2"/>
  <c r="T308" i="2"/>
  <c r="U308" i="2"/>
  <c r="V308" i="2"/>
  <c r="W308" i="2"/>
  <c r="X308" i="2"/>
  <c r="Y308" i="2"/>
  <c r="Z308" i="2"/>
  <c r="AA308" i="2"/>
  <c r="AB308" i="2"/>
  <c r="AC308" i="2"/>
  <c r="AD308" i="2"/>
  <c r="AE308" i="2"/>
  <c r="AF308" i="2"/>
  <c r="AG308" i="2"/>
  <c r="AH308" i="2"/>
  <c r="AI308" i="2"/>
  <c r="AJ308" i="2"/>
  <c r="AK308" i="2"/>
  <c r="AL308" i="2"/>
  <c r="AM308" i="2"/>
  <c r="AN308" i="2"/>
  <c r="AO308" i="2"/>
  <c r="AP308" i="2"/>
  <c r="AQ308" i="2"/>
  <c r="AR308" i="2"/>
  <c r="AS308" i="2"/>
  <c r="AT308" i="2"/>
  <c r="AU308" i="2"/>
  <c r="AV308" i="2"/>
  <c r="P313" i="2"/>
  <c r="Q313" i="2"/>
  <c r="R313" i="2"/>
  <c r="S313" i="2"/>
  <c r="T313" i="2"/>
  <c r="U313" i="2"/>
  <c r="V313" i="2"/>
  <c r="W313" i="2"/>
  <c r="X313" i="2"/>
  <c r="Y313" i="2"/>
  <c r="Z313" i="2"/>
  <c r="AA313" i="2"/>
  <c r="AB313" i="2"/>
  <c r="AC313" i="2"/>
  <c r="AD313" i="2"/>
  <c r="AE313" i="2"/>
  <c r="AF313" i="2"/>
  <c r="AG313" i="2"/>
  <c r="AH313" i="2"/>
  <c r="AI313" i="2"/>
  <c r="AJ313" i="2"/>
  <c r="AK313" i="2"/>
  <c r="AL313" i="2"/>
  <c r="AM313" i="2"/>
  <c r="AN313" i="2"/>
  <c r="AO313" i="2"/>
  <c r="AP313" i="2"/>
  <c r="AQ313" i="2"/>
  <c r="AR313" i="2"/>
  <c r="AS313" i="2"/>
  <c r="AT313" i="2"/>
  <c r="AU313" i="2"/>
  <c r="AV313" i="2"/>
  <c r="P315" i="2"/>
  <c r="Q315" i="2"/>
  <c r="R315" i="2"/>
  <c r="S315" i="2"/>
  <c r="T315" i="2"/>
  <c r="U315" i="2"/>
  <c r="V315" i="2"/>
  <c r="W315" i="2"/>
  <c r="X315" i="2"/>
  <c r="Y315" i="2"/>
  <c r="Z315" i="2"/>
  <c r="AA315" i="2"/>
  <c r="AB315" i="2"/>
  <c r="AC315" i="2"/>
  <c r="AD315" i="2"/>
  <c r="AE315" i="2"/>
  <c r="AF315" i="2"/>
  <c r="AG315" i="2"/>
  <c r="AH315" i="2"/>
  <c r="AI315" i="2"/>
  <c r="AJ315" i="2"/>
  <c r="AK315" i="2"/>
  <c r="AL315" i="2"/>
  <c r="AM315" i="2"/>
  <c r="AN315" i="2"/>
  <c r="AO315" i="2"/>
  <c r="AP315" i="2"/>
  <c r="AQ315" i="2"/>
  <c r="AR315" i="2"/>
  <c r="AS315" i="2"/>
  <c r="AT315" i="2"/>
  <c r="AU315" i="2"/>
  <c r="AV315" i="2"/>
  <c r="Q316" i="2"/>
  <c r="T316" i="2"/>
  <c r="W316" i="2"/>
  <c r="Z316" i="2"/>
  <c r="AC316" i="2"/>
  <c r="AF316" i="2"/>
  <c r="AI316" i="2"/>
  <c r="AL316" i="2"/>
  <c r="AO316" i="2"/>
  <c r="AR316" i="2"/>
  <c r="AU316" i="2"/>
  <c r="Q399" i="2"/>
  <c r="S399" i="2"/>
  <c r="T399" i="2"/>
  <c r="U399" i="2"/>
  <c r="V399" i="2"/>
  <c r="W399" i="2"/>
  <c r="X399" i="2"/>
  <c r="Y399" i="2"/>
  <c r="Z399" i="2"/>
  <c r="AA399" i="2"/>
  <c r="AB399" i="2"/>
  <c r="AC399" i="2"/>
  <c r="AD399" i="2"/>
  <c r="AE399" i="2"/>
  <c r="AF399" i="2"/>
  <c r="AG399" i="2"/>
  <c r="AH399" i="2"/>
  <c r="AI399" i="2"/>
  <c r="AJ399" i="2"/>
  <c r="AK399" i="2"/>
  <c r="AL399" i="2"/>
  <c r="AM399" i="2"/>
  <c r="AN399" i="2"/>
  <c r="AO399" i="2"/>
  <c r="AP399" i="2"/>
  <c r="AQ399" i="2"/>
  <c r="AR399" i="2"/>
  <c r="AS399" i="2"/>
  <c r="AT399" i="2"/>
  <c r="AU399" i="2"/>
  <c r="AV399" i="2"/>
  <c r="P400" i="2"/>
  <c r="Q400" i="2"/>
  <c r="R400" i="2"/>
  <c r="S400" i="2"/>
  <c r="T400" i="2"/>
  <c r="U400" i="2"/>
  <c r="V400" i="2"/>
  <c r="W400" i="2"/>
  <c r="X400" i="2"/>
  <c r="Y400" i="2"/>
  <c r="Z400" i="2"/>
  <c r="AA400" i="2"/>
  <c r="AB400" i="2"/>
  <c r="AC400" i="2"/>
  <c r="AD400" i="2"/>
  <c r="AE400" i="2"/>
  <c r="AF400" i="2"/>
  <c r="AG400" i="2"/>
  <c r="AH400" i="2"/>
  <c r="AI400" i="2"/>
  <c r="AJ400" i="2"/>
  <c r="AK400" i="2"/>
  <c r="AL400" i="2"/>
  <c r="AM400" i="2"/>
  <c r="AN400" i="2"/>
  <c r="AO400" i="2"/>
  <c r="AP400" i="2"/>
  <c r="AQ400" i="2"/>
  <c r="AR400" i="2"/>
  <c r="AS400" i="2"/>
  <c r="AT400" i="2"/>
  <c r="AU400" i="2"/>
  <c r="AV400" i="2"/>
  <c r="P401" i="2"/>
  <c r="Q401" i="2"/>
  <c r="R401" i="2"/>
  <c r="S401" i="2"/>
  <c r="T401" i="2"/>
  <c r="U401" i="2"/>
  <c r="V401" i="2"/>
  <c r="W401" i="2"/>
  <c r="X401" i="2"/>
  <c r="Y401" i="2"/>
  <c r="Z401" i="2"/>
  <c r="AA401" i="2"/>
  <c r="AB401" i="2"/>
  <c r="AC401" i="2"/>
  <c r="AD401" i="2"/>
  <c r="AE401" i="2"/>
  <c r="AF401" i="2"/>
  <c r="AG401" i="2"/>
  <c r="AH401" i="2"/>
  <c r="AI401" i="2"/>
  <c r="AJ401" i="2"/>
  <c r="AK401" i="2"/>
  <c r="AL401" i="2"/>
  <c r="AM401" i="2"/>
  <c r="AN401" i="2"/>
  <c r="AO401" i="2"/>
  <c r="AP401" i="2"/>
  <c r="AQ401" i="2"/>
  <c r="AR401" i="2"/>
  <c r="AS401" i="2"/>
  <c r="AT401" i="2"/>
  <c r="AU401" i="2"/>
  <c r="AV401" i="2"/>
  <c r="M431" i="2"/>
  <c r="N431" i="2"/>
  <c r="O431" i="2"/>
  <c r="P431" i="2"/>
  <c r="Q431" i="2"/>
  <c r="R431" i="2"/>
  <c r="S431" i="2"/>
  <c r="T431" i="2"/>
  <c r="U431" i="2"/>
  <c r="V431" i="2"/>
  <c r="W431" i="2"/>
  <c r="X431" i="2"/>
  <c r="Y431" i="2"/>
  <c r="Z431" i="2"/>
  <c r="AA431" i="2"/>
  <c r="AB431" i="2"/>
  <c r="AC431" i="2"/>
  <c r="AD431" i="2"/>
  <c r="AE431" i="2"/>
  <c r="AF431" i="2"/>
  <c r="AG431" i="2"/>
  <c r="AH431" i="2"/>
  <c r="AI431" i="2"/>
  <c r="AJ431" i="2"/>
  <c r="AK431" i="2"/>
  <c r="AL431" i="2"/>
  <c r="AM431" i="2"/>
  <c r="AN431" i="2"/>
  <c r="AO431" i="2"/>
  <c r="AP431" i="2"/>
  <c r="AQ431" i="2"/>
  <c r="AR431" i="2"/>
  <c r="AS431" i="2"/>
  <c r="AT431" i="2"/>
  <c r="AU431" i="2"/>
  <c r="AV431" i="2"/>
  <c r="K432" i="2"/>
  <c r="L432" i="2"/>
  <c r="M432" i="2"/>
  <c r="N432" i="2"/>
  <c r="O432" i="2"/>
  <c r="K433" i="2"/>
  <c r="L433" i="2"/>
  <c r="M433" i="2"/>
  <c r="N433" i="2"/>
  <c r="O433" i="2"/>
  <c r="P433" i="2"/>
  <c r="Q433" i="2"/>
  <c r="R433" i="2"/>
  <c r="S433" i="2"/>
  <c r="T433" i="2"/>
  <c r="U433" i="2"/>
  <c r="V433" i="2"/>
  <c r="W433" i="2"/>
  <c r="X433" i="2"/>
  <c r="Y433" i="2"/>
  <c r="Z433" i="2"/>
  <c r="AA433" i="2"/>
  <c r="AB433" i="2"/>
  <c r="AC433" i="2"/>
  <c r="AD433" i="2"/>
  <c r="AE433" i="2"/>
  <c r="AF433" i="2"/>
  <c r="AG433" i="2"/>
  <c r="AH433" i="2"/>
  <c r="AI433" i="2"/>
  <c r="AJ433" i="2"/>
  <c r="AK433" i="2"/>
  <c r="AL433" i="2"/>
  <c r="AM433" i="2"/>
  <c r="AN433" i="2"/>
  <c r="AO433" i="2"/>
  <c r="AP433" i="2"/>
  <c r="AQ433" i="2"/>
  <c r="AR433" i="2"/>
  <c r="AS433" i="2"/>
  <c r="AT433" i="2"/>
  <c r="AU433" i="2"/>
  <c r="AV433" i="2"/>
  <c r="K440" i="2"/>
  <c r="L440" i="2"/>
  <c r="M440" i="2"/>
  <c r="N440" i="2"/>
  <c r="O440" i="2"/>
  <c r="P440" i="2"/>
  <c r="Q440" i="2"/>
  <c r="R440" i="2"/>
  <c r="S440" i="2"/>
  <c r="T440" i="2"/>
  <c r="U440" i="2"/>
  <c r="V440" i="2"/>
  <c r="W440" i="2"/>
  <c r="X440" i="2"/>
  <c r="Y440" i="2"/>
  <c r="Z440" i="2"/>
  <c r="AA440" i="2"/>
  <c r="AB440" i="2"/>
  <c r="AC440" i="2"/>
  <c r="AD440" i="2"/>
  <c r="AE440" i="2"/>
  <c r="AF440" i="2"/>
  <c r="AG440" i="2"/>
  <c r="AH440" i="2"/>
  <c r="AI440" i="2"/>
  <c r="AJ440" i="2"/>
  <c r="AK440" i="2"/>
  <c r="AL440" i="2"/>
  <c r="AM440" i="2"/>
  <c r="AN440" i="2"/>
  <c r="AO440" i="2"/>
  <c r="AP440" i="2"/>
  <c r="AQ440" i="2"/>
  <c r="AR440" i="2"/>
  <c r="AS440" i="2"/>
  <c r="AT440" i="2"/>
  <c r="AU440" i="2"/>
  <c r="AV440" i="2"/>
  <c r="K442" i="2"/>
  <c r="L442" i="2"/>
  <c r="M442" i="2"/>
  <c r="N442" i="2"/>
  <c r="O442" i="2"/>
  <c r="P442" i="2"/>
  <c r="Q442" i="2"/>
  <c r="R442" i="2"/>
  <c r="S442" i="2"/>
  <c r="T442" i="2"/>
  <c r="U442" i="2"/>
  <c r="V442" i="2"/>
  <c r="W442" i="2"/>
  <c r="X442" i="2"/>
  <c r="Y442" i="2"/>
  <c r="Z442" i="2"/>
  <c r="AA442" i="2"/>
  <c r="AB442" i="2"/>
  <c r="AC442" i="2"/>
  <c r="AD442" i="2"/>
  <c r="AE442" i="2"/>
  <c r="AF442" i="2"/>
  <c r="AG442" i="2"/>
  <c r="AH442" i="2"/>
  <c r="AI442" i="2"/>
  <c r="AJ442" i="2"/>
  <c r="AK442" i="2"/>
  <c r="AL442" i="2"/>
  <c r="AM442" i="2"/>
  <c r="AN442" i="2"/>
  <c r="AO442" i="2"/>
  <c r="AP442" i="2"/>
  <c r="AQ442" i="2"/>
  <c r="AR442" i="2"/>
  <c r="AS442" i="2"/>
  <c r="AT442" i="2"/>
  <c r="AU442" i="2"/>
  <c r="AV442" i="2"/>
  <c r="P445" i="2"/>
  <c r="Q445" i="2"/>
  <c r="R445" i="2"/>
  <c r="S445" i="2"/>
  <c r="T445" i="2"/>
  <c r="U445" i="2"/>
  <c r="V445" i="2"/>
  <c r="W445" i="2"/>
  <c r="X445" i="2"/>
  <c r="Y445" i="2"/>
  <c r="Z445" i="2"/>
  <c r="AA445" i="2"/>
  <c r="AB445" i="2"/>
  <c r="AC445" i="2"/>
  <c r="AD445" i="2"/>
  <c r="AE445" i="2"/>
  <c r="AF445" i="2"/>
  <c r="AG445" i="2"/>
  <c r="AH445" i="2"/>
  <c r="AI445" i="2"/>
  <c r="AJ445" i="2"/>
  <c r="AK445" i="2"/>
  <c r="AL445" i="2"/>
  <c r="AM445" i="2"/>
  <c r="AN445" i="2"/>
  <c r="AO445" i="2"/>
  <c r="AP445" i="2"/>
  <c r="AQ445" i="2"/>
  <c r="AR445" i="2"/>
  <c r="AS445" i="2"/>
  <c r="AT445" i="2"/>
  <c r="AU445" i="2"/>
  <c r="AV445" i="2"/>
  <c r="Q446" i="2"/>
  <c r="T446" i="2"/>
  <c r="W446" i="2"/>
  <c r="Z446" i="2"/>
  <c r="AC446" i="2"/>
  <c r="AF446" i="2"/>
  <c r="AI446" i="2"/>
  <c r="AL446" i="2"/>
  <c r="AO446" i="2"/>
  <c r="AR446" i="2"/>
  <c r="AU446" i="2"/>
  <c r="P450" i="2"/>
  <c r="Q450" i="2"/>
  <c r="R450" i="2"/>
  <c r="S450" i="2"/>
  <c r="T450" i="2"/>
  <c r="U450" i="2"/>
  <c r="V450" i="2"/>
  <c r="W450" i="2"/>
  <c r="X450" i="2"/>
  <c r="Y450" i="2"/>
  <c r="Z450" i="2"/>
  <c r="AA450" i="2"/>
  <c r="AB450" i="2"/>
  <c r="AC450" i="2"/>
  <c r="AD450" i="2"/>
  <c r="AE450" i="2"/>
  <c r="AF450" i="2"/>
  <c r="AG450" i="2"/>
  <c r="AH450" i="2"/>
  <c r="AI450" i="2"/>
  <c r="AJ450" i="2"/>
  <c r="AK450" i="2"/>
  <c r="AL450" i="2"/>
  <c r="AM450" i="2"/>
  <c r="AN450" i="2"/>
  <c r="AO450" i="2"/>
  <c r="AP450" i="2"/>
  <c r="AQ450" i="2"/>
  <c r="AR450" i="2"/>
  <c r="AS450" i="2"/>
  <c r="AT450" i="2"/>
  <c r="AU450" i="2"/>
  <c r="AV450" i="2"/>
  <c r="P451" i="2"/>
  <c r="Q451" i="2"/>
  <c r="R451" i="2"/>
  <c r="S451" i="2"/>
  <c r="T451" i="2"/>
  <c r="U451" i="2"/>
  <c r="V451" i="2"/>
  <c r="W451" i="2"/>
  <c r="X451" i="2"/>
  <c r="Y451" i="2"/>
  <c r="Z451" i="2"/>
  <c r="AA451" i="2"/>
  <c r="AB451" i="2"/>
  <c r="AC451" i="2"/>
  <c r="AD451" i="2"/>
  <c r="AE451" i="2"/>
  <c r="AF451" i="2"/>
  <c r="AG451" i="2"/>
  <c r="AH451" i="2"/>
  <c r="AI451" i="2"/>
  <c r="AJ451" i="2"/>
  <c r="AK451" i="2"/>
  <c r="AL451" i="2"/>
  <c r="AM451" i="2"/>
  <c r="AN451" i="2"/>
  <c r="AO451" i="2"/>
  <c r="AP451" i="2"/>
  <c r="AQ451" i="2"/>
  <c r="AR451" i="2"/>
  <c r="AS451" i="2"/>
  <c r="AT451" i="2"/>
  <c r="AU451" i="2"/>
  <c r="AV451" i="2"/>
  <c r="Q455" i="2"/>
  <c r="T455" i="2"/>
  <c r="W455" i="2"/>
  <c r="Z455" i="2"/>
  <c r="AC455" i="2"/>
  <c r="AF455" i="2"/>
  <c r="AI455" i="2"/>
  <c r="AL455" i="2"/>
  <c r="AO455" i="2"/>
  <c r="AR455" i="2"/>
  <c r="AU455" i="2"/>
  <c r="K457" i="2"/>
  <c r="L457" i="2"/>
  <c r="M457" i="2"/>
  <c r="N457" i="2"/>
  <c r="O457" i="2"/>
  <c r="P457" i="2"/>
  <c r="Q457" i="2"/>
  <c r="R457" i="2"/>
  <c r="S457" i="2"/>
  <c r="T457" i="2"/>
  <c r="U457" i="2"/>
  <c r="V457" i="2"/>
  <c r="W457" i="2"/>
  <c r="X457" i="2"/>
  <c r="Y457" i="2"/>
  <c r="Z457" i="2"/>
  <c r="AA457" i="2"/>
  <c r="AB457" i="2"/>
  <c r="AC457" i="2"/>
  <c r="AD457" i="2"/>
  <c r="AE457" i="2"/>
  <c r="AF457" i="2"/>
  <c r="AG457" i="2"/>
  <c r="AH457" i="2"/>
  <c r="AI457" i="2"/>
  <c r="AJ457" i="2"/>
  <c r="AK457" i="2"/>
  <c r="AL457" i="2"/>
  <c r="AM457" i="2"/>
  <c r="AN457" i="2"/>
  <c r="AO457" i="2"/>
  <c r="AP457" i="2"/>
  <c r="AQ457" i="2"/>
  <c r="AR457" i="2"/>
  <c r="AS457" i="2"/>
  <c r="AT457" i="2"/>
  <c r="AU457" i="2"/>
  <c r="AV457" i="2"/>
  <c r="P463" i="2"/>
  <c r="Q463" i="2"/>
  <c r="R463" i="2"/>
  <c r="S463" i="2"/>
  <c r="T463" i="2"/>
  <c r="U463" i="2"/>
  <c r="V463" i="2"/>
  <c r="W463" i="2"/>
  <c r="X463" i="2"/>
  <c r="Y463" i="2"/>
  <c r="Z463" i="2"/>
  <c r="AA463" i="2"/>
  <c r="AB463" i="2"/>
  <c r="AC463" i="2"/>
  <c r="AD463" i="2"/>
  <c r="AE463" i="2"/>
  <c r="AF463" i="2"/>
  <c r="AG463" i="2"/>
  <c r="AH463" i="2"/>
  <c r="AI463" i="2"/>
  <c r="AJ463" i="2"/>
  <c r="AK463" i="2"/>
  <c r="AL463" i="2"/>
  <c r="AM463" i="2"/>
  <c r="AN463" i="2"/>
  <c r="AO463" i="2"/>
  <c r="AP463" i="2"/>
  <c r="AQ463" i="2"/>
  <c r="AR463" i="2"/>
  <c r="AS463" i="2"/>
  <c r="AT463" i="2"/>
  <c r="AU463" i="2"/>
  <c r="AV463" i="2"/>
  <c r="P464" i="2"/>
  <c r="Q464" i="2"/>
  <c r="S464" i="2"/>
  <c r="T464" i="2"/>
  <c r="V464" i="2"/>
  <c r="W464" i="2"/>
  <c r="Y464" i="2"/>
  <c r="Z464" i="2"/>
  <c r="AB464" i="2"/>
  <c r="AC464" i="2"/>
  <c r="AE464" i="2"/>
  <c r="AF464" i="2"/>
  <c r="AH464" i="2"/>
  <c r="AI464" i="2"/>
  <c r="AK464" i="2"/>
  <c r="AL464" i="2"/>
  <c r="AN464" i="2"/>
  <c r="AO464" i="2"/>
  <c r="AQ464" i="2"/>
  <c r="AR464" i="2"/>
  <c r="AT464" i="2"/>
  <c r="AU464" i="2"/>
  <c r="P467" i="2"/>
  <c r="Q467" i="2"/>
  <c r="S467" i="2"/>
  <c r="T467" i="2"/>
  <c r="V467" i="2"/>
  <c r="W467" i="2"/>
  <c r="Y467" i="2"/>
  <c r="Z467" i="2"/>
  <c r="AB467" i="2"/>
  <c r="AC467" i="2"/>
  <c r="AE467" i="2"/>
  <c r="AF467" i="2"/>
  <c r="AH467" i="2"/>
  <c r="AI467" i="2"/>
  <c r="AK467" i="2"/>
  <c r="AL467" i="2"/>
  <c r="AN467" i="2"/>
  <c r="AO467" i="2"/>
  <c r="AQ467" i="2"/>
  <c r="AR467" i="2"/>
  <c r="AT467" i="2"/>
  <c r="AU467" i="2"/>
  <c r="P469" i="2"/>
  <c r="Q469" i="2"/>
  <c r="R469" i="2"/>
  <c r="S469" i="2"/>
  <c r="T469" i="2"/>
  <c r="U469" i="2"/>
  <c r="V469" i="2"/>
  <c r="W469" i="2"/>
  <c r="X469" i="2"/>
  <c r="Y469" i="2"/>
  <c r="Z469" i="2"/>
  <c r="AA469" i="2"/>
  <c r="AB469" i="2"/>
  <c r="AC469" i="2"/>
  <c r="AD469" i="2"/>
  <c r="AE469" i="2"/>
  <c r="AF469" i="2"/>
  <c r="AG469" i="2"/>
  <c r="AH469" i="2"/>
  <c r="AI469" i="2"/>
  <c r="AJ469" i="2"/>
  <c r="AK469" i="2"/>
  <c r="AL469" i="2"/>
  <c r="AM469" i="2"/>
  <c r="AN469" i="2"/>
  <c r="AO469" i="2"/>
  <c r="AP469" i="2"/>
  <c r="AQ469" i="2"/>
  <c r="AR469" i="2"/>
  <c r="AS469" i="2"/>
  <c r="AT469" i="2"/>
  <c r="AU469" i="2"/>
  <c r="AV469" i="2"/>
  <c r="P473" i="2"/>
  <c r="Q473" i="2"/>
  <c r="R473" i="2"/>
  <c r="S473" i="2"/>
  <c r="T473" i="2"/>
  <c r="U473" i="2"/>
  <c r="V473" i="2"/>
  <c r="W473" i="2"/>
  <c r="X473" i="2"/>
  <c r="Y473" i="2"/>
  <c r="Z473" i="2"/>
  <c r="AA473" i="2"/>
  <c r="AB473" i="2"/>
  <c r="AC473" i="2"/>
  <c r="AD473" i="2"/>
  <c r="AE473" i="2"/>
  <c r="AF473" i="2"/>
  <c r="AG473" i="2"/>
  <c r="AH473" i="2"/>
  <c r="AI473" i="2"/>
  <c r="AJ473" i="2"/>
  <c r="AK473" i="2"/>
  <c r="AL473" i="2"/>
  <c r="AM473" i="2"/>
  <c r="AN473" i="2"/>
  <c r="AO473" i="2"/>
  <c r="AP473" i="2"/>
  <c r="AQ473" i="2"/>
  <c r="AR473" i="2"/>
  <c r="AS473" i="2"/>
  <c r="AT473" i="2"/>
  <c r="AU473" i="2"/>
  <c r="AV473" i="2"/>
  <c r="P474" i="2"/>
  <c r="Q474" i="2"/>
  <c r="R474" i="2"/>
  <c r="S474" i="2"/>
  <c r="T474" i="2"/>
  <c r="U474" i="2"/>
  <c r="V474" i="2"/>
  <c r="W474" i="2"/>
  <c r="X474" i="2"/>
  <c r="Y474" i="2"/>
  <c r="Z474" i="2"/>
  <c r="AA474" i="2"/>
  <c r="AB474" i="2"/>
  <c r="AC474" i="2"/>
  <c r="AD474" i="2"/>
  <c r="AE474" i="2"/>
  <c r="AF474" i="2"/>
  <c r="AG474" i="2"/>
  <c r="AH474" i="2"/>
  <c r="AI474" i="2"/>
  <c r="AJ474" i="2"/>
  <c r="AK474" i="2"/>
  <c r="AL474" i="2"/>
  <c r="AM474" i="2"/>
  <c r="AN474" i="2"/>
  <c r="AO474" i="2"/>
  <c r="AP474" i="2"/>
  <c r="AQ474" i="2"/>
  <c r="AR474" i="2"/>
  <c r="AS474" i="2"/>
  <c r="AT474" i="2"/>
  <c r="AU474" i="2"/>
  <c r="AV474" i="2"/>
  <c r="P478" i="2"/>
  <c r="Q478" i="2"/>
  <c r="R478" i="2"/>
  <c r="S478" i="2"/>
  <c r="T478" i="2"/>
  <c r="U478" i="2"/>
  <c r="V478" i="2"/>
  <c r="W478" i="2"/>
  <c r="X478" i="2"/>
  <c r="Y478" i="2"/>
  <c r="Z478" i="2"/>
  <c r="AA478" i="2"/>
  <c r="AB478" i="2"/>
  <c r="AC478" i="2"/>
  <c r="AD478" i="2"/>
  <c r="AE478" i="2"/>
  <c r="AF478" i="2"/>
  <c r="AG478" i="2"/>
  <c r="AH478" i="2"/>
  <c r="AI478" i="2"/>
  <c r="AJ478" i="2"/>
  <c r="AK478" i="2"/>
  <c r="AL478" i="2"/>
  <c r="AM478" i="2"/>
  <c r="AN478" i="2"/>
  <c r="AO478" i="2"/>
  <c r="AP478" i="2"/>
  <c r="AQ478" i="2"/>
  <c r="AR478" i="2"/>
  <c r="AS478" i="2"/>
  <c r="AT478" i="2"/>
  <c r="AU478" i="2"/>
  <c r="AV478" i="2"/>
  <c r="P43" i="1"/>
  <c r="Q43" i="1"/>
  <c r="R43" i="1"/>
  <c r="S43" i="1"/>
  <c r="T43" i="1"/>
  <c r="U43" i="1"/>
  <c r="V43" i="1"/>
  <c r="W43" i="1"/>
  <c r="X43" i="1"/>
  <c r="Y43" i="1"/>
  <c r="Z43" i="1"/>
  <c r="AA43" i="1"/>
  <c r="AB43" i="1"/>
  <c r="AC43" i="1"/>
  <c r="AD43" i="1"/>
  <c r="AE43" i="1"/>
  <c r="AF43" i="1"/>
  <c r="AG43" i="1"/>
  <c r="AH43" i="1"/>
  <c r="AI43" i="1"/>
  <c r="AJ43" i="1"/>
  <c r="AK43" i="1"/>
  <c r="AL43" i="1"/>
  <c r="AM43" i="1"/>
  <c r="AN43" i="1"/>
  <c r="AO43" i="1"/>
  <c r="AP43" i="1"/>
  <c r="AQ43" i="1"/>
  <c r="AR43" i="1"/>
  <c r="AS43" i="1"/>
  <c r="AT43" i="1"/>
  <c r="AU43" i="1"/>
  <c r="AV43" i="1"/>
  <c r="P44" i="1"/>
  <c r="Q44" i="1"/>
  <c r="R44" i="1"/>
  <c r="S44" i="1"/>
  <c r="T44" i="1"/>
  <c r="U44" i="1"/>
  <c r="V44" i="1"/>
  <c r="W44" i="1"/>
  <c r="X44" i="1"/>
  <c r="Y44" i="1"/>
  <c r="Z44" i="1"/>
  <c r="AA44" i="1"/>
  <c r="AB44" i="1"/>
  <c r="AC44" i="1"/>
  <c r="AD44" i="1"/>
  <c r="AE44" i="1"/>
  <c r="AF44" i="1"/>
  <c r="AG44" i="1"/>
  <c r="AH44" i="1"/>
  <c r="AI44" i="1"/>
  <c r="AJ44" i="1"/>
  <c r="AK44" i="1"/>
  <c r="AL44" i="1"/>
  <c r="AM44" i="1"/>
  <c r="AN44" i="1"/>
  <c r="AO44" i="1"/>
  <c r="AP44" i="1"/>
  <c r="AQ44" i="1"/>
  <c r="AR44" i="1"/>
  <c r="AS44" i="1"/>
  <c r="AT44" i="1"/>
  <c r="AU44" i="1"/>
  <c r="AV44" i="1"/>
  <c r="P47" i="1"/>
  <c r="Q47" i="1"/>
  <c r="R47" i="1"/>
  <c r="S47" i="1"/>
  <c r="T47" i="1"/>
  <c r="U47" i="1"/>
  <c r="V47" i="1"/>
  <c r="W47" i="1"/>
  <c r="X47" i="1"/>
  <c r="Y47" i="1"/>
  <c r="Z47" i="1"/>
  <c r="AA47" i="1"/>
  <c r="AB47" i="1"/>
  <c r="AC47" i="1"/>
  <c r="AD47" i="1"/>
  <c r="AE47" i="1"/>
  <c r="AF47" i="1"/>
  <c r="AG47" i="1"/>
  <c r="AH47" i="1"/>
  <c r="AI47" i="1"/>
  <c r="AJ47" i="1"/>
  <c r="AK47" i="1"/>
  <c r="AL47" i="1"/>
  <c r="AM47" i="1"/>
  <c r="AN47" i="1"/>
  <c r="AO47" i="1"/>
  <c r="AP47" i="1"/>
  <c r="AQ47" i="1"/>
  <c r="AR47" i="1"/>
  <c r="AS47" i="1"/>
  <c r="AT47" i="1"/>
  <c r="AU47" i="1"/>
  <c r="AV47" i="1"/>
  <c r="P50" i="1"/>
  <c r="Q50" i="1"/>
  <c r="R50" i="1"/>
  <c r="S50" i="1"/>
  <c r="T50" i="1"/>
  <c r="U50" i="1"/>
  <c r="V50" i="1"/>
  <c r="W50" i="1"/>
  <c r="X50" i="1"/>
  <c r="Y50" i="1"/>
  <c r="Z50" i="1"/>
  <c r="AA50" i="1"/>
  <c r="AB50" i="1"/>
  <c r="AC50" i="1"/>
  <c r="AD50" i="1"/>
  <c r="AE50" i="1"/>
  <c r="AF50" i="1"/>
  <c r="AG50" i="1"/>
  <c r="AH50" i="1"/>
  <c r="AI50" i="1"/>
  <c r="AJ50" i="1"/>
  <c r="AK50" i="1"/>
  <c r="AL50" i="1"/>
  <c r="AM50" i="1"/>
  <c r="AN50" i="1"/>
  <c r="AO50" i="1"/>
  <c r="AP50" i="1"/>
  <c r="AQ50" i="1"/>
  <c r="AR50" i="1"/>
  <c r="AS50" i="1"/>
  <c r="AT50" i="1"/>
  <c r="AU50" i="1"/>
  <c r="AV50" i="1"/>
  <c r="P54" i="1"/>
  <c r="Q54" i="1"/>
  <c r="R54" i="1"/>
  <c r="S54" i="1"/>
  <c r="T54" i="1"/>
  <c r="U54" i="1"/>
  <c r="V54" i="1"/>
  <c r="W54" i="1"/>
  <c r="X54" i="1"/>
  <c r="Y54" i="1"/>
  <c r="Z54" i="1"/>
  <c r="AA54" i="1"/>
  <c r="AB54" i="1"/>
  <c r="AC54" i="1"/>
  <c r="AD54" i="1"/>
  <c r="AE54" i="1"/>
  <c r="AF54" i="1"/>
  <c r="AG54" i="1"/>
  <c r="AH54" i="1"/>
  <c r="AI54" i="1"/>
  <c r="AJ54" i="1"/>
  <c r="AK54" i="1"/>
  <c r="AL54" i="1"/>
  <c r="AM54" i="1"/>
  <c r="AN54" i="1"/>
  <c r="AO54" i="1"/>
  <c r="AP54" i="1"/>
  <c r="AQ54" i="1"/>
  <c r="AR54" i="1"/>
  <c r="AS54" i="1"/>
  <c r="AT54" i="1"/>
  <c r="AU54" i="1"/>
  <c r="AV54" i="1"/>
  <c r="P56" i="1"/>
  <c r="Q56" i="1"/>
  <c r="R56" i="1"/>
  <c r="S56" i="1"/>
  <c r="T56" i="1"/>
  <c r="U56" i="1"/>
  <c r="V56" i="1"/>
  <c r="W56" i="1"/>
  <c r="X56" i="1"/>
  <c r="Y56" i="1"/>
  <c r="Z56" i="1"/>
  <c r="AA56" i="1"/>
  <c r="AB56" i="1"/>
  <c r="AC56" i="1"/>
  <c r="AD56" i="1"/>
  <c r="AE56" i="1"/>
  <c r="AF56" i="1"/>
  <c r="AG56" i="1"/>
  <c r="AH56" i="1"/>
  <c r="AI56" i="1"/>
  <c r="AJ56" i="1"/>
  <c r="AK56" i="1"/>
  <c r="AL56" i="1"/>
  <c r="AM56" i="1"/>
  <c r="AN56" i="1"/>
  <c r="AO56" i="1"/>
  <c r="AP56" i="1"/>
  <c r="AQ56" i="1"/>
  <c r="AR56" i="1"/>
  <c r="AS56" i="1"/>
  <c r="AT56" i="1"/>
  <c r="AU56" i="1"/>
  <c r="AV56" i="1"/>
  <c r="P58" i="1"/>
  <c r="Q58" i="1"/>
  <c r="R58" i="1"/>
  <c r="S58" i="1"/>
  <c r="T58" i="1"/>
  <c r="U58" i="1"/>
  <c r="V58" i="1"/>
  <c r="W58" i="1"/>
  <c r="X58" i="1"/>
  <c r="Y58" i="1"/>
  <c r="Z58" i="1"/>
  <c r="AA58" i="1"/>
  <c r="AB58" i="1"/>
  <c r="AC58" i="1"/>
  <c r="AD58" i="1"/>
  <c r="AE58" i="1"/>
  <c r="AF58" i="1"/>
  <c r="AG58" i="1"/>
  <c r="AH58" i="1"/>
  <c r="AI58" i="1"/>
  <c r="AJ58" i="1"/>
  <c r="AK58" i="1"/>
  <c r="AL58" i="1"/>
  <c r="AM58" i="1"/>
  <c r="AN58" i="1"/>
  <c r="AO58" i="1"/>
  <c r="AP58" i="1"/>
  <c r="AQ58" i="1"/>
  <c r="AR58" i="1"/>
  <c r="AS58" i="1"/>
  <c r="AT58" i="1"/>
  <c r="AU58" i="1"/>
  <c r="AV58" i="1"/>
  <c r="P59" i="1"/>
  <c r="Q59" i="1"/>
  <c r="R59" i="1"/>
  <c r="S59" i="1"/>
  <c r="T59" i="1"/>
  <c r="U59" i="1"/>
  <c r="V59" i="1"/>
  <c r="W59" i="1"/>
  <c r="X59" i="1"/>
  <c r="Y59" i="1"/>
  <c r="Z59" i="1"/>
  <c r="AA59" i="1"/>
  <c r="AB59" i="1"/>
  <c r="AC59" i="1"/>
  <c r="AD59" i="1"/>
  <c r="AE59" i="1"/>
  <c r="AF59" i="1"/>
  <c r="AG59" i="1"/>
  <c r="AH59" i="1"/>
  <c r="AI59" i="1"/>
  <c r="AJ59" i="1"/>
  <c r="AK59" i="1"/>
  <c r="AL59" i="1"/>
  <c r="AM59" i="1"/>
  <c r="AN59" i="1"/>
  <c r="AO59" i="1"/>
  <c r="AP59" i="1"/>
  <c r="AQ59" i="1"/>
  <c r="AR59" i="1"/>
  <c r="AS59" i="1"/>
  <c r="AT59" i="1"/>
  <c r="AU59" i="1"/>
  <c r="AV59" i="1"/>
  <c r="P60" i="1"/>
  <c r="Q60" i="1"/>
  <c r="R60" i="1"/>
  <c r="S60" i="1"/>
  <c r="T60" i="1"/>
  <c r="U60" i="1"/>
  <c r="V60" i="1"/>
  <c r="W60" i="1"/>
  <c r="X60" i="1"/>
  <c r="Y60" i="1"/>
  <c r="Z60" i="1"/>
  <c r="AA60" i="1"/>
  <c r="AB60" i="1"/>
  <c r="AC60" i="1"/>
  <c r="AD60" i="1"/>
  <c r="AE60" i="1"/>
  <c r="AF60" i="1"/>
  <c r="AG60" i="1"/>
  <c r="AH60" i="1"/>
  <c r="AI60" i="1"/>
  <c r="AJ60" i="1"/>
  <c r="AK60" i="1"/>
  <c r="AL60" i="1"/>
  <c r="AM60" i="1"/>
  <c r="AN60" i="1"/>
  <c r="AO60" i="1"/>
  <c r="AP60" i="1"/>
  <c r="AQ60" i="1"/>
  <c r="AR60" i="1"/>
  <c r="AS60" i="1"/>
  <c r="AT60" i="1"/>
  <c r="AU60" i="1"/>
  <c r="AV60" i="1"/>
  <c r="P61" i="1"/>
  <c r="Q61" i="1"/>
  <c r="R61" i="1"/>
  <c r="S61" i="1"/>
  <c r="T61" i="1"/>
  <c r="U61" i="1"/>
  <c r="V61" i="1"/>
  <c r="W61" i="1"/>
  <c r="X61" i="1"/>
  <c r="Y61" i="1"/>
  <c r="Z61" i="1"/>
  <c r="AA61" i="1"/>
  <c r="AB61" i="1"/>
  <c r="AC61" i="1"/>
  <c r="AD61" i="1"/>
  <c r="AE61" i="1"/>
  <c r="AF61" i="1"/>
  <c r="AG61" i="1"/>
  <c r="AH61" i="1"/>
  <c r="AI61" i="1"/>
  <c r="AJ61" i="1"/>
  <c r="AK61" i="1"/>
  <c r="AL61" i="1"/>
  <c r="AM61" i="1"/>
  <c r="AN61" i="1"/>
  <c r="AO61" i="1"/>
  <c r="AP61" i="1"/>
  <c r="AQ61" i="1"/>
  <c r="AR61" i="1"/>
  <c r="AS61" i="1"/>
  <c r="AT61" i="1"/>
  <c r="AU61" i="1"/>
  <c r="AV61" i="1"/>
  <c r="P75" i="1"/>
  <c r="Q75" i="1"/>
  <c r="R75" i="1"/>
  <c r="S75" i="1"/>
  <c r="T75" i="1"/>
  <c r="U75" i="1"/>
  <c r="V75" i="1"/>
  <c r="W75" i="1"/>
  <c r="X75" i="1"/>
  <c r="Y75" i="1"/>
  <c r="Z75" i="1"/>
  <c r="AA75" i="1"/>
  <c r="AB75" i="1"/>
  <c r="AC75" i="1"/>
  <c r="AD75" i="1"/>
  <c r="AE75" i="1"/>
  <c r="AF75" i="1"/>
  <c r="AG75" i="1"/>
  <c r="AH75" i="1"/>
  <c r="AI75" i="1"/>
  <c r="AJ75" i="1"/>
  <c r="AK75" i="1"/>
  <c r="AL75" i="1"/>
  <c r="AM75" i="1"/>
  <c r="AN75" i="1"/>
  <c r="AO75" i="1"/>
  <c r="AP75" i="1"/>
  <c r="AQ75" i="1"/>
  <c r="AR75" i="1"/>
  <c r="AS75" i="1"/>
  <c r="AT75" i="1"/>
  <c r="AU75" i="1"/>
  <c r="AV75" i="1"/>
  <c r="P80" i="1"/>
  <c r="Q80" i="1"/>
  <c r="R80" i="1"/>
  <c r="S80" i="1"/>
  <c r="T80" i="1"/>
  <c r="U80" i="1"/>
  <c r="V80" i="1"/>
  <c r="W80" i="1"/>
  <c r="X80" i="1"/>
  <c r="Y80" i="1"/>
  <c r="Z80" i="1"/>
  <c r="AA80" i="1"/>
  <c r="AB80" i="1"/>
  <c r="AC80" i="1"/>
  <c r="AD80" i="1"/>
  <c r="AE80" i="1"/>
  <c r="AF80" i="1"/>
  <c r="AG80" i="1"/>
  <c r="AH80" i="1"/>
  <c r="AI80" i="1"/>
  <c r="AJ80" i="1"/>
  <c r="AK80" i="1"/>
  <c r="AL80" i="1"/>
  <c r="AM80" i="1"/>
  <c r="AN80" i="1"/>
  <c r="AO80" i="1"/>
  <c r="AP80" i="1"/>
  <c r="AQ80" i="1"/>
  <c r="AR80" i="1"/>
  <c r="AS80" i="1"/>
  <c r="AT80" i="1"/>
  <c r="AU80" i="1"/>
  <c r="AV80" i="1"/>
  <c r="P90" i="1"/>
  <c r="Q90" i="1"/>
  <c r="R90" i="1"/>
  <c r="S90" i="1"/>
  <c r="T90" i="1"/>
  <c r="U90" i="1"/>
  <c r="V90" i="1"/>
  <c r="W90" i="1"/>
  <c r="X90" i="1"/>
  <c r="Y90" i="1"/>
  <c r="Z90" i="1"/>
  <c r="AA90" i="1"/>
  <c r="AB90" i="1"/>
  <c r="AC90" i="1"/>
  <c r="AD90" i="1"/>
  <c r="AE90" i="1"/>
  <c r="AF90" i="1"/>
  <c r="AG90" i="1"/>
  <c r="AH90" i="1"/>
  <c r="AI90" i="1"/>
  <c r="AJ90" i="1"/>
  <c r="AK90" i="1"/>
  <c r="AL90" i="1"/>
  <c r="AM90" i="1"/>
  <c r="AN90" i="1"/>
  <c r="AO90" i="1"/>
  <c r="AP90" i="1"/>
  <c r="AQ90" i="1"/>
  <c r="AR90" i="1"/>
  <c r="AS90" i="1"/>
  <c r="AT90" i="1"/>
  <c r="AU90" i="1"/>
  <c r="AV90" i="1"/>
  <c r="P102" i="1"/>
  <c r="Q102" i="1"/>
  <c r="R102" i="1"/>
  <c r="S102" i="1"/>
  <c r="T102" i="1"/>
  <c r="U102" i="1"/>
  <c r="V102" i="1"/>
  <c r="W102" i="1"/>
  <c r="X102" i="1"/>
  <c r="Y102" i="1"/>
  <c r="Z102" i="1"/>
  <c r="AA102" i="1"/>
  <c r="AB102" i="1"/>
  <c r="AC102" i="1"/>
  <c r="AD102" i="1"/>
  <c r="AE102" i="1"/>
  <c r="AF102" i="1"/>
  <c r="AG102" i="1"/>
  <c r="AH102" i="1"/>
  <c r="AI102" i="1"/>
  <c r="AJ102" i="1"/>
  <c r="AK102" i="1"/>
  <c r="AL102" i="1"/>
  <c r="AM102" i="1"/>
  <c r="AN102" i="1"/>
  <c r="AO102" i="1"/>
  <c r="AP102" i="1"/>
  <c r="AQ102" i="1"/>
  <c r="AR102" i="1"/>
  <c r="AS102" i="1"/>
  <c r="AT102" i="1"/>
  <c r="AU102" i="1"/>
  <c r="AV102" i="1"/>
  <c r="P103" i="1"/>
  <c r="Q103" i="1"/>
  <c r="R103" i="1"/>
  <c r="S103" i="1"/>
  <c r="T103" i="1"/>
  <c r="U103" i="1"/>
  <c r="V103" i="1"/>
  <c r="W103" i="1"/>
  <c r="X103" i="1"/>
  <c r="Y103" i="1"/>
  <c r="Z103" i="1"/>
  <c r="AA103" i="1"/>
  <c r="AB103" i="1"/>
  <c r="AC103" i="1"/>
  <c r="AD103" i="1"/>
  <c r="AE103" i="1"/>
  <c r="AF103" i="1"/>
  <c r="AG103" i="1"/>
  <c r="AH103" i="1"/>
  <c r="AI103" i="1"/>
  <c r="AJ103" i="1"/>
  <c r="AK103" i="1"/>
  <c r="AL103" i="1"/>
  <c r="AM103" i="1"/>
  <c r="AN103" i="1"/>
  <c r="AO103" i="1"/>
  <c r="AP103" i="1"/>
  <c r="AQ103" i="1"/>
  <c r="AR103" i="1"/>
  <c r="AS103" i="1"/>
  <c r="AT103" i="1"/>
  <c r="AU103" i="1"/>
  <c r="AV103" i="1"/>
  <c r="P105" i="1"/>
  <c r="Q105" i="1"/>
  <c r="R105" i="1"/>
  <c r="S105" i="1"/>
  <c r="T105" i="1"/>
  <c r="U105" i="1"/>
  <c r="V105" i="1"/>
  <c r="W105" i="1"/>
  <c r="X105" i="1"/>
  <c r="Y105" i="1"/>
  <c r="Z105" i="1"/>
  <c r="AA105" i="1"/>
  <c r="AB105" i="1"/>
  <c r="AC105" i="1"/>
  <c r="AD105" i="1"/>
  <c r="AE105" i="1"/>
  <c r="AF105" i="1"/>
  <c r="AG105" i="1"/>
  <c r="AH105" i="1"/>
  <c r="AI105" i="1"/>
  <c r="AJ105" i="1"/>
  <c r="AK105" i="1"/>
  <c r="AL105" i="1"/>
  <c r="AM105" i="1"/>
  <c r="AN105" i="1"/>
  <c r="AO105" i="1"/>
  <c r="AP105" i="1"/>
  <c r="AQ105" i="1"/>
  <c r="AR105" i="1"/>
  <c r="AS105" i="1"/>
  <c r="AT105" i="1"/>
  <c r="AU105" i="1"/>
  <c r="AV105" i="1"/>
  <c r="P106" i="1"/>
  <c r="Q106" i="1"/>
  <c r="R106" i="1"/>
  <c r="S106" i="1"/>
  <c r="T106" i="1"/>
  <c r="U106" i="1"/>
  <c r="V106" i="1"/>
  <c r="W106" i="1"/>
  <c r="X106" i="1"/>
  <c r="Y106" i="1"/>
  <c r="Z106" i="1"/>
  <c r="AA106" i="1"/>
  <c r="AB106" i="1"/>
  <c r="AC106" i="1"/>
  <c r="AD106" i="1"/>
  <c r="AE106" i="1"/>
  <c r="AF106" i="1"/>
  <c r="AG106" i="1"/>
  <c r="AH106" i="1"/>
  <c r="AI106" i="1"/>
  <c r="AJ106" i="1"/>
  <c r="AK106" i="1"/>
  <c r="AL106" i="1"/>
  <c r="AM106" i="1"/>
  <c r="AN106" i="1"/>
  <c r="AO106" i="1"/>
  <c r="AP106" i="1"/>
  <c r="AQ106" i="1"/>
  <c r="AR106" i="1"/>
  <c r="AS106" i="1"/>
  <c r="AT106" i="1"/>
  <c r="AU106" i="1"/>
  <c r="AV106" i="1"/>
  <c r="P108" i="1"/>
  <c r="Q108" i="1"/>
  <c r="R108" i="1"/>
  <c r="S108" i="1"/>
  <c r="T108" i="1"/>
  <c r="U108" i="1"/>
  <c r="V108" i="1"/>
  <c r="W108" i="1"/>
  <c r="X108" i="1"/>
  <c r="Y108" i="1"/>
  <c r="Z108" i="1"/>
  <c r="AA108" i="1"/>
  <c r="AB108" i="1"/>
  <c r="AC108" i="1"/>
  <c r="AD108" i="1"/>
  <c r="AE108" i="1"/>
  <c r="AF108" i="1"/>
  <c r="AG108" i="1"/>
  <c r="AH108" i="1"/>
  <c r="AI108" i="1"/>
  <c r="AJ108" i="1"/>
  <c r="AK108" i="1"/>
  <c r="AL108" i="1"/>
  <c r="AM108" i="1"/>
  <c r="AN108" i="1"/>
  <c r="AO108" i="1"/>
  <c r="AP108" i="1"/>
  <c r="AQ108" i="1"/>
  <c r="AR108" i="1"/>
  <c r="AS108" i="1"/>
  <c r="AT108" i="1"/>
  <c r="AU108" i="1"/>
  <c r="AV108" i="1"/>
  <c r="P110" i="1"/>
  <c r="Q110" i="1"/>
  <c r="R110" i="1"/>
  <c r="S110" i="1"/>
  <c r="T110" i="1"/>
  <c r="U110" i="1"/>
  <c r="V110" i="1"/>
  <c r="W110" i="1"/>
  <c r="X110" i="1"/>
  <c r="Y110" i="1"/>
  <c r="Z110" i="1"/>
  <c r="AA110" i="1"/>
  <c r="AB110" i="1"/>
  <c r="AC110" i="1"/>
  <c r="AD110" i="1"/>
  <c r="AE110" i="1"/>
  <c r="AF110" i="1"/>
  <c r="AG110" i="1"/>
  <c r="AH110" i="1"/>
  <c r="AI110" i="1"/>
  <c r="AJ110" i="1"/>
  <c r="AK110" i="1"/>
  <c r="AL110" i="1"/>
  <c r="AM110" i="1"/>
  <c r="AN110" i="1"/>
  <c r="AO110" i="1"/>
  <c r="AP110" i="1"/>
  <c r="AQ110" i="1"/>
  <c r="AR110" i="1"/>
  <c r="AS110" i="1"/>
  <c r="AT110" i="1"/>
  <c r="AU110" i="1"/>
  <c r="AV110" i="1"/>
  <c r="P111" i="1"/>
  <c r="Q111" i="1"/>
  <c r="R111" i="1"/>
  <c r="S111" i="1"/>
  <c r="T111" i="1"/>
  <c r="U111" i="1"/>
  <c r="V111" i="1"/>
  <c r="W111" i="1"/>
  <c r="X111" i="1"/>
  <c r="Y111" i="1"/>
  <c r="Z111" i="1"/>
  <c r="AA111" i="1"/>
  <c r="AB111" i="1"/>
  <c r="AC111" i="1"/>
  <c r="AD111" i="1"/>
  <c r="AE111" i="1"/>
  <c r="AF111" i="1"/>
  <c r="AG111" i="1"/>
  <c r="AH111" i="1"/>
  <c r="AI111" i="1"/>
  <c r="AJ111" i="1"/>
  <c r="AK111" i="1"/>
  <c r="AL111" i="1"/>
  <c r="AM111" i="1"/>
  <c r="AN111" i="1"/>
  <c r="AO111" i="1"/>
  <c r="AP111" i="1"/>
  <c r="AQ111" i="1"/>
  <c r="AR111" i="1"/>
  <c r="AS111" i="1"/>
  <c r="AT111" i="1"/>
  <c r="AU111" i="1"/>
  <c r="AV111" i="1"/>
  <c r="P113" i="1"/>
  <c r="Q113" i="1"/>
  <c r="R113" i="1"/>
  <c r="S113" i="1"/>
  <c r="T113" i="1"/>
  <c r="U113" i="1"/>
  <c r="V113" i="1"/>
  <c r="W113" i="1"/>
  <c r="X113" i="1"/>
  <c r="Y113" i="1"/>
  <c r="Z113" i="1"/>
  <c r="AA113" i="1"/>
  <c r="AB113" i="1"/>
  <c r="AC113" i="1"/>
  <c r="AD113" i="1"/>
  <c r="AE113" i="1"/>
  <c r="AF113" i="1"/>
  <c r="AG113" i="1"/>
  <c r="AH113" i="1"/>
  <c r="AI113" i="1"/>
  <c r="AJ113" i="1"/>
  <c r="AK113" i="1"/>
  <c r="AL113" i="1"/>
  <c r="AM113" i="1"/>
  <c r="AN113" i="1"/>
  <c r="AO113" i="1"/>
  <c r="AP113" i="1"/>
  <c r="AQ113" i="1"/>
  <c r="AR113" i="1"/>
  <c r="AS113" i="1"/>
  <c r="AT113" i="1"/>
  <c r="AU113" i="1"/>
  <c r="AV113" i="1"/>
  <c r="P115" i="1"/>
  <c r="Q115" i="1"/>
  <c r="R115" i="1"/>
  <c r="S115" i="1"/>
  <c r="T115" i="1"/>
  <c r="U115" i="1"/>
  <c r="V115" i="1"/>
  <c r="W115" i="1"/>
  <c r="X115" i="1"/>
  <c r="Y115" i="1"/>
  <c r="Z115" i="1"/>
  <c r="AA115" i="1"/>
  <c r="AB115" i="1"/>
  <c r="AC115" i="1"/>
  <c r="AD115" i="1"/>
  <c r="AE115" i="1"/>
  <c r="AF115" i="1"/>
  <c r="AG115" i="1"/>
  <c r="AH115" i="1"/>
  <c r="AI115" i="1"/>
  <c r="AJ115" i="1"/>
  <c r="AK115" i="1"/>
  <c r="AL115" i="1"/>
  <c r="AM115" i="1"/>
  <c r="AN115" i="1"/>
  <c r="AO115" i="1"/>
  <c r="AP115" i="1"/>
  <c r="AQ115" i="1"/>
  <c r="AR115" i="1"/>
  <c r="AS115" i="1"/>
  <c r="AT115" i="1"/>
  <c r="AU115" i="1"/>
  <c r="AV115" i="1"/>
  <c r="P116" i="1"/>
  <c r="Q116" i="1"/>
  <c r="R116" i="1"/>
  <c r="S116" i="1"/>
  <c r="T116" i="1"/>
  <c r="U116" i="1"/>
  <c r="V116" i="1"/>
  <c r="W116" i="1"/>
  <c r="X116" i="1"/>
  <c r="Y116" i="1"/>
  <c r="Z116" i="1"/>
  <c r="AA116" i="1"/>
  <c r="AB116" i="1"/>
  <c r="AC116" i="1"/>
  <c r="AD116" i="1"/>
  <c r="AE116" i="1"/>
  <c r="AF116" i="1"/>
  <c r="AG116" i="1"/>
  <c r="AH116" i="1"/>
  <c r="AI116" i="1"/>
  <c r="AJ116" i="1"/>
  <c r="AK116" i="1"/>
  <c r="AL116" i="1"/>
  <c r="AM116" i="1"/>
  <c r="AN116" i="1"/>
  <c r="AO116" i="1"/>
  <c r="AP116" i="1"/>
  <c r="AQ116" i="1"/>
  <c r="AR116" i="1"/>
  <c r="AS116" i="1"/>
  <c r="AT116" i="1"/>
  <c r="AU116" i="1"/>
  <c r="AV116" i="1"/>
  <c r="P129" i="1"/>
  <c r="Q129" i="1"/>
  <c r="R129" i="1"/>
  <c r="S129" i="1"/>
  <c r="T129" i="1"/>
  <c r="U129" i="1"/>
  <c r="V129" i="1"/>
  <c r="W129" i="1"/>
  <c r="X129" i="1"/>
  <c r="Y129" i="1"/>
  <c r="Z129" i="1"/>
  <c r="AA129" i="1"/>
  <c r="AB129" i="1"/>
  <c r="AC129" i="1"/>
  <c r="AD129" i="1"/>
  <c r="AE129" i="1"/>
  <c r="AF129" i="1"/>
  <c r="AG129" i="1"/>
  <c r="AH129" i="1"/>
  <c r="AI129" i="1"/>
  <c r="AJ129" i="1"/>
  <c r="AK129" i="1"/>
  <c r="AL129" i="1"/>
  <c r="AM129" i="1"/>
  <c r="AN129" i="1"/>
  <c r="AO129" i="1"/>
  <c r="AP129" i="1"/>
  <c r="AQ129" i="1"/>
  <c r="AR129" i="1"/>
  <c r="AS129" i="1"/>
  <c r="AT129" i="1"/>
  <c r="AU129" i="1"/>
  <c r="AV129" i="1"/>
  <c r="P130" i="1"/>
  <c r="Q130" i="1"/>
  <c r="R130" i="1"/>
  <c r="S130" i="1"/>
  <c r="T130" i="1"/>
  <c r="U130" i="1"/>
  <c r="V130" i="1"/>
  <c r="W130" i="1"/>
  <c r="X130" i="1"/>
  <c r="Y130" i="1"/>
  <c r="Z130" i="1"/>
  <c r="AA130" i="1"/>
  <c r="AB130" i="1"/>
  <c r="AC130" i="1"/>
  <c r="AD130" i="1"/>
  <c r="AE130" i="1"/>
  <c r="AF130" i="1"/>
  <c r="AG130" i="1"/>
  <c r="AH130" i="1"/>
  <c r="AI130" i="1"/>
  <c r="AJ130" i="1"/>
  <c r="AK130" i="1"/>
  <c r="AL130" i="1"/>
  <c r="AM130" i="1"/>
  <c r="AN130" i="1"/>
  <c r="AO130" i="1"/>
  <c r="AP130" i="1"/>
  <c r="AQ130" i="1"/>
  <c r="AR130" i="1"/>
  <c r="AS130" i="1"/>
  <c r="AT130" i="1"/>
  <c r="AU130" i="1"/>
  <c r="AV130" i="1"/>
  <c r="P142" i="1"/>
  <c r="Q142" i="1"/>
  <c r="R142" i="1"/>
  <c r="S142" i="1"/>
  <c r="T142" i="1"/>
  <c r="U142" i="1"/>
  <c r="V142" i="1"/>
  <c r="W142" i="1"/>
  <c r="X142" i="1"/>
  <c r="Y142" i="1"/>
  <c r="Z142" i="1"/>
  <c r="AA142" i="1"/>
  <c r="AB142" i="1"/>
  <c r="AC142" i="1"/>
  <c r="AD142" i="1"/>
  <c r="AE142" i="1"/>
  <c r="AF142" i="1"/>
  <c r="AG142" i="1"/>
  <c r="AH142" i="1"/>
  <c r="AI142" i="1"/>
  <c r="AJ142" i="1"/>
  <c r="AK142" i="1"/>
  <c r="AL142" i="1"/>
  <c r="AM142" i="1"/>
  <c r="AN142" i="1"/>
  <c r="AO142" i="1"/>
  <c r="AP142" i="1"/>
  <c r="AQ142" i="1"/>
  <c r="AR142" i="1"/>
  <c r="AS142" i="1"/>
  <c r="AT142" i="1"/>
  <c r="AU142" i="1"/>
  <c r="AV142" i="1"/>
  <c r="P143" i="1"/>
  <c r="Q143" i="1"/>
  <c r="R143" i="1"/>
  <c r="S143" i="1"/>
  <c r="T143" i="1"/>
  <c r="U143" i="1"/>
  <c r="V143" i="1"/>
  <c r="W143" i="1"/>
  <c r="X143" i="1"/>
  <c r="Y143" i="1"/>
  <c r="Z143" i="1"/>
  <c r="AA143" i="1"/>
  <c r="AB143" i="1"/>
  <c r="AC143" i="1"/>
  <c r="AD143" i="1"/>
  <c r="AE143" i="1"/>
  <c r="AF143" i="1"/>
  <c r="AG143" i="1"/>
  <c r="AH143" i="1"/>
  <c r="AI143" i="1"/>
  <c r="AJ143" i="1"/>
  <c r="AK143" i="1"/>
  <c r="AL143" i="1"/>
  <c r="AM143" i="1"/>
  <c r="AN143" i="1"/>
  <c r="AO143" i="1"/>
  <c r="AP143" i="1"/>
  <c r="AQ143" i="1"/>
  <c r="AR143" i="1"/>
  <c r="AS143" i="1"/>
  <c r="AT143" i="1"/>
  <c r="AU143" i="1"/>
  <c r="AV143" i="1"/>
  <c r="P147" i="1"/>
  <c r="Q147" i="1"/>
  <c r="R147" i="1"/>
  <c r="S147" i="1"/>
  <c r="T147" i="1"/>
  <c r="U147" i="1"/>
  <c r="V147" i="1"/>
  <c r="W147" i="1"/>
  <c r="X147" i="1"/>
  <c r="Y147" i="1"/>
  <c r="Z147" i="1"/>
  <c r="AA147" i="1"/>
  <c r="AB147" i="1"/>
  <c r="AC147" i="1"/>
  <c r="AD147" i="1"/>
  <c r="AE147" i="1"/>
  <c r="AF147" i="1"/>
  <c r="AG147" i="1"/>
  <c r="AH147" i="1"/>
  <c r="AI147" i="1"/>
  <c r="AJ147" i="1"/>
  <c r="AK147" i="1"/>
  <c r="AL147" i="1"/>
  <c r="AM147" i="1"/>
  <c r="AN147" i="1"/>
  <c r="AO147" i="1"/>
  <c r="AP147" i="1"/>
  <c r="AQ147" i="1"/>
  <c r="AR147" i="1"/>
  <c r="AS147" i="1"/>
  <c r="AT147" i="1"/>
  <c r="AU147" i="1"/>
  <c r="AV147" i="1"/>
  <c r="P148" i="1"/>
  <c r="Q148" i="1"/>
  <c r="R148" i="1"/>
  <c r="S148" i="1"/>
  <c r="T148" i="1"/>
  <c r="U148" i="1"/>
  <c r="V148" i="1"/>
  <c r="W148" i="1"/>
  <c r="X148" i="1"/>
  <c r="Y148" i="1"/>
  <c r="Z148" i="1"/>
  <c r="AA148" i="1"/>
  <c r="AB148" i="1"/>
  <c r="AC148" i="1"/>
  <c r="AD148" i="1"/>
  <c r="AE148" i="1"/>
  <c r="AF148" i="1"/>
  <c r="AG148" i="1"/>
  <c r="AH148" i="1"/>
  <c r="AI148" i="1"/>
  <c r="AJ148" i="1"/>
  <c r="AK148" i="1"/>
  <c r="AL148" i="1"/>
  <c r="AM148" i="1"/>
  <c r="AN148" i="1"/>
  <c r="AO148" i="1"/>
  <c r="AP148" i="1"/>
  <c r="AQ148" i="1"/>
  <c r="AR148" i="1"/>
  <c r="AS148" i="1"/>
  <c r="AT148" i="1"/>
  <c r="AU148" i="1"/>
  <c r="AV148" i="1"/>
  <c r="P152" i="1"/>
  <c r="Q152" i="1"/>
  <c r="R152" i="1"/>
  <c r="S152" i="1"/>
  <c r="T152" i="1"/>
  <c r="U152" i="1"/>
  <c r="V152" i="1"/>
  <c r="W152" i="1"/>
  <c r="X152" i="1"/>
  <c r="Y152" i="1"/>
  <c r="Z152" i="1"/>
  <c r="AA152" i="1"/>
  <c r="AB152" i="1"/>
  <c r="AC152" i="1"/>
  <c r="AD152" i="1"/>
  <c r="AE152" i="1"/>
  <c r="AF152" i="1"/>
  <c r="AG152" i="1"/>
  <c r="AH152" i="1"/>
  <c r="AI152" i="1"/>
  <c r="AJ152" i="1"/>
  <c r="AK152" i="1"/>
  <c r="AL152" i="1"/>
  <c r="AM152" i="1"/>
  <c r="AN152" i="1"/>
  <c r="AO152" i="1"/>
  <c r="AP152" i="1"/>
  <c r="AQ152" i="1"/>
  <c r="AR152" i="1"/>
  <c r="AS152" i="1"/>
  <c r="AT152" i="1"/>
  <c r="AU152" i="1"/>
  <c r="AV152" i="1"/>
  <c r="Q153" i="1"/>
  <c r="S153" i="1"/>
  <c r="T153" i="1"/>
  <c r="U153" i="1"/>
  <c r="V153" i="1"/>
  <c r="W153" i="1"/>
  <c r="X153" i="1"/>
  <c r="Y153" i="1"/>
  <c r="Z153" i="1"/>
  <c r="AA153" i="1"/>
  <c r="AB153" i="1"/>
  <c r="AC153" i="1"/>
  <c r="AD153" i="1"/>
  <c r="AE153" i="1"/>
  <c r="AF153" i="1"/>
  <c r="AG153" i="1"/>
  <c r="AH153" i="1"/>
  <c r="AI153" i="1"/>
  <c r="AJ153" i="1"/>
  <c r="AK153" i="1"/>
  <c r="AL153" i="1"/>
  <c r="AM153" i="1"/>
  <c r="AN153" i="1"/>
  <c r="AO153" i="1"/>
  <c r="AP153" i="1"/>
  <c r="AQ153" i="1"/>
  <c r="AR153" i="1"/>
  <c r="AS153" i="1"/>
  <c r="AT153" i="1"/>
  <c r="AU153" i="1"/>
  <c r="AV153" i="1"/>
  <c r="P156" i="1"/>
  <c r="Q156" i="1"/>
  <c r="R156" i="1"/>
  <c r="S156" i="1"/>
  <c r="T156" i="1"/>
  <c r="U156" i="1"/>
  <c r="V156" i="1"/>
  <c r="W156" i="1"/>
  <c r="X156" i="1"/>
  <c r="Y156" i="1"/>
  <c r="Z156" i="1"/>
  <c r="AA156" i="1"/>
  <c r="AB156" i="1"/>
  <c r="AC156" i="1"/>
  <c r="AD156" i="1"/>
  <c r="AE156" i="1"/>
  <c r="AF156" i="1"/>
  <c r="AG156" i="1"/>
  <c r="AH156" i="1"/>
  <c r="AI156" i="1"/>
  <c r="AJ156" i="1"/>
  <c r="AK156" i="1"/>
  <c r="AL156" i="1"/>
  <c r="AM156" i="1"/>
  <c r="AN156" i="1"/>
  <c r="AO156" i="1"/>
  <c r="AP156" i="1"/>
  <c r="AQ156" i="1"/>
  <c r="AR156" i="1"/>
  <c r="AS156" i="1"/>
  <c r="AT156" i="1"/>
  <c r="AU156" i="1"/>
  <c r="AV156" i="1"/>
  <c r="P167" i="1"/>
  <c r="Q167" i="1"/>
  <c r="R167" i="1"/>
  <c r="S167" i="1"/>
  <c r="T167" i="1"/>
  <c r="U167" i="1"/>
  <c r="V167" i="1"/>
  <c r="W167" i="1"/>
  <c r="X167" i="1"/>
  <c r="Y167" i="1"/>
  <c r="Z167" i="1"/>
  <c r="AA167" i="1"/>
  <c r="AB167" i="1"/>
  <c r="AC167" i="1"/>
  <c r="AD167" i="1"/>
  <c r="AE167" i="1"/>
  <c r="AF167" i="1"/>
  <c r="AG167" i="1"/>
  <c r="AH167" i="1"/>
  <c r="AI167" i="1"/>
  <c r="AJ167" i="1"/>
  <c r="AK167" i="1"/>
  <c r="AL167" i="1"/>
  <c r="AM167" i="1"/>
  <c r="AN167" i="1"/>
  <c r="AO167" i="1"/>
  <c r="AP167" i="1"/>
  <c r="U14" i="4"/>
  <c r="V14" i="4"/>
  <c r="W14" i="4"/>
  <c r="U18" i="4"/>
  <c r="V18" i="4"/>
  <c r="W18" i="4"/>
  <c r="U19" i="4"/>
  <c r="V19" i="4"/>
  <c r="W19" i="4"/>
  <c r="U22" i="4"/>
  <c r="V22" i="4"/>
  <c r="W22" i="4"/>
  <c r="U23" i="4"/>
  <c r="V23" i="4"/>
  <c r="W23" i="4"/>
  <c r="U24" i="4"/>
  <c r="V24" i="4"/>
  <c r="W24" i="4"/>
  <c r="U26" i="4"/>
  <c r="V26" i="4"/>
  <c r="W26" i="4"/>
  <c r="S27" i="4"/>
  <c r="T27" i="4"/>
  <c r="U27" i="4"/>
  <c r="V27" i="4"/>
  <c r="W27" i="4"/>
  <c r="S28" i="4"/>
  <c r="T28" i="4"/>
  <c r="U28" i="4"/>
  <c r="V28" i="4"/>
  <c r="W28" i="4"/>
  <c r="K35" i="4"/>
  <c r="L35" i="4"/>
  <c r="M35" i="4"/>
  <c r="U35" i="4"/>
  <c r="V35" i="4"/>
  <c r="W35" i="4"/>
  <c r="K36" i="4"/>
  <c r="L36" i="4"/>
  <c r="M36" i="4"/>
  <c r="U36" i="4"/>
  <c r="V36" i="4"/>
  <c r="W36" i="4"/>
  <c r="K37" i="4"/>
  <c r="L37" i="4"/>
  <c r="M37" i="4"/>
  <c r="U37" i="4"/>
  <c r="V37" i="4"/>
  <c r="W37" i="4"/>
  <c r="K38" i="4"/>
  <c r="L38" i="4"/>
  <c r="M38" i="4"/>
  <c r="K39" i="4"/>
  <c r="L39" i="4"/>
  <c r="M39" i="4"/>
  <c r="M40" i="4"/>
  <c r="K42" i="4"/>
  <c r="L42" i="4"/>
  <c r="M42" i="4"/>
  <c r="U42" i="4"/>
  <c r="V42" i="4"/>
  <c r="W42" i="4"/>
  <c r="K43" i="4"/>
  <c r="L43" i="4"/>
  <c r="M43" i="4"/>
  <c r="K44" i="4"/>
  <c r="L44" i="4"/>
  <c r="M44" i="4"/>
  <c r="U44" i="4"/>
  <c r="V44" i="4"/>
  <c r="W44" i="4"/>
  <c r="K45" i="4"/>
  <c r="L45" i="4"/>
  <c r="M45" i="4"/>
  <c r="U45" i="4"/>
  <c r="V45" i="4"/>
  <c r="W45" i="4"/>
  <c r="M46" i="4"/>
  <c r="U46" i="4"/>
  <c r="V46" i="4"/>
  <c r="W46" i="4"/>
  <c r="U53" i="4"/>
  <c r="V53" i="4"/>
  <c r="W53" i="4"/>
  <c r="U55" i="4"/>
  <c r="V55" i="4"/>
  <c r="W55" i="4"/>
  <c r="U56" i="4"/>
  <c r="V56" i="4"/>
  <c r="W56" i="4"/>
  <c r="U61" i="4"/>
  <c r="V61" i="4"/>
  <c r="W61" i="4"/>
  <c r="S62" i="4"/>
  <c r="T62" i="4"/>
  <c r="U62" i="4"/>
  <c r="V62" i="4"/>
  <c r="W62" i="4"/>
  <c r="S63" i="4"/>
  <c r="T63" i="4"/>
  <c r="U63" i="4"/>
  <c r="V63" i="4"/>
  <c r="W63" i="4"/>
  <c r="S68" i="4"/>
  <c r="T68" i="4"/>
  <c r="U68" i="4"/>
  <c r="V68" i="4"/>
  <c r="W68" i="4"/>
  <c r="H13" i="3"/>
  <c r="I13" i="3"/>
  <c r="J13" i="3"/>
  <c r="K13" i="3"/>
  <c r="H14" i="3"/>
  <c r="I14" i="3"/>
  <c r="J14" i="3"/>
  <c r="K14" i="3"/>
  <c r="L14" i="3"/>
  <c r="M14" i="3"/>
  <c r="N14" i="3"/>
  <c r="O14" i="3"/>
  <c r="P14" i="3"/>
  <c r="Q14" i="3"/>
  <c r="R14" i="3"/>
  <c r="S14" i="3"/>
  <c r="T14" i="3"/>
  <c r="U14" i="3"/>
  <c r="V14" i="3"/>
  <c r="W14" i="3"/>
  <c r="X14" i="3"/>
  <c r="Y14" i="3"/>
  <c r="Z14" i="3"/>
  <c r="AA14" i="3"/>
  <c r="AB14" i="3"/>
  <c r="H22" i="3"/>
  <c r="I22" i="3"/>
  <c r="J22" i="3"/>
  <c r="K22" i="3"/>
  <c r="L22" i="3"/>
  <c r="M22" i="3"/>
  <c r="N22" i="3"/>
  <c r="O22" i="3"/>
  <c r="P22" i="3"/>
  <c r="Q22" i="3"/>
  <c r="R22" i="3"/>
  <c r="S22" i="3"/>
  <c r="T22" i="3"/>
  <c r="U22" i="3"/>
  <c r="V22" i="3"/>
  <c r="W22" i="3"/>
  <c r="X22" i="3"/>
  <c r="Y22" i="3"/>
  <c r="Z22" i="3"/>
  <c r="AA22" i="3"/>
  <c r="AB22" i="3"/>
  <c r="H23" i="3"/>
  <c r="I23" i="3"/>
  <c r="J23" i="3"/>
  <c r="K23" i="3"/>
  <c r="L23" i="3"/>
  <c r="M23" i="3"/>
  <c r="N23" i="3"/>
  <c r="O23" i="3"/>
  <c r="P23" i="3"/>
  <c r="Q23" i="3"/>
  <c r="R23" i="3"/>
  <c r="S23" i="3"/>
  <c r="T23" i="3"/>
  <c r="U23" i="3"/>
  <c r="V23" i="3"/>
  <c r="W23" i="3"/>
  <c r="X23" i="3"/>
  <c r="Y23" i="3"/>
  <c r="Z23" i="3"/>
  <c r="AA23" i="3"/>
  <c r="AB23" i="3"/>
  <c r="H32" i="3"/>
  <c r="I32" i="3"/>
  <c r="J32" i="3"/>
  <c r="K32" i="3"/>
  <c r="L32" i="3"/>
  <c r="M32" i="3"/>
  <c r="N32" i="3"/>
  <c r="O32" i="3"/>
  <c r="P32" i="3"/>
  <c r="Q32" i="3"/>
  <c r="R32" i="3"/>
  <c r="S32" i="3"/>
  <c r="T32" i="3"/>
  <c r="U32" i="3"/>
  <c r="V32" i="3"/>
  <c r="W32" i="3"/>
  <c r="X32" i="3"/>
  <c r="Y32" i="3"/>
  <c r="Z32" i="3"/>
  <c r="AA32" i="3"/>
  <c r="AB32" i="3"/>
  <c r="D36" i="3"/>
  <c r="D37" i="3"/>
  <c r="D38" i="3"/>
  <c r="D39" i="3"/>
  <c r="D40" i="3"/>
  <c r="D43" i="3"/>
  <c r="J52" i="3"/>
  <c r="D57" i="3"/>
  <c r="D58" i="3"/>
  <c r="D59" i="3"/>
  <c r="D61" i="3"/>
  <c r="H18" i="22"/>
  <c r="I18" i="22"/>
  <c r="J18" i="22"/>
  <c r="K18" i="22"/>
  <c r="L18" i="22"/>
  <c r="M18" i="22"/>
  <c r="N18" i="22"/>
  <c r="O18" i="22"/>
  <c r="P18" i="22"/>
  <c r="Q18" i="22"/>
  <c r="R18" i="22"/>
  <c r="S18" i="22"/>
  <c r="I47" i="22"/>
  <c r="J47" i="22"/>
  <c r="K47" i="22"/>
  <c r="L47" i="22"/>
  <c r="M47" i="22"/>
  <c r="N47" i="22"/>
  <c r="O47" i="22"/>
  <c r="P47" i="22"/>
  <c r="Q47" i="22"/>
  <c r="R47" i="22"/>
  <c r="S47" i="22"/>
  <c r="I48" i="22"/>
  <c r="J48" i="22"/>
  <c r="K48" i="22"/>
  <c r="L48" i="22"/>
  <c r="M48" i="22"/>
  <c r="N48" i="22"/>
  <c r="O48" i="22"/>
  <c r="P48" i="22"/>
  <c r="Q48" i="22"/>
  <c r="R48" i="22"/>
  <c r="S48" i="22"/>
  <c r="I49" i="22"/>
  <c r="J49" i="22"/>
  <c r="K49" i="22"/>
  <c r="L49" i="22"/>
  <c r="M49" i="22"/>
  <c r="N49" i="22"/>
  <c r="O49" i="22"/>
  <c r="P49" i="22"/>
  <c r="Q49" i="22"/>
  <c r="R49" i="22"/>
  <c r="S49" i="22"/>
  <c r="I50" i="22"/>
  <c r="J50" i="22"/>
  <c r="K50" i="22"/>
  <c r="L50" i="22"/>
  <c r="M50" i="22"/>
  <c r="N50" i="22"/>
  <c r="O50" i="22"/>
  <c r="P50" i="22"/>
  <c r="Q50" i="22"/>
  <c r="R50" i="22"/>
  <c r="S50" i="22"/>
  <c r="I51" i="22"/>
  <c r="J51" i="22"/>
  <c r="K51" i="22"/>
  <c r="L51" i="22"/>
  <c r="M51" i="22"/>
  <c r="N51" i="22"/>
  <c r="O51" i="22"/>
  <c r="P51" i="22"/>
  <c r="Q51" i="22"/>
  <c r="R51" i="22"/>
  <c r="S51" i="22"/>
  <c r="I52" i="22"/>
  <c r="J52" i="22"/>
  <c r="K52" i="22"/>
  <c r="L52" i="22"/>
  <c r="M52" i="22"/>
  <c r="N52" i="22"/>
  <c r="O52" i="22"/>
  <c r="P52" i="22"/>
  <c r="Q52" i="22"/>
  <c r="R52" i="22"/>
  <c r="S52" i="22"/>
  <c r="I53" i="22"/>
  <c r="J53" i="22"/>
  <c r="K53" i="22"/>
  <c r="L53" i="22"/>
  <c r="M53" i="22"/>
  <c r="N53" i="22"/>
  <c r="O53" i="22"/>
  <c r="P53" i="22"/>
  <c r="Q53" i="22"/>
  <c r="R53" i="22"/>
  <c r="S53" i="22"/>
  <c r="I54" i="22"/>
  <c r="J54" i="22"/>
  <c r="K54" i="22"/>
  <c r="L54" i="22"/>
  <c r="M54" i="22"/>
  <c r="N54" i="22"/>
  <c r="O54" i="22"/>
  <c r="P54" i="22"/>
  <c r="Q54" i="22"/>
  <c r="R54" i="22"/>
  <c r="S54" i="22"/>
  <c r="I55" i="22"/>
  <c r="J55" i="22"/>
  <c r="K55" i="22"/>
  <c r="L55" i="22"/>
  <c r="M55" i="22"/>
  <c r="N55" i="22"/>
  <c r="O55" i="22"/>
  <c r="P55" i="22"/>
  <c r="Q55" i="22"/>
  <c r="R55" i="22"/>
  <c r="S55" i="2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Ross, Mac (Research)</author>
  </authors>
  <commentList>
    <comment ref="B128" authorId="0" shapeId="0" xr:uid="{94303863-9C64-4546-A170-646BFD323D60}">
      <text>
        <r>
          <rPr>
            <b/>
            <sz val="9"/>
            <color indexed="81"/>
            <rFont val="Tahoma"/>
            <family val="2"/>
          </rPr>
          <t>Ross, Mac (Research):</t>
        </r>
        <r>
          <rPr>
            <sz val="9"/>
            <color indexed="81"/>
            <rFont val="Tahoma"/>
            <family val="2"/>
          </rPr>
          <t xml:space="preserve">
net cash of receivables from franchisees for the fit-out of new restaurants under construction paid on their behalf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Baxter, Melinda (Research)</author>
    <author>Ross, Mac (Research)</author>
    <author>tc={140A0BB3-CA71-49A2-B486-F2EA1EEEFB92}</author>
    <author>tc={5EB8FD53-B09C-4F5E-B92D-3CFABFE90E8F}</author>
    <author>tc={E9D4576D-701D-4686-A24B-2CF9BB2DCC7B}</author>
    <author>tc={7AB43ED1-E53E-489F-8322-3BE1392C7626}</author>
    <author>tc={90D15E09-22F7-451C-AEF6-82E0A1BB5105}</author>
    <author>tc={2E883D53-2A60-45E2-BB5E-E6F742CE9D58}</author>
    <author>tc={54B7ED01-10D7-449D-AFD6-F95C1187D39A}</author>
    <author>tc={7D11B6AD-36B1-44B9-BFC4-2C0DA4CAEB91}</author>
    <author>tc={E130807D-FEFD-405D-886B-C3324BF11ED8}</author>
    <author>tc={B65DDE2F-AE56-424A-826C-2C95252715A0}</author>
    <author>tc={084A5624-0E66-42E7-9F1F-C2F18D291EE7}</author>
    <author>tc={5BBD0CE1-3211-4663-8211-950F50D752BB}</author>
    <author>tc={E5FD7382-940E-4DCD-A374-FE5D41707A64}</author>
    <author>tc={0133854B-E5E5-4FD2-8DED-85CDA346D50A}</author>
    <author>tc={1930AE81-7725-4533-B275-3668F0445A52}</author>
    <author>tc={217F9D07-CEA6-487E-BEB2-21A83517139A}</author>
    <author>tc={A6B5474C-F7E0-4C5C-BE91-49F4A34CD823}</author>
    <author>tc={E3EDA3AF-1EF5-48CA-80C2-2257A82753CE}</author>
    <author>tc={63EBB079-B3B3-423B-B1E2-58C8611FEA49}</author>
    <author>tc={18C1636A-3817-41F4-801C-BCF52EE1790A}</author>
    <author>tc={34458B6E-5FAD-47BB-9FFD-007F2C36AC66}</author>
  </authors>
  <commentList>
    <comment ref="M15" authorId="0" shapeId="0" xr:uid="{EF50C4CE-C903-4305-9C60-E647DE9D728B}">
      <text>
        <r>
          <rPr>
            <b/>
            <sz val="9"/>
            <color indexed="81"/>
            <rFont val="Tahoma"/>
            <family val="2"/>
          </rPr>
          <t>Baxter, Melinda (Research):</t>
        </r>
        <r>
          <rPr>
            <sz val="9"/>
            <color indexed="81"/>
            <rFont val="Tahoma"/>
            <family val="2"/>
          </rPr>
          <t xml:space="preserve">
1Q = 20.7%</t>
        </r>
      </text>
    </comment>
    <comment ref="N42" authorId="0" shapeId="0" xr:uid="{37D1B850-32F4-4874-AA31-9B3790AA79FC}">
      <text>
        <r>
          <rPr>
            <b/>
            <sz val="9"/>
            <color indexed="81"/>
            <rFont val="Tahoma"/>
            <family val="2"/>
          </rPr>
          <t>Baxter, Melinda (Research):</t>
        </r>
        <r>
          <rPr>
            <sz val="9"/>
            <color indexed="81"/>
            <rFont val="Tahoma"/>
            <family val="2"/>
          </rPr>
          <t xml:space="preserve">
All stores opening in 4Q, max contribution 3mths</t>
        </r>
      </text>
    </comment>
    <comment ref="Q42" authorId="0" shapeId="0" xr:uid="{63741A15-097B-4917-84DE-A077FAD31F4C}">
      <text>
        <r>
          <rPr>
            <b/>
            <sz val="9"/>
            <color indexed="81"/>
            <rFont val="Tahoma"/>
            <family val="2"/>
          </rPr>
          <t>Baxter, Melinda (Research):</t>
        </r>
        <r>
          <rPr>
            <sz val="9"/>
            <color indexed="81"/>
            <rFont val="Tahoma"/>
            <family val="2"/>
          </rPr>
          <t xml:space="preserve">
weighting store to 2H</t>
        </r>
      </text>
    </comment>
    <comment ref="B44" authorId="1" shapeId="0" xr:uid="{59B9FFCD-C301-46D8-B009-992699678926}">
      <text>
        <r>
          <rPr>
            <b/>
            <sz val="9"/>
            <color indexed="81"/>
            <rFont val="Tahoma"/>
            <family val="2"/>
          </rPr>
          <t>Ross, Mac (Research):</t>
        </r>
        <r>
          <rPr>
            <sz val="9"/>
            <color indexed="81"/>
            <rFont val="Tahoma"/>
            <family val="2"/>
          </rPr>
          <t xml:space="preserve">
Includes: Aust, SG, JP</t>
        </r>
      </text>
    </comment>
    <comment ref="L44" authorId="2" shapeId="0" xr:uid="{140A0BB3-CA71-49A2-B486-F2EA1EEEFB9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proforma guidance: 7.4% Comp gth
</t>
      </text>
    </comment>
    <comment ref="N44" authorId="0" shapeId="0" xr:uid="{B073667B-9763-4B09-8980-057E7D36CCE3}">
      <text>
        <r>
          <rPr>
            <b/>
            <sz val="9"/>
            <color indexed="81"/>
            <rFont val="Tahoma"/>
            <family val="2"/>
          </rPr>
          <t>Baxter, Melinda (Research):</t>
        </r>
        <r>
          <rPr>
            <sz val="9"/>
            <color indexed="81"/>
            <rFont val="Tahoma"/>
            <family val="2"/>
          </rPr>
          <t xml:space="preserve">
11% 3Q + price increase taken at end 3Q, 4Q harder comp</t>
        </r>
      </text>
    </comment>
    <comment ref="O44" authorId="3" shapeId="0" xr:uid="{5EB8FD53-B09C-4F5E-B92D-3CFABFE90E8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proforma guidance: 4.8% Comp gth</t>
      </text>
    </comment>
    <comment ref="P49" authorId="0" shapeId="0" xr:uid="{B0928BB0-34E0-47C4-B74D-8C6361D28DC4}">
      <text>
        <r>
          <rPr>
            <b/>
            <sz val="9"/>
            <color indexed="81"/>
            <rFont val="Tahoma"/>
            <family val="2"/>
          </rPr>
          <t>Baxter, Melinda (Research):</t>
        </r>
        <r>
          <rPr>
            <sz val="9"/>
            <color indexed="81"/>
            <rFont val="Tahoma"/>
            <family val="2"/>
          </rPr>
          <t xml:space="preserve">
20 Fran store avg opening Jan 26, 12 Corpo store opening March 26 avg opening ie more in 2H</t>
        </r>
      </text>
    </comment>
    <comment ref="L53" authorId="0" shapeId="0" xr:uid="{B16DCB47-8AB4-4828-8CA4-0A0007BBC5D2}">
      <text>
        <r>
          <rPr>
            <b/>
            <sz val="9"/>
            <color indexed="81"/>
            <rFont val="Tahoma"/>
            <family val="2"/>
          </rPr>
          <t>Baxter, Melinda (Research):</t>
        </r>
        <r>
          <rPr>
            <sz val="9"/>
            <color indexed="81"/>
            <rFont val="Tahoma"/>
            <family val="2"/>
          </rPr>
          <t xml:space="preserve">
52.3 prospectus</t>
        </r>
      </text>
    </comment>
    <comment ref="O53" authorId="0" shapeId="0" xr:uid="{DD57E56C-7DF1-4499-B5E7-473D2344902F}">
      <text>
        <r>
          <rPr>
            <b/>
            <sz val="9"/>
            <color indexed="81"/>
            <rFont val="Tahoma"/>
            <family val="2"/>
          </rPr>
          <t>Baxter, Melinda (Research):</t>
        </r>
        <r>
          <rPr>
            <sz val="9"/>
            <color indexed="81"/>
            <rFont val="Tahoma"/>
            <family val="2"/>
          </rPr>
          <t xml:space="preserve">
52.3 prospectus</t>
        </r>
      </text>
    </comment>
    <comment ref="R54" authorId="0" shapeId="0" xr:uid="{6DF339E7-9E05-44CA-8593-BA9EA2344E4A}">
      <text>
        <r>
          <rPr>
            <b/>
            <sz val="9"/>
            <color indexed="81"/>
            <rFont val="Tahoma"/>
            <family val="2"/>
          </rPr>
          <t>Baxter, Melinda (Research):</t>
        </r>
        <r>
          <rPr>
            <sz val="9"/>
            <color indexed="81"/>
            <rFont val="Tahoma"/>
            <family val="2"/>
          </rPr>
          <t xml:space="preserve">
back out 3mn gain on sale</t>
        </r>
      </text>
    </comment>
    <comment ref="L55" authorId="0" shapeId="0" xr:uid="{921248CF-26CA-44F3-93EC-A514CBC98CFF}">
      <text>
        <r>
          <rPr>
            <b/>
            <sz val="9"/>
            <color indexed="81"/>
            <rFont val="Tahoma"/>
            <family val="2"/>
          </rPr>
          <t>Baxter, Melinda (Research):</t>
        </r>
        <r>
          <rPr>
            <sz val="9"/>
            <color indexed="81"/>
            <rFont val="Tahoma"/>
            <family val="2"/>
          </rPr>
          <t xml:space="preserve">
prospectus 60.6</t>
        </r>
      </text>
    </comment>
    <comment ref="O55" authorId="0" shapeId="0" xr:uid="{6214B428-AA6E-4B56-BA09-5915C6C87C44}">
      <text>
        <r>
          <rPr>
            <b/>
            <sz val="9"/>
            <color indexed="81"/>
            <rFont val="Tahoma"/>
            <family val="2"/>
          </rPr>
          <t>Baxter, Melinda (Research):</t>
        </r>
        <r>
          <rPr>
            <sz val="9"/>
            <color indexed="81"/>
            <rFont val="Tahoma"/>
            <family val="2"/>
          </rPr>
          <t xml:space="preserve">
prospectus 60.6</t>
        </r>
      </text>
    </comment>
    <comment ref="L74" authorId="4" shapeId="0" xr:uid="{E9D4576D-701D-4686-A24B-2CF9BB2DCC7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proforma guidance: 17.1%</t>
      </text>
    </comment>
    <comment ref="O74" authorId="5" shapeId="0" xr:uid="{7AB43ED1-E53E-489F-8322-3BE1392C762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proforma guidance: 17.1%</t>
      </text>
    </comment>
    <comment ref="L83" authorId="6" shapeId="0" xr:uid="{90D15E09-22F7-451C-AEF6-82E0A1BB510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proforma guidance: 131
</t>
      </text>
    </comment>
    <comment ref="O83" authorId="7" shapeId="0" xr:uid="{2E883D53-2A60-45E2-BB5E-E6F742CE9D5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proforma guidance: 131
</t>
      </text>
    </comment>
    <comment ref="L89" authorId="0" shapeId="0" xr:uid="{DFD61130-9853-4741-8FA5-EDE17DC34133}">
      <text>
        <r>
          <rPr>
            <b/>
            <sz val="9"/>
            <color indexed="81"/>
            <rFont val="Tahoma"/>
            <family val="2"/>
          </rPr>
          <t>Baxter, Melinda (Research):</t>
        </r>
        <r>
          <rPr>
            <sz val="9"/>
            <color indexed="81"/>
            <rFont val="Tahoma"/>
            <family val="2"/>
          </rPr>
          <t xml:space="preserve">
612.8 prospectus</t>
        </r>
      </text>
    </comment>
    <comment ref="O89" authorId="0" shapeId="0" xr:uid="{B4D6DEFD-E07E-4B68-889C-4EA3732A52FF}">
      <text>
        <r>
          <rPr>
            <b/>
            <sz val="9"/>
            <color indexed="81"/>
            <rFont val="Tahoma"/>
            <family val="2"/>
          </rPr>
          <t>Baxter, Melinda (Research):</t>
        </r>
        <r>
          <rPr>
            <sz val="9"/>
            <color indexed="81"/>
            <rFont val="Tahoma"/>
            <family val="2"/>
          </rPr>
          <t xml:space="preserve">
612.8 prospectus</t>
        </r>
      </text>
    </comment>
    <comment ref="B93" authorId="0" shapeId="0" xr:uid="{4D03CD92-E9C7-41AD-80AD-1EA4B8E29CA7}">
      <text>
        <r>
          <rPr>
            <b/>
            <sz val="9"/>
            <color indexed="81"/>
            <rFont val="Tahoma"/>
            <family val="2"/>
          </rPr>
          <t xml:space="preserve">Baxter, Melinda (Research): SA is lower fee at 4-5% of revenue and represents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93" authorId="1" shapeId="0" xr:uid="{FEC808CF-F66A-4176-B4F1-9AA71D9027CE}">
      <text>
        <r>
          <rPr>
            <b/>
            <sz val="9"/>
            <color indexed="81"/>
            <rFont val="Tahoma"/>
            <family val="2"/>
          </rPr>
          <t>Ross, Mac (Research):</t>
        </r>
        <r>
          <rPr>
            <sz val="9"/>
            <color indexed="81"/>
            <rFont val="Tahoma"/>
            <family val="2"/>
          </rPr>
          <t xml:space="preserve">
were modelling 8.4%
</t>
        </r>
      </text>
    </comment>
    <comment ref="O93" authorId="1" shapeId="0" xr:uid="{753A1FC7-8546-4162-B158-56DCF3558AFB}">
      <text>
        <r>
          <rPr>
            <b/>
            <sz val="9"/>
            <color indexed="81"/>
            <rFont val="Tahoma"/>
            <family val="2"/>
          </rPr>
          <t>Ross, Mac (Research):</t>
        </r>
        <r>
          <rPr>
            <sz val="9"/>
            <color indexed="81"/>
            <rFont val="Tahoma"/>
            <family val="2"/>
          </rPr>
          <t xml:space="preserve">
were modelling 8.4%
</t>
        </r>
      </text>
    </comment>
    <comment ref="L104" authorId="0" shapeId="0" xr:uid="{63307660-019C-4FCC-87A0-FA14D82A55C1}">
      <text>
        <r>
          <rPr>
            <b/>
            <sz val="9"/>
            <color indexed="81"/>
            <rFont val="Tahoma"/>
            <family val="2"/>
          </rPr>
          <t>Baxter, Melinda (Research):</t>
        </r>
        <r>
          <rPr>
            <sz val="9"/>
            <color indexed="81"/>
            <rFont val="Tahoma"/>
            <family val="2"/>
          </rPr>
          <t xml:space="preserve">
46.5</t>
        </r>
      </text>
    </comment>
    <comment ref="O104" authorId="0" shapeId="0" xr:uid="{81B9230D-1112-4EF3-B07D-7D58D345C112}">
      <text>
        <r>
          <rPr>
            <b/>
            <sz val="9"/>
            <color indexed="81"/>
            <rFont val="Tahoma"/>
            <family val="2"/>
          </rPr>
          <t>Baxter, Melinda (Research):</t>
        </r>
        <r>
          <rPr>
            <sz val="9"/>
            <color indexed="81"/>
            <rFont val="Tahoma"/>
            <family val="2"/>
          </rPr>
          <t xml:space="preserve">
46.5</t>
        </r>
      </text>
    </comment>
    <comment ref="L128" authorId="8" shapeId="0" xr:uid="{54B7ED01-10D7-449D-AFD6-F95C1187D39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 forma guidance: 7.8</t>
      </text>
    </comment>
    <comment ref="O128" authorId="9" shapeId="0" xr:uid="{7D11B6AD-36B1-44B9-BFC4-2C0DA4CAEB9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 forma guidance: 7.8</t>
      </text>
    </comment>
    <comment ref="L150" authorId="1" shapeId="0" xr:uid="{617BBDCD-0E03-41BE-840A-F7E29A2698F3}">
      <text>
        <r>
          <rPr>
            <b/>
            <sz val="9"/>
            <color indexed="81"/>
            <rFont val="Tahoma"/>
            <family val="2"/>
          </rPr>
          <t>Ross, Mac (Research):</t>
        </r>
        <r>
          <rPr>
            <sz val="9"/>
            <color indexed="81"/>
            <rFont val="Tahoma"/>
            <family val="2"/>
          </rPr>
          <t xml:space="preserve">
4</t>
        </r>
      </text>
    </comment>
    <comment ref="O150" authorId="1" shapeId="0" xr:uid="{0DAFAAC9-184F-44E2-B7D0-0D8434371F2F}">
      <text>
        <r>
          <rPr>
            <b/>
            <sz val="9"/>
            <color indexed="81"/>
            <rFont val="Tahoma"/>
            <family val="2"/>
          </rPr>
          <t>Ross, Mac (Research):</t>
        </r>
        <r>
          <rPr>
            <sz val="9"/>
            <color indexed="81"/>
            <rFont val="Tahoma"/>
            <family val="2"/>
          </rPr>
          <t xml:space="preserve">
4</t>
        </r>
      </text>
    </comment>
    <comment ref="B161" authorId="1" shapeId="0" xr:uid="{2C789889-0453-401F-9844-454ECD7AC0F1}">
      <text>
        <r>
          <rPr>
            <b/>
            <sz val="9"/>
            <color indexed="81"/>
            <rFont val="Tahoma"/>
            <family val="2"/>
          </rPr>
          <t>Ross, Mac (Research):</t>
        </r>
        <r>
          <rPr>
            <sz val="9"/>
            <color indexed="81"/>
            <rFont val="Tahoma"/>
            <family val="2"/>
          </rPr>
          <t xml:space="preserve">
Includes: Aust, SG, JP</t>
        </r>
      </text>
    </comment>
    <comment ref="J165" authorId="0" shapeId="0" xr:uid="{73F988E5-C2A4-4081-B2EE-9606426FBACC}">
      <text>
        <r>
          <rPr>
            <b/>
            <sz val="9"/>
            <color indexed="81"/>
            <rFont val="Tahoma"/>
            <family val="2"/>
          </rPr>
          <t>Baxter, Melinda (Research):</t>
        </r>
        <r>
          <rPr>
            <sz val="9"/>
            <color indexed="81"/>
            <rFont val="Tahoma"/>
            <family val="2"/>
          </rPr>
          <t xml:space="preserve">
5.6</t>
        </r>
      </text>
    </comment>
    <comment ref="L165" authorId="0" shapeId="0" xr:uid="{85C39446-2C50-4CA4-AD32-56FBE087E984}">
      <text>
        <r>
          <rPr>
            <b/>
            <sz val="9"/>
            <color indexed="81"/>
            <rFont val="Tahoma"/>
            <family val="2"/>
          </rPr>
          <t>Baxter, Melinda (Research):</t>
        </r>
        <r>
          <rPr>
            <sz val="9"/>
            <color indexed="81"/>
            <rFont val="Tahoma"/>
            <family val="2"/>
          </rPr>
          <t xml:space="preserve">
10.9</t>
        </r>
      </text>
    </comment>
    <comment ref="O165" authorId="0" shapeId="0" xr:uid="{A504021D-75D3-4930-9436-904ED859772D}">
      <text>
        <r>
          <rPr>
            <b/>
            <sz val="9"/>
            <color indexed="81"/>
            <rFont val="Tahoma"/>
            <family val="2"/>
          </rPr>
          <t>Baxter, Melinda (Research):</t>
        </r>
        <r>
          <rPr>
            <sz val="9"/>
            <color indexed="81"/>
            <rFont val="Tahoma"/>
            <family val="2"/>
          </rPr>
          <t xml:space="preserve">
10.9</t>
        </r>
      </text>
    </comment>
    <comment ref="B169" authorId="1" shapeId="0" xr:uid="{5096C918-504B-47E8-8B35-EB18154EB082}">
      <text>
        <r>
          <rPr>
            <b/>
            <sz val="9"/>
            <color indexed="81"/>
            <rFont val="Tahoma"/>
            <family val="2"/>
          </rPr>
          <t>Ross, Mac (Research):</t>
        </r>
        <r>
          <rPr>
            <sz val="9"/>
            <color indexed="81"/>
            <rFont val="Tahoma"/>
            <family val="2"/>
          </rPr>
          <t xml:space="preserve">
Coporate restaurant margin / not EBITDA</t>
        </r>
      </text>
    </comment>
    <comment ref="L170" authorId="1" shapeId="0" xr:uid="{F43D3FE7-3374-47B7-AC3C-7DF04E133CD1}">
      <text>
        <r>
          <rPr>
            <b/>
            <sz val="9"/>
            <color indexed="81"/>
            <rFont val="Tahoma"/>
            <family val="2"/>
          </rPr>
          <t>Ross, Mac (Research):</t>
        </r>
        <r>
          <rPr>
            <sz val="9"/>
            <color indexed="81"/>
            <rFont val="Tahoma"/>
            <family val="2"/>
          </rPr>
          <t xml:space="preserve">
were modelling -8%</t>
        </r>
      </text>
    </comment>
    <comment ref="O170" authorId="1" shapeId="0" xr:uid="{57130007-1B23-4071-90AA-79DF20C7B52A}">
      <text>
        <r>
          <rPr>
            <b/>
            <sz val="9"/>
            <color indexed="81"/>
            <rFont val="Tahoma"/>
            <family val="2"/>
          </rPr>
          <t>Ross, Mac (Research):</t>
        </r>
        <r>
          <rPr>
            <sz val="9"/>
            <color indexed="81"/>
            <rFont val="Tahoma"/>
            <family val="2"/>
          </rPr>
          <t xml:space="preserve">
were modelling -8%</t>
        </r>
      </text>
    </comment>
    <comment ref="L178" authorId="0" shapeId="0" xr:uid="{39055EE7-FCC1-4F8A-A9BD-8925DF5133D5}">
      <text>
        <r>
          <rPr>
            <b/>
            <sz val="9"/>
            <color indexed="81"/>
            <rFont val="Tahoma"/>
            <family val="2"/>
          </rPr>
          <t>Baxter, Melinda (Research):</t>
        </r>
        <r>
          <rPr>
            <sz val="9"/>
            <color indexed="81"/>
            <rFont val="Tahoma"/>
            <family val="2"/>
          </rPr>
          <t xml:space="preserve">
22.1 prospectus forecasts</t>
        </r>
      </text>
    </comment>
    <comment ref="O178" authorId="0" shapeId="0" xr:uid="{1CF93A7F-AB53-4938-BBAA-C4D12CF15C34}">
      <text>
        <r>
          <rPr>
            <b/>
            <sz val="9"/>
            <color indexed="81"/>
            <rFont val="Tahoma"/>
            <family val="2"/>
          </rPr>
          <t>Baxter, Melinda (Research):</t>
        </r>
        <r>
          <rPr>
            <sz val="9"/>
            <color indexed="81"/>
            <rFont val="Tahoma"/>
            <family val="2"/>
          </rPr>
          <t xml:space="preserve">
22.1 prospectus forecasts</t>
        </r>
      </text>
    </comment>
    <comment ref="B187" authorId="0" shapeId="0" xr:uid="{7902F041-AB5A-4B44-A0D9-D38F6844B5D4}">
      <text>
        <r>
          <rPr>
            <b/>
            <sz val="9"/>
            <color indexed="81"/>
            <rFont val="Tahoma"/>
            <family val="2"/>
          </rPr>
          <t>Baxter, Melinda (Research):</t>
        </r>
        <r>
          <rPr>
            <sz val="9"/>
            <color indexed="81"/>
            <rFont val="Tahoma"/>
            <family val="2"/>
          </rPr>
          <t xml:space="preserve">
Net of some costs incurred</t>
        </r>
      </text>
    </comment>
    <comment ref="O187" authorId="0" shapeId="0" xr:uid="{147AB6A8-B515-48A0-AD18-2841265C835A}">
      <text>
        <r>
          <rPr>
            <b/>
            <sz val="9"/>
            <color indexed="81"/>
            <rFont val="Tahoma"/>
            <family val="2"/>
          </rPr>
          <t>Baxter, Melinda (Research):</t>
        </r>
        <r>
          <rPr>
            <sz val="9"/>
            <color indexed="81"/>
            <rFont val="Tahoma"/>
            <family val="2"/>
          </rPr>
          <t xml:space="preserve">
3mn one off gain from sale</t>
        </r>
      </text>
    </comment>
    <comment ref="B194" authorId="0" shapeId="0" xr:uid="{415B9274-7E97-4E03-97D7-F55B92E8C28F}">
      <text>
        <r>
          <rPr>
            <b/>
            <sz val="9"/>
            <color indexed="81"/>
            <rFont val="Tahoma"/>
            <family val="2"/>
          </rPr>
          <t>Baxter, Melinda (Research):</t>
        </r>
        <r>
          <rPr>
            <sz val="9"/>
            <color indexed="81"/>
            <rFont val="Tahoma"/>
            <family val="2"/>
          </rPr>
          <t xml:space="preserve">
Only for GYG app not aggregators</t>
        </r>
      </text>
    </comment>
    <comment ref="B201" authorId="0" shapeId="0" xr:uid="{95522E78-9E5D-4605-AE53-87A947B95D12}">
      <text>
        <r>
          <rPr>
            <b/>
            <sz val="9"/>
            <color indexed="81"/>
            <rFont val="Tahoma"/>
            <family val="2"/>
          </rPr>
          <t>Baxter, Melinda (Research):</t>
        </r>
        <r>
          <rPr>
            <sz val="9"/>
            <color indexed="81"/>
            <rFont val="Tahoma"/>
            <family val="2"/>
          </rPr>
          <t xml:space="preserve">
levied on all Austrailian resturants &gt; is this just franchieess or all stores 
</t>
        </r>
      </text>
    </comment>
    <comment ref="B211" authorId="1" shapeId="0" xr:uid="{044CE40F-3AB3-4492-821A-746A73E5A135}">
      <text>
        <r>
          <rPr>
            <b/>
            <sz val="9"/>
            <color indexed="81"/>
            <rFont val="Tahoma"/>
            <family val="2"/>
          </rPr>
          <t>Ross, Mac (Research):</t>
        </r>
        <r>
          <rPr>
            <sz val="9"/>
            <color indexed="81"/>
            <rFont val="Tahoma"/>
            <family val="2"/>
          </rPr>
          <t xml:space="preserve">
reflect: in restaurant costs (included in Corp restauant Margin) and Hola central costs in Aust &amp; US (included within G&amp;A).</t>
        </r>
      </text>
    </comment>
    <comment ref="B214" authorId="1" shapeId="0" xr:uid="{B3A8550E-1E49-4CE0-BE5A-7AB2485F8117}">
      <text>
        <r>
          <rPr>
            <b/>
            <sz val="9"/>
            <color indexed="81"/>
            <rFont val="Tahoma"/>
            <family val="2"/>
          </rPr>
          <t>Ross, Mac (Research):</t>
        </r>
        <r>
          <rPr>
            <sz val="9"/>
            <color indexed="81"/>
            <rFont val="Tahoma"/>
            <family val="2"/>
          </rPr>
          <t xml:space="preserve">
inc: professional fees, software licenses, commissions and fees and occupancy relating to Hola Central</t>
        </r>
      </text>
    </comment>
    <comment ref="B220" authorId="1" shapeId="0" xr:uid="{3C57C289-7A47-43CE-92D3-CFA745CEBF7B}">
      <text>
        <r>
          <rPr>
            <b/>
            <sz val="9"/>
            <color indexed="81"/>
            <rFont val="Tahoma"/>
            <family val="2"/>
          </rPr>
          <t>Ross, Mac (Research):</t>
        </r>
        <r>
          <rPr>
            <sz val="9"/>
            <color indexed="81"/>
            <rFont val="Tahoma"/>
            <family val="2"/>
          </rPr>
          <t xml:space="preserve">
Inc: delievery commissions and occupancy-related expenses</t>
        </r>
      </text>
    </comment>
    <comment ref="L244" authorId="10" shapeId="0" xr:uid="{E130807D-FEFD-405D-886B-C3324BF11ED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 forma guidance 63.3m</t>
      </text>
    </comment>
    <comment ref="O244" authorId="11" shapeId="0" xr:uid="{B65DDE2F-AE56-424A-826C-2C95252715A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 forma guidance 76.1m</t>
      </text>
    </comment>
    <comment ref="L249" authorId="12" shapeId="0" xr:uid="{084A5624-0E66-42E7-9F1F-C2F18D291EE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Pro forma guidance 5.6
</t>
      </text>
    </comment>
    <comment ref="O249" authorId="13" shapeId="0" xr:uid="{5BBD0CE1-3211-4663-8211-950F50D752B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Pro forma guidance 7.9m
</t>
      </text>
    </comment>
    <comment ref="L275" authorId="0" shapeId="0" xr:uid="{0C0EFC08-5701-4259-87DE-09E56AB0F555}">
      <text>
        <r>
          <rPr>
            <b/>
            <sz val="9"/>
            <color indexed="81"/>
            <rFont val="Tahoma"/>
            <family val="2"/>
          </rPr>
          <t>Baxter, Melinda (Research):</t>
        </r>
        <r>
          <rPr>
            <sz val="9"/>
            <color indexed="81"/>
            <rFont val="Tahoma"/>
            <family val="2"/>
          </rPr>
          <t xml:space="preserve">
46.3</t>
        </r>
      </text>
    </comment>
    <comment ref="O275" authorId="0" shapeId="0" xr:uid="{667575B0-3132-4BF7-9B59-BE28D97E6D55}">
      <text>
        <r>
          <rPr>
            <b/>
            <sz val="9"/>
            <color indexed="81"/>
            <rFont val="Tahoma"/>
            <family val="2"/>
          </rPr>
          <t>Baxter, Melinda (Research):</t>
        </r>
        <r>
          <rPr>
            <sz val="9"/>
            <color indexed="81"/>
            <rFont val="Tahoma"/>
            <family val="2"/>
          </rPr>
          <t xml:space="preserve">
61.2</t>
        </r>
      </text>
    </comment>
    <comment ref="L276" authorId="0" shapeId="0" xr:uid="{253E0F9B-F646-4787-847B-F85B902B4B0C}">
      <text>
        <r>
          <rPr>
            <b/>
            <sz val="9"/>
            <color indexed="81"/>
            <rFont val="Tahoma"/>
            <family val="2"/>
          </rPr>
          <t>Baxter, Melinda (Research):</t>
        </r>
        <r>
          <rPr>
            <sz val="9"/>
            <color indexed="81"/>
            <rFont val="Tahoma"/>
            <family val="2"/>
          </rPr>
          <t xml:space="preserve">
60.6</t>
        </r>
      </text>
    </comment>
    <comment ref="O276" authorId="0" shapeId="0" xr:uid="{29613CBE-5BDA-4A67-876E-971CED7C10F1}">
      <text>
        <r>
          <rPr>
            <b/>
            <sz val="9"/>
            <color indexed="81"/>
            <rFont val="Tahoma"/>
            <family val="2"/>
          </rPr>
          <t>Baxter, Melinda (Research):</t>
        </r>
        <r>
          <rPr>
            <sz val="9"/>
            <color indexed="81"/>
            <rFont val="Tahoma"/>
            <family val="2"/>
          </rPr>
          <t xml:space="preserve">
73.7</t>
        </r>
      </text>
    </comment>
    <comment ref="L277" authorId="0" shapeId="0" xr:uid="{2B02744B-3E9F-41A1-9138-DB176256CE21}">
      <text>
        <r>
          <rPr>
            <b/>
            <sz val="9"/>
            <color indexed="81"/>
            <rFont val="Tahoma"/>
            <family val="2"/>
          </rPr>
          <t>Baxter, Melinda (Research):</t>
        </r>
        <r>
          <rPr>
            <sz val="9"/>
            <color indexed="81"/>
            <rFont val="Tahoma"/>
            <family val="2"/>
          </rPr>
          <t xml:space="preserve">
68.9</t>
        </r>
      </text>
    </comment>
    <comment ref="O277" authorId="0" shapeId="0" xr:uid="{467B1E6D-9DC6-4D5A-8A7F-8A04891D3072}">
      <text>
        <r>
          <rPr>
            <b/>
            <sz val="9"/>
            <color indexed="81"/>
            <rFont val="Tahoma"/>
            <family val="2"/>
          </rPr>
          <t>Baxter, Melinda (Research):</t>
        </r>
        <r>
          <rPr>
            <sz val="9"/>
            <color indexed="81"/>
            <rFont val="Tahoma"/>
            <family val="2"/>
          </rPr>
          <t xml:space="preserve">
83.9</t>
        </r>
      </text>
    </comment>
    <comment ref="L278" authorId="0" shapeId="0" xr:uid="{9839FCD0-2746-4015-8E46-2ABB09912CF8}">
      <text>
        <r>
          <rPr>
            <b/>
            <sz val="9"/>
            <color indexed="81"/>
            <rFont val="Tahoma"/>
            <family val="2"/>
          </rPr>
          <t>Baxter, Melinda (Research):</t>
        </r>
        <r>
          <rPr>
            <sz val="9"/>
            <color indexed="81"/>
            <rFont val="Tahoma"/>
            <family val="2"/>
          </rPr>
          <t xml:space="preserve">
38</t>
        </r>
      </text>
    </comment>
    <comment ref="O278" authorId="0" shapeId="0" xr:uid="{C5882DCF-8DB6-4156-96B8-50FB39B8899A}">
      <text>
        <r>
          <rPr>
            <b/>
            <sz val="9"/>
            <color indexed="81"/>
            <rFont val="Tahoma"/>
            <family val="2"/>
          </rPr>
          <t>Baxter, Melinda (Research):</t>
        </r>
        <r>
          <rPr>
            <sz val="9"/>
            <color indexed="81"/>
            <rFont val="Tahoma"/>
            <family val="2"/>
          </rPr>
          <t xml:space="preserve">
51</t>
        </r>
      </text>
    </comment>
    <comment ref="L282" authorId="0" shapeId="0" xr:uid="{28A2CF26-9D88-4008-B2A8-2955A3349AC8}">
      <text>
        <r>
          <rPr>
            <b/>
            <sz val="9"/>
            <color indexed="81"/>
            <rFont val="Tahoma"/>
            <family val="2"/>
          </rPr>
          <t>Baxter, Melinda (Research):</t>
        </r>
        <r>
          <rPr>
            <sz val="9"/>
            <color indexed="81"/>
            <rFont val="Tahoma"/>
            <family val="2"/>
          </rPr>
          <t xml:space="preserve">
11.9</t>
        </r>
      </text>
    </comment>
    <comment ref="O282" authorId="0" shapeId="0" xr:uid="{8E29B8B2-A89F-4E70-A96F-EEC9B2D77447}">
      <text>
        <r>
          <rPr>
            <b/>
            <sz val="9"/>
            <color indexed="81"/>
            <rFont val="Tahoma"/>
            <family val="2"/>
          </rPr>
          <t>Baxter, Melinda (Research):</t>
        </r>
        <r>
          <rPr>
            <sz val="9"/>
            <color indexed="81"/>
            <rFont val="Tahoma"/>
            <family val="2"/>
          </rPr>
          <t xml:space="preserve">
10.1</t>
        </r>
      </text>
    </comment>
    <comment ref="R282" authorId="0" shapeId="0" xr:uid="{E2EF2EBC-5A25-43B6-BC69-BCA77328EB03}">
      <text>
        <r>
          <rPr>
            <b/>
            <sz val="9"/>
            <color indexed="81"/>
            <rFont val="Tahoma"/>
            <family val="2"/>
          </rPr>
          <t>Baxter, Melinda (Research):</t>
        </r>
        <r>
          <rPr>
            <sz val="9"/>
            <color indexed="81"/>
            <rFont val="Tahoma"/>
            <family val="2"/>
          </rPr>
          <t xml:space="preserve">
share based payements to decline over time</t>
        </r>
      </text>
    </comment>
    <comment ref="L283" authorId="0" shapeId="0" xr:uid="{0759C10D-1CE3-41E0-86A2-D7D1FDB412AB}">
      <text>
        <r>
          <rPr>
            <b/>
            <sz val="9"/>
            <color indexed="81"/>
            <rFont val="Tahoma"/>
            <family val="2"/>
          </rPr>
          <t>Baxter, Melinda (Research):</t>
        </r>
        <r>
          <rPr>
            <sz val="9"/>
            <color indexed="81"/>
            <rFont val="Tahoma"/>
            <family val="2"/>
          </rPr>
          <t xml:space="preserve">
0</t>
        </r>
      </text>
    </comment>
    <comment ref="O283" authorId="0" shapeId="0" xr:uid="{F38DA135-DAFC-4A7E-8C2F-4E803BD260E1}">
      <text>
        <r>
          <rPr>
            <b/>
            <sz val="9"/>
            <color indexed="81"/>
            <rFont val="Tahoma"/>
            <family val="2"/>
          </rPr>
          <t>Baxter, Melinda (Research):</t>
        </r>
        <r>
          <rPr>
            <sz val="9"/>
            <color indexed="81"/>
            <rFont val="Tahoma"/>
            <family val="2"/>
          </rPr>
          <t xml:space="preserve">
prospectus 1.1, gain on sale</t>
        </r>
      </text>
    </comment>
    <comment ref="L284" authorId="0" shapeId="0" xr:uid="{94AE917A-0784-4EE3-B049-BFB16F2924F3}">
      <text>
        <r>
          <rPr>
            <b/>
            <sz val="9"/>
            <color indexed="81"/>
            <rFont val="Tahoma"/>
            <family val="2"/>
          </rPr>
          <t>Baxter, Melinda (Research):</t>
        </r>
        <r>
          <rPr>
            <sz val="9"/>
            <color indexed="81"/>
            <rFont val="Tahoma"/>
            <family val="2"/>
          </rPr>
          <t xml:space="preserve">
16.9</t>
        </r>
      </text>
    </comment>
    <comment ref="O284" authorId="0" shapeId="0" xr:uid="{62894C8F-4E0F-451B-A9B9-9C31A59E3723}">
      <text>
        <r>
          <rPr>
            <b/>
            <sz val="9"/>
            <color indexed="81"/>
            <rFont val="Tahoma"/>
            <family val="2"/>
          </rPr>
          <t>Baxter, Melinda (Research):</t>
        </r>
        <r>
          <rPr>
            <sz val="9"/>
            <color indexed="81"/>
            <rFont val="Tahoma"/>
            <family val="2"/>
          </rPr>
          <t xml:space="preserve">
17.9</t>
        </r>
      </text>
    </comment>
    <comment ref="O285" authorId="0" shapeId="0" xr:uid="{BFF0B0E3-43CE-4A4B-B88B-5C3C9333D131}">
      <text>
        <r>
          <rPr>
            <b/>
            <sz val="9"/>
            <color indexed="81"/>
            <rFont val="Tahoma"/>
            <family val="2"/>
          </rPr>
          <t>Baxter, Melinda (Research):</t>
        </r>
        <r>
          <rPr>
            <sz val="9"/>
            <color indexed="81"/>
            <rFont val="Tahoma"/>
            <family val="2"/>
          </rPr>
          <t xml:space="preserve">
59.9</t>
        </r>
      </text>
    </comment>
    <comment ref="L288" authorId="1" shapeId="0" xr:uid="{0EC91C82-5A50-4723-A34B-DBC8D8F87FF0}">
      <text>
        <r>
          <rPr>
            <b/>
            <sz val="9"/>
            <color indexed="81"/>
            <rFont val="Tahoma"/>
            <family val="2"/>
          </rPr>
          <t>Ross, Mac (Research):</t>
        </r>
        <r>
          <rPr>
            <sz val="9"/>
            <color indexed="81"/>
            <rFont val="Tahoma"/>
            <family val="2"/>
          </rPr>
          <t xml:space="preserve">
31</t>
        </r>
      </text>
    </comment>
    <comment ref="O288" authorId="1" shapeId="0" xr:uid="{4C158C64-EB3B-49A5-809D-5CE96AAA6E2D}">
      <text>
        <r>
          <rPr>
            <b/>
            <sz val="9"/>
            <color indexed="81"/>
            <rFont val="Tahoma"/>
            <family val="2"/>
          </rPr>
          <t>Ross, Mac (Research):</t>
        </r>
        <r>
          <rPr>
            <sz val="9"/>
            <color indexed="81"/>
            <rFont val="Tahoma"/>
            <family val="2"/>
          </rPr>
          <t xml:space="preserve">
40.2
</t>
        </r>
      </text>
    </comment>
    <comment ref="L290" authorId="1" shapeId="0" xr:uid="{BD7E7D1B-534B-4FBB-A79A-939A4A77E01A}">
      <text>
        <r>
          <rPr>
            <b/>
            <sz val="9"/>
            <color indexed="81"/>
            <rFont val="Tahoma"/>
            <family val="2"/>
          </rPr>
          <t>Ross, Mac (Research):</t>
        </r>
        <r>
          <rPr>
            <sz val="9"/>
            <color indexed="81"/>
            <rFont val="Tahoma"/>
            <family val="2"/>
          </rPr>
          <t xml:space="preserve">
12</t>
        </r>
      </text>
    </comment>
    <comment ref="O290" authorId="1" shapeId="0" xr:uid="{6E2BB363-ADA9-4B2A-AF08-197C2C8FEBC8}">
      <text>
        <r>
          <rPr>
            <b/>
            <sz val="9"/>
            <color indexed="81"/>
            <rFont val="Tahoma"/>
            <family val="2"/>
          </rPr>
          <t>Ross, Mac (Research):</t>
        </r>
        <r>
          <rPr>
            <sz val="9"/>
            <color indexed="81"/>
            <rFont val="Tahoma"/>
            <family val="2"/>
          </rPr>
          <t xml:space="preserve">
19.7
</t>
        </r>
      </text>
    </comment>
    <comment ref="L292" authorId="1" shapeId="0" xr:uid="{8FC85A12-B55F-4292-9E16-CD77FB170AB9}">
      <text>
        <r>
          <rPr>
            <b/>
            <sz val="9"/>
            <color indexed="81"/>
            <rFont val="Tahoma"/>
            <family val="2"/>
          </rPr>
          <t>Ross, Mac (Research):</t>
        </r>
        <r>
          <rPr>
            <sz val="9"/>
            <color indexed="81"/>
            <rFont val="Tahoma"/>
            <family val="2"/>
          </rPr>
          <t xml:space="preserve">
2.4
</t>
        </r>
      </text>
    </comment>
    <comment ref="O292" authorId="1" shapeId="0" xr:uid="{7800F02F-59B8-468A-A774-DE69BA609E52}">
      <text>
        <r>
          <rPr>
            <b/>
            <sz val="9"/>
            <color indexed="81"/>
            <rFont val="Tahoma"/>
            <family val="2"/>
          </rPr>
          <t>Ross, Mac (Research):</t>
        </r>
        <r>
          <rPr>
            <sz val="9"/>
            <color indexed="81"/>
            <rFont val="Tahoma"/>
            <family val="2"/>
          </rPr>
          <t xml:space="preserve">
-0.2</t>
        </r>
      </text>
    </comment>
    <comment ref="F294" authorId="1" shapeId="0" xr:uid="{C2824CBF-2EED-4F84-9AE7-394C1D2781BE}">
      <text>
        <r>
          <rPr>
            <b/>
            <sz val="9"/>
            <color indexed="81"/>
            <rFont val="Tahoma"/>
            <family val="2"/>
          </rPr>
          <t>Ross, Mac (Research):</t>
        </r>
        <r>
          <rPr>
            <sz val="9"/>
            <color indexed="81"/>
            <rFont val="Tahoma"/>
            <family val="2"/>
          </rPr>
          <t xml:space="preserve">
5.6</t>
        </r>
      </text>
    </comment>
    <comment ref="I294" authorId="1" shapeId="0" xr:uid="{9C3778F8-D1F1-4499-BB9C-FF67392A8256}">
      <text>
        <r>
          <rPr>
            <b/>
            <sz val="9"/>
            <color indexed="81"/>
            <rFont val="Tahoma"/>
            <family val="2"/>
          </rPr>
          <t>Ross, Mac (Research):</t>
        </r>
        <r>
          <rPr>
            <sz val="9"/>
            <color indexed="81"/>
            <rFont val="Tahoma"/>
            <family val="2"/>
          </rPr>
          <t xml:space="preserve">
7.6
</t>
        </r>
      </text>
    </comment>
    <comment ref="L294" authorId="1" shapeId="0" xr:uid="{BEA0A381-CF0F-46E1-8025-A5BA0229D847}">
      <text>
        <r>
          <rPr>
            <b/>
            <sz val="9"/>
            <color indexed="81"/>
            <rFont val="Tahoma"/>
            <family val="2"/>
          </rPr>
          <t>Ross, Mac (Research):</t>
        </r>
        <r>
          <rPr>
            <sz val="9"/>
            <color indexed="81"/>
            <rFont val="Tahoma"/>
            <family val="2"/>
          </rPr>
          <t xml:space="preserve">
14.5</t>
        </r>
      </text>
    </comment>
    <comment ref="O294" authorId="1" shapeId="0" xr:uid="{9FC613FB-9270-47E2-AA58-5508C9BF7EF6}">
      <text>
        <r>
          <rPr>
            <b/>
            <sz val="9"/>
            <color indexed="81"/>
            <rFont val="Tahoma"/>
            <family val="2"/>
          </rPr>
          <t>Ross, Mac (Research):</t>
        </r>
        <r>
          <rPr>
            <sz val="9"/>
            <color indexed="81"/>
            <rFont val="Tahoma"/>
            <family val="2"/>
          </rPr>
          <t xml:space="preserve">
19.5
</t>
        </r>
      </text>
    </comment>
    <comment ref="L306" authorId="0" shapeId="0" xr:uid="{0229E43C-6C4A-4889-B736-3B1059069D0D}">
      <text>
        <r>
          <rPr>
            <b/>
            <sz val="9"/>
            <color indexed="81"/>
            <rFont val="Tahoma"/>
            <family val="2"/>
          </rPr>
          <t>Baxter, Melinda (Research):</t>
        </r>
        <r>
          <rPr>
            <sz val="9"/>
            <color indexed="81"/>
            <rFont val="Tahoma"/>
            <family val="2"/>
          </rPr>
          <t xml:space="preserve">
14.5</t>
        </r>
      </text>
    </comment>
    <comment ref="O306" authorId="0" shapeId="0" xr:uid="{6BFC0D29-0853-4B89-9B19-BAD2385B2BF8}">
      <text>
        <r>
          <rPr>
            <b/>
            <sz val="9"/>
            <color indexed="81"/>
            <rFont val="Tahoma"/>
            <family val="2"/>
          </rPr>
          <t>Baxter, Melinda (Research):</t>
        </r>
        <r>
          <rPr>
            <sz val="9"/>
            <color indexed="81"/>
            <rFont val="Tahoma"/>
            <family val="2"/>
          </rPr>
          <t xml:space="preserve">
19.5</t>
        </r>
      </text>
    </comment>
    <comment ref="L311" authorId="0" shapeId="0" xr:uid="{C0C4FEFB-DD1B-459C-83A8-1A22E0F4503C}">
      <text>
        <r>
          <rPr>
            <b/>
            <sz val="9"/>
            <color indexed="81"/>
            <rFont val="Tahoma"/>
            <family val="2"/>
          </rPr>
          <t>Baxter, Melinda (Research):</t>
        </r>
        <r>
          <rPr>
            <sz val="9"/>
            <color indexed="81"/>
            <rFont val="Tahoma"/>
            <family val="2"/>
          </rPr>
          <t xml:space="preserve">
 an effective tax rate of 69%, which reflects the non-deductibility of AASB 2 Share Based Payments
expense and no tax benefits recognised on income tax losses in the US.</t>
        </r>
      </text>
    </comment>
    <comment ref="O311" authorId="0" shapeId="0" xr:uid="{769407A9-8340-413A-ADA7-8065F14517F4}">
      <text>
        <r>
          <rPr>
            <b/>
            <sz val="9"/>
            <color indexed="81"/>
            <rFont val="Tahoma"/>
            <family val="2"/>
          </rPr>
          <t>Baxter, Melinda (Research):</t>
        </r>
        <r>
          <rPr>
            <sz val="9"/>
            <color indexed="81"/>
            <rFont val="Tahoma"/>
            <family val="2"/>
          </rPr>
          <t xml:space="preserve">
 an effective tax rate of 69%, which reflects the non-deductibility of AASB 2 Share Based Payments
expense and no tax benefits recognised on income tax losses in the US.</t>
        </r>
      </text>
    </comment>
    <comment ref="L327" authorId="1" shapeId="0" xr:uid="{5DF3E85E-E0A7-4920-8613-65C69A37FCCF}">
      <text>
        <r>
          <rPr>
            <b/>
            <sz val="9"/>
            <color indexed="81"/>
            <rFont val="Tahoma"/>
            <family val="2"/>
          </rPr>
          <t>Ross, Mac (Research):</t>
        </r>
        <r>
          <rPr>
            <sz val="9"/>
            <color indexed="81"/>
            <rFont val="Tahoma"/>
            <family val="2"/>
          </rPr>
          <t xml:space="preserve">
previously 101.363414</t>
        </r>
      </text>
    </comment>
    <comment ref="O327" authorId="1" shapeId="0" xr:uid="{42B3EF5B-7EF1-4DA9-98A4-A021082C5E4E}">
      <text>
        <r>
          <rPr>
            <b/>
            <sz val="9"/>
            <color indexed="81"/>
            <rFont val="Tahoma"/>
            <family val="2"/>
          </rPr>
          <t>Ross, Mac (Research):</t>
        </r>
        <r>
          <rPr>
            <sz val="9"/>
            <color indexed="81"/>
            <rFont val="Tahoma"/>
            <family val="2"/>
          </rPr>
          <t xml:space="preserve">
previously 101.363414</t>
        </r>
      </text>
    </comment>
    <comment ref="F347" authorId="1" shapeId="0" xr:uid="{AC10322D-4D1E-475A-9A24-3160BA6E7202}">
      <text>
        <r>
          <rPr>
            <b/>
            <sz val="9"/>
            <color indexed="81"/>
            <rFont val="Tahoma"/>
            <family val="2"/>
          </rPr>
          <t>Ross, Mac (Research):</t>
        </r>
        <r>
          <rPr>
            <sz val="9"/>
            <color indexed="81"/>
            <rFont val="Tahoma"/>
            <family val="2"/>
          </rPr>
          <t xml:space="preserve">
Gross CapEx Aust
 * Restaurant 13.6 + Other (Hola Central) 3.4
* US CapEx 2.4
=19.4….
Excludes +0.1 of Aust landlord contributions
</t>
        </r>
      </text>
    </comment>
    <comment ref="I347" authorId="1" shapeId="0" xr:uid="{47577E18-34F2-45F2-A956-0D1E72D37F28}">
      <text>
        <r>
          <rPr>
            <b/>
            <sz val="9"/>
            <color indexed="81"/>
            <rFont val="Tahoma"/>
            <family val="2"/>
          </rPr>
          <t>Ross, Mac (Research):</t>
        </r>
        <r>
          <rPr>
            <sz val="9"/>
            <color indexed="81"/>
            <rFont val="Tahoma"/>
            <family val="2"/>
          </rPr>
          <t xml:space="preserve">
Gross CapEx Aust
 * Restaurant 26 + Other (Hola Central) 0.3
* US CapEx 13.4
=39.7….
Excludes +0.7 of Aust landlord contributions</t>
        </r>
      </text>
    </comment>
    <comment ref="L347" authorId="14" shapeId="0" xr:uid="{E5FD7382-940E-4DCD-A374-FE5D41707A64}">
      <text>
        <t>[Threaded comment]
Your version of Excel allows you to read this threaded comment; however, any edits to it will get removed if the file is opened in a newer version of Excel. Learn more: https://go.microsoft.com/fwlink/?linkid=870924
Comment:
    34.5</t>
      </text>
    </comment>
    <comment ref="O347" authorId="15" shapeId="0" xr:uid="{0133854B-E5E5-4FD2-8DED-85CDA346D50A}">
      <text>
        <t>[Threaded comment]
Your version of Excel allows you to read this threaded comment; however, any edits to it will get removed if the file is opened in a newer version of Excel. Learn more: https://go.microsoft.com/fwlink/?linkid=870924
Comment:
    59.8</t>
      </text>
    </comment>
    <comment ref="B383" authorId="1" shapeId="0" xr:uid="{0B50BB01-44B0-4992-BB73-E9E456E355C3}">
      <text>
        <r>
          <rPr>
            <b/>
            <sz val="9"/>
            <color indexed="81"/>
            <rFont val="Tahoma"/>
            <family val="2"/>
          </rPr>
          <t>Ross, Mac (Research):</t>
        </r>
        <r>
          <rPr>
            <sz val="9"/>
            <color indexed="81"/>
            <rFont val="Tahoma"/>
            <family val="2"/>
          </rPr>
          <t xml:space="preserve">
Amortisation of reacquired rights due to the buyback of franchise restaurants from
franchisees. These are typically amortised over the remaining term of the lease.</t>
        </r>
      </text>
    </comment>
    <comment ref="L454" authorId="16" shapeId="0" xr:uid="{1930AE81-7725-4533-B275-3668F0445A52}">
      <text>
        <t>[Threaded comment]
Your version of Excel allows you to read this threaded comment; however, any edits to it will get removed if the file is opened in a newer version of Excel. Learn more: https://go.microsoft.com/fwlink/?linkid=870924
Comment:
    11</t>
      </text>
    </comment>
    <comment ref="L463" authorId="17" shapeId="0" xr:uid="{217F9D07-CEA6-487E-BEB2-21A83517139A}">
      <text>
        <t>[Threaded comment]
Your version of Excel allows you to read this threaded comment; however, any edits to it will get removed if the file is opened in a newer version of Excel. Learn more: https://go.microsoft.com/fwlink/?linkid=870924
Comment:
    -13.2</t>
      </text>
    </comment>
    <comment ref="O463" authorId="18" shapeId="0" xr:uid="{A6B5474C-F7E0-4C5C-BE91-49F4A34CD823}">
      <text>
        <t>[Threaded comment]
Your version of Excel allows you to read this threaded comment; however, any edits to it will get removed if the file is opened in a newer version of Excel. Learn more: https://go.microsoft.com/fwlink/?linkid=870924
Comment:
    -17.4</t>
      </text>
    </comment>
    <comment ref="L466" authorId="19" shapeId="0" xr:uid="{E3EDA3AF-1EF5-48CA-80C2-2257A82753CE}">
      <text>
        <t>[Threaded comment]
Your version of Excel allows you to read this threaded comment; however, any edits to it will get removed if the file is opened in a newer version of Excel. Learn more: https://go.microsoft.com/fwlink/?linkid=870924
Comment:
    4.7</t>
      </text>
    </comment>
    <comment ref="O466" authorId="20" shapeId="0" xr:uid="{63EBB079-B3B3-423B-B1E2-58C8611FEA49}">
      <text>
        <t>[Threaded comment]
Your version of Excel allows you to read this threaded comment; however, any edits to it will get removed if the file is opened in a newer version of Excel. Learn more: https://go.microsoft.com/fwlink/?linkid=870924
Comment:
    8.6</t>
      </text>
    </comment>
    <comment ref="L472" authorId="21" shapeId="0" xr:uid="{18C1636A-3817-41F4-801C-BCF52EE1790A}">
      <text>
        <t>[Threaded comment]
Your version of Excel allows you to read this threaded comment; however, any edits to it will get removed if the file is opened in a newer version of Excel. Learn more: https://go.microsoft.com/fwlink/?linkid=870924
Comment:
    15.7</t>
      </text>
    </comment>
    <comment ref="O472" authorId="22" shapeId="0" xr:uid="{34458B6E-5FAD-47BB-9FFD-007F2C36AC6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17.2
</t>
      </text>
    </comment>
    <comment ref="L486" authorId="1" shapeId="0" xr:uid="{21E5F857-6DEB-4276-B2C1-80497751751E}">
      <text>
        <r>
          <rPr>
            <b/>
            <sz val="9"/>
            <color indexed="81"/>
            <rFont val="Tahoma"/>
            <family val="2"/>
          </rPr>
          <t>Ross, Mac (Research):</t>
        </r>
        <r>
          <rPr>
            <sz val="9"/>
            <color indexed="81"/>
            <rFont val="Tahoma"/>
            <family val="2"/>
          </rPr>
          <t xml:space="preserve">
MSe</t>
        </r>
      </text>
    </comment>
    <comment ref="O486" authorId="1" shapeId="0" xr:uid="{C45ECD6C-5DD6-47CD-8D3C-A4DB4C3247BC}">
      <text>
        <r>
          <rPr>
            <b/>
            <sz val="9"/>
            <color indexed="81"/>
            <rFont val="Tahoma"/>
            <family val="2"/>
          </rPr>
          <t>Ross, Mac (Research):</t>
        </r>
        <r>
          <rPr>
            <sz val="9"/>
            <color indexed="81"/>
            <rFont val="Tahoma"/>
            <family val="2"/>
          </rPr>
          <t xml:space="preserve">
MSe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tc={D4B67988-1FC0-4502-855B-D688220F39D1}</author>
    <author>tc={BC3BF2EA-6D60-4226-88FF-E74FE65608E7}</author>
    <author>tc={8C97C474-4832-4689-B38E-36BBC4339E8C}</author>
    <author>tc={E53933F2-8926-4740-87ED-BF35C578CDF5}</author>
    <author>tc={CEC3EC75-4455-4A0F-BAD7-B68B73659BBC}</author>
    <author>Ross, Mac (Research)</author>
  </authors>
  <commentList>
    <comment ref="P25" authorId="0" shapeId="0" xr:uid="{D4B67988-1FC0-4502-855B-D688220F39D1}">
      <text>
        <t>[Threaded comment]
Your version of Excel allows you to read this threaded comment; however, any edits to it will get removed if the file is opened in a newer version of Excel. Learn more: https://go.microsoft.com/fwlink/?linkid=870924
Comment:
    Guidance of 20</t>
      </text>
    </comment>
    <comment ref="R26" authorId="1" shapeId="0" xr:uid="{BC3BF2EA-6D60-4226-88FF-E74FE65608E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Targeting 85% of new stores </t>
      </text>
    </comment>
    <comment ref="Q30" authorId="2" shapeId="0" xr:uid="{8C97C474-4832-4689-B38E-36BBC4339E8C}">
      <text>
        <t>[Threaded comment]
Your version of Excel allows you to read this threaded comment; however, any edits to it will get removed if the file is opened in a newer version of Excel. Learn more: https://go.microsoft.com/fwlink/?linkid=870924
Comment:
    Near term strip to be higher vs. 15%</t>
      </text>
    </comment>
    <comment ref="S32" authorId="3" shapeId="0" xr:uid="{E53933F2-8926-4740-87ED-BF35C578CDF5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Targeting 40 within 5yrs</t>
      </text>
    </comment>
    <comment ref="R33" authorId="4" shapeId="0" xr:uid="{CEC3EC75-4455-4A0F-BAD7-B68B73659BBC}">
      <text>
        <t>[Threaded comment]
Your version of Excel allows you to read this threaded comment; however, any edits to it will get removed if the file is opened in a newer version of Excel. Learn more: https://go.microsoft.com/fwlink/?linkid=870924
Comment:
    95  sites identified out to FY27</t>
      </text>
    </comment>
    <comment ref="M108" authorId="5" shapeId="0" xr:uid="{1A935D11-DBAB-4FD3-B644-3489D18BF2A3}">
      <text>
        <r>
          <rPr>
            <b/>
            <sz val="9"/>
            <color indexed="81"/>
            <rFont val="Tahoma"/>
            <family val="2"/>
          </rPr>
          <t>Ross, Mac (Research):</t>
        </r>
        <r>
          <rPr>
            <sz val="9"/>
            <color indexed="81"/>
            <rFont val="Tahoma"/>
            <family val="2"/>
          </rPr>
          <t xml:space="preserve">
inc new store and refurbishment capex
</t>
        </r>
      </text>
    </comment>
    <comment ref="M115" authorId="5" shapeId="0" xr:uid="{D3683423-E6A1-4C52-A793-020AD9C74F4E}">
      <text>
        <r>
          <rPr>
            <b/>
            <sz val="9"/>
            <color indexed="81"/>
            <rFont val="Tahoma"/>
            <family val="2"/>
          </rPr>
          <t>Ross, Mac (Research):</t>
        </r>
        <r>
          <rPr>
            <sz val="9"/>
            <color indexed="81"/>
            <rFont val="Tahoma"/>
            <family val="2"/>
          </rPr>
          <t xml:space="preserve">
inc new store and refurbishment capex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<sst xmlns="http://schemas.openxmlformats.org/spreadsheetml/2006/main" count="2050" uniqueCount="1133">
  <si>
    <t>unit</t>
  </si>
  <si>
    <t>FY22</t>
  </si>
  <si>
    <t>1H23</t>
  </si>
  <si>
    <t>2H23</t>
  </si>
  <si>
    <t>FY23</t>
  </si>
  <si>
    <t>1H24</t>
  </si>
  <si>
    <t>FY24e</t>
  </si>
  <si>
    <t>FY25e</t>
  </si>
  <si>
    <t>1H26e</t>
  </si>
  <si>
    <t>2H26e</t>
  </si>
  <si>
    <t>FY26e</t>
  </si>
  <si>
    <t>1H27e</t>
  </si>
  <si>
    <t>2H27e</t>
  </si>
  <si>
    <t>FY27e</t>
  </si>
  <si>
    <t>Guzman Y Gomez (GYG.AX)</t>
  </si>
  <si>
    <t>Year ended 30 June</t>
  </si>
  <si>
    <t>FY20</t>
  </si>
  <si>
    <t>FY21</t>
  </si>
  <si>
    <t>1H28e</t>
  </si>
  <si>
    <t>2H28e</t>
  </si>
  <si>
    <t>FY28e</t>
  </si>
  <si>
    <t>Pro forma</t>
  </si>
  <si>
    <t>Assumptions</t>
  </si>
  <si>
    <t>l</t>
  </si>
  <si>
    <t>Summary</t>
  </si>
  <si>
    <t>Network Sales</t>
  </si>
  <si>
    <t>US</t>
  </si>
  <si>
    <t>% change</t>
  </si>
  <si>
    <t>A$m</t>
  </si>
  <si>
    <t>%</t>
  </si>
  <si>
    <t>LFL gth</t>
  </si>
  <si>
    <t>Total Network Sales</t>
  </si>
  <si>
    <t xml:space="preserve"> </t>
  </si>
  <si>
    <t>Total Revenue</t>
  </si>
  <si>
    <t>Restaurants BOP</t>
  </si>
  <si>
    <t>Acquisitions / disposals</t>
  </si>
  <si>
    <t>Net openings</t>
  </si>
  <si>
    <t>Restaurants EOP</t>
  </si>
  <si>
    <t>Average stores</t>
  </si>
  <si>
    <t>% gth</t>
  </si>
  <si>
    <t>Restaurants BOP (Corp + Franchised)</t>
  </si>
  <si>
    <t>Network Sales per Store (mature)</t>
  </si>
  <si>
    <t>Network Sales per Store (New)</t>
  </si>
  <si>
    <t>Network sales</t>
  </si>
  <si>
    <t>% chg</t>
  </si>
  <si>
    <t>JP</t>
  </si>
  <si>
    <t>Revenue</t>
  </si>
  <si>
    <t xml:space="preserve">Net openings </t>
  </si>
  <si>
    <t>Master Franchisee fee</t>
  </si>
  <si>
    <t>Store operating profit</t>
  </si>
  <si>
    <t>Australia - Franchised</t>
  </si>
  <si>
    <t>SGP - Franchised</t>
  </si>
  <si>
    <t>JP - Franchised</t>
  </si>
  <si>
    <t>Australia - Corporate</t>
  </si>
  <si>
    <t>SG</t>
  </si>
  <si>
    <t>% of mature</t>
  </si>
  <si>
    <t xml:space="preserve">% royalty </t>
  </si>
  <si>
    <t>% gth in rev</t>
  </si>
  <si>
    <t>Aust (Corp + Franchise)</t>
  </si>
  <si>
    <t>Aust  / SG / JP</t>
  </si>
  <si>
    <t>Expense</t>
  </si>
  <si>
    <t>% Network sales</t>
  </si>
  <si>
    <t>Financial statements</t>
  </si>
  <si>
    <t>Income Statement</t>
  </si>
  <si>
    <t>Cost of food and packaging</t>
  </si>
  <si>
    <t>Employee benefits</t>
  </si>
  <si>
    <t>Administrative expenses</t>
  </si>
  <si>
    <t>Marketing expenses</t>
  </si>
  <si>
    <t>Other expenses</t>
  </si>
  <si>
    <t>EBITDA</t>
  </si>
  <si>
    <t>EBIT</t>
  </si>
  <si>
    <t>Finance income</t>
  </si>
  <si>
    <t>Finance costs</t>
  </si>
  <si>
    <t>PBT</t>
  </si>
  <si>
    <t xml:space="preserve">Income tax expense </t>
  </si>
  <si>
    <t>Cost summary</t>
  </si>
  <si>
    <t>Total expenses</t>
  </si>
  <si>
    <t>% of Corp Network sales (Aust &amp; US)</t>
  </si>
  <si>
    <t>% of Group network sales</t>
  </si>
  <si>
    <t>Expense growth rate</t>
  </si>
  <si>
    <t>Normalised EBITDA</t>
  </si>
  <si>
    <t>Segment Underlying EBITDA</t>
  </si>
  <si>
    <t>Other</t>
  </si>
  <si>
    <t>Other Revenue &amp; Income</t>
  </si>
  <si>
    <t>% margin to Network sales</t>
  </si>
  <si>
    <t>% margin to Revenue</t>
  </si>
  <si>
    <t xml:space="preserve">% chg </t>
  </si>
  <si>
    <t>Australia / Singapore / Japan</t>
  </si>
  <si>
    <t>G&amp;A expense - Segment underlying EBITDA</t>
  </si>
  <si>
    <t>Corp restaurant margin</t>
  </si>
  <si>
    <t>Franchise revenue</t>
  </si>
  <si>
    <t>G&amp;A expense</t>
  </si>
  <si>
    <t>Bridge to Normalised EBITDA</t>
  </si>
  <si>
    <t>*** excluded from ^ segment EBITDA</t>
  </si>
  <si>
    <t>AASB 2 Share based payments</t>
  </si>
  <si>
    <t>Other costs</t>
  </si>
  <si>
    <t xml:space="preserve">Rent and outgoings </t>
  </si>
  <si>
    <t>check</t>
  </si>
  <si>
    <t xml:space="preserve">Reported underlying revenue </t>
  </si>
  <si>
    <t>PPE (BOP)</t>
  </si>
  <si>
    <t>Depreciation</t>
  </si>
  <si>
    <t>CapEx</t>
  </si>
  <si>
    <t>PPE (EOP)</t>
  </si>
  <si>
    <t>Depreciation (PPE)</t>
  </si>
  <si>
    <t>% revenue</t>
  </si>
  <si>
    <t>Total CapEx</t>
  </si>
  <si>
    <t>Depreciation (Right of use assets)</t>
  </si>
  <si>
    <t xml:space="preserve">Balance sheet </t>
  </si>
  <si>
    <t>Currents Assets</t>
  </si>
  <si>
    <t>Cash &amp; Cash Equivalents</t>
  </si>
  <si>
    <t>Trade &amp; Other Receivables</t>
  </si>
  <si>
    <t>Inventories</t>
  </si>
  <si>
    <t>Finance Lease Receivables</t>
  </si>
  <si>
    <t>Other Assets</t>
  </si>
  <si>
    <t>Total Current Assets</t>
  </si>
  <si>
    <t>Non-current Assets</t>
  </si>
  <si>
    <t>Trade &amp; other Receivables</t>
  </si>
  <si>
    <t>Property, Plant &amp; Equipment</t>
  </si>
  <si>
    <t>Right-of-use Assets</t>
  </si>
  <si>
    <t>Finance Lease Receivable</t>
  </si>
  <si>
    <t>Intangibles</t>
  </si>
  <si>
    <t>Deferred Tax</t>
  </si>
  <si>
    <t>Total Non-Current Assets</t>
  </si>
  <si>
    <t>Total Assets</t>
  </si>
  <si>
    <t>Current Liabilities</t>
  </si>
  <si>
    <t>Trade &amp; Other Payables</t>
  </si>
  <si>
    <t>Contract Liabilities</t>
  </si>
  <si>
    <t>Lease Liabilities</t>
  </si>
  <si>
    <t>Income Tax</t>
  </si>
  <si>
    <t>Provisions</t>
  </si>
  <si>
    <t>Total Current Liabilities</t>
  </si>
  <si>
    <t>Total Non-Current Liabilities</t>
  </si>
  <si>
    <t>Borrowings</t>
  </si>
  <si>
    <t>Total Liabilities</t>
  </si>
  <si>
    <t>Net Assets</t>
  </si>
  <si>
    <t>Issued Capital</t>
  </si>
  <si>
    <t>Reserves</t>
  </si>
  <si>
    <t>Accumulated Gains/(Losses)</t>
  </si>
  <si>
    <r>
      <t xml:space="preserve">Normalised EBITDA </t>
    </r>
    <r>
      <rPr>
        <b/>
        <sz val="11"/>
        <color rgb="FFFF0000"/>
        <rFont val="Roboto Condensed"/>
      </rPr>
      <t>post AASB16</t>
    </r>
  </si>
  <si>
    <t>% of Corp Network Sales</t>
  </si>
  <si>
    <t>Tax</t>
  </si>
  <si>
    <t>Shares</t>
  </si>
  <si>
    <t>Balance Sheet</t>
  </si>
  <si>
    <t>Additions</t>
  </si>
  <si>
    <t>ROUA EOP</t>
  </si>
  <si>
    <t>% Growth</t>
  </si>
  <si>
    <t>Amortisation</t>
  </si>
  <si>
    <t>% of revenue</t>
  </si>
  <si>
    <t>Total Amortisation</t>
  </si>
  <si>
    <t>Operating activities</t>
  </si>
  <si>
    <t>Depreciation and amortisation</t>
  </si>
  <si>
    <t>Equity settled share-based payments</t>
  </si>
  <si>
    <t xml:space="preserve">Change in operating assets and liabilities </t>
  </si>
  <si>
    <t>Other non-cash items</t>
  </si>
  <si>
    <t>Investing activities</t>
  </si>
  <si>
    <t>Net payments for PP&amp;E</t>
  </si>
  <si>
    <t>Net payments for Intangibles</t>
  </si>
  <si>
    <t>Net payments for purchases of business</t>
  </si>
  <si>
    <t>Financing activities</t>
  </si>
  <si>
    <t>Net cash flow from issue of shares</t>
  </si>
  <si>
    <t>Other financing activities</t>
  </si>
  <si>
    <t>Lease payments (principle &amp; interest)</t>
  </si>
  <si>
    <t xml:space="preserve">Lease incentives received </t>
  </si>
  <si>
    <t>Net cash from investing activities</t>
  </si>
  <si>
    <t>Net cash from financing activities</t>
  </si>
  <si>
    <t>Net cash from operating activities</t>
  </si>
  <si>
    <t>PPE</t>
  </si>
  <si>
    <t>Intangibles BOP</t>
  </si>
  <si>
    <t>Right of Use Asset</t>
  </si>
  <si>
    <t>Right Of Use Asset BOP</t>
  </si>
  <si>
    <t>Amortisation of Reacquired rights</t>
  </si>
  <si>
    <t>Intangibles EOP</t>
  </si>
  <si>
    <t>LT Finance Lease Receivable</t>
  </si>
  <si>
    <t>% of Franchisee Network Sales</t>
  </si>
  <si>
    <t>Total PPE + Intangibles</t>
  </si>
  <si>
    <t xml:space="preserve">Total D&amp;A </t>
  </si>
  <si>
    <t>Total CapEX</t>
  </si>
  <si>
    <t>% Revenue</t>
  </si>
  <si>
    <t>Working Capital</t>
  </si>
  <si>
    <t>Receivables</t>
  </si>
  <si>
    <t>Payables</t>
  </si>
  <si>
    <t>Net Working Capital</t>
  </si>
  <si>
    <t>Days Receivable</t>
  </si>
  <si>
    <t>Days Inventories</t>
  </si>
  <si>
    <t>Days Payables</t>
  </si>
  <si>
    <t>Working capital (incr.)/decr.</t>
  </si>
  <si>
    <t>Financial Assumptions</t>
  </si>
  <si>
    <t>Basic SOI (weighted average)</t>
  </si>
  <si>
    <t>Diluted SOI (weighted average)</t>
  </si>
  <si>
    <t>Start</t>
  </si>
  <si>
    <t>Change</t>
  </si>
  <si>
    <t>End</t>
  </si>
  <si>
    <t xml:space="preserve">Proceeds from borrowing </t>
  </si>
  <si>
    <t>Repayment of debt</t>
  </si>
  <si>
    <t>Short Term Borrowings</t>
  </si>
  <si>
    <t>BOP</t>
  </si>
  <si>
    <t>EOP</t>
  </si>
  <si>
    <t xml:space="preserve">Long Term Borrowings </t>
  </si>
  <si>
    <t>Total Borrowings</t>
  </si>
  <si>
    <t>Average</t>
  </si>
  <si>
    <t>Average Borrowings</t>
  </si>
  <si>
    <t>Cash</t>
  </si>
  <si>
    <t>Interest expense</t>
  </si>
  <si>
    <t>Interest rate</t>
  </si>
  <si>
    <t>Interest revenue</t>
  </si>
  <si>
    <t>Net interest expense</t>
  </si>
  <si>
    <t>AASB16 interest</t>
  </si>
  <si>
    <t>Interest income</t>
  </si>
  <si>
    <t>Net interest (AASB16)</t>
  </si>
  <si>
    <t>Total Interest Income</t>
  </si>
  <si>
    <t>Total Interest Expense</t>
  </si>
  <si>
    <t xml:space="preserve">Net Interest </t>
  </si>
  <si>
    <t>% of Lease liability</t>
  </si>
  <si>
    <t>Hardcoded Average Borrowings</t>
  </si>
  <si>
    <t>Hardcoded Average Cash</t>
  </si>
  <si>
    <t>Interest summary</t>
  </si>
  <si>
    <t>Net Debt</t>
  </si>
  <si>
    <t>Average Net Debt</t>
  </si>
  <si>
    <t>Net change in cash</t>
  </si>
  <si>
    <t>Cash at the beginning of year</t>
  </si>
  <si>
    <t>Effects of fx</t>
  </si>
  <si>
    <t>Cash at end of year</t>
  </si>
  <si>
    <t>Test</t>
  </si>
  <si>
    <t>Change in franchisee receivables</t>
  </si>
  <si>
    <t>$ Change</t>
  </si>
  <si>
    <t xml:space="preserve">% of Finance Lease Receivable </t>
  </si>
  <si>
    <t>Dividends paid</t>
  </si>
  <si>
    <t>Gross Profit</t>
  </si>
  <si>
    <t>Australia</t>
  </si>
  <si>
    <t>Singapore</t>
  </si>
  <si>
    <t>Japan</t>
  </si>
  <si>
    <t>Total revenue</t>
  </si>
  <si>
    <t>% margin</t>
  </si>
  <si>
    <t>Total OPEX</t>
  </si>
  <si>
    <t>D&amp;A</t>
  </si>
  <si>
    <t>Profit before tax</t>
  </si>
  <si>
    <t>NPAT (underlying)</t>
  </si>
  <si>
    <t>NRI (post tax)</t>
  </si>
  <si>
    <t>NPAT (reported)</t>
  </si>
  <si>
    <t>Underlying EPS (Diluted) (Modelware)</t>
  </si>
  <si>
    <t>Reported EPS (Basic)</t>
  </si>
  <si>
    <t>Reported EPS (Diluted)</t>
  </si>
  <si>
    <t>Weighted average shares (basic)</t>
  </si>
  <si>
    <t>Weighted average shares (diluted)</t>
  </si>
  <si>
    <t>c</t>
  </si>
  <si>
    <t>m</t>
  </si>
  <si>
    <t>Tax expense</t>
  </si>
  <si>
    <t>Effective Tax Rate</t>
  </si>
  <si>
    <t>Dividends</t>
  </si>
  <si>
    <t>DPS</t>
  </si>
  <si>
    <t>Payout Ratio</t>
  </si>
  <si>
    <t>DCF Valuation</t>
  </si>
  <si>
    <t>FY29e</t>
  </si>
  <si>
    <t>FY30e</t>
  </si>
  <si>
    <t>FY31e</t>
  </si>
  <si>
    <t>FY32e</t>
  </si>
  <si>
    <t>FY33e</t>
  </si>
  <si>
    <t>FY34e</t>
  </si>
  <si>
    <t>Sales</t>
  </si>
  <si>
    <t>Less tax</t>
  </si>
  <si>
    <t>% growth</t>
  </si>
  <si>
    <t xml:space="preserve">% margin </t>
  </si>
  <si>
    <t>Working Capital/Sales</t>
  </si>
  <si>
    <t>Less CapEx</t>
  </si>
  <si>
    <t>CapEx/D&amp;A</t>
  </si>
  <si>
    <t>CapEx/Sales</t>
  </si>
  <si>
    <t>Change in Working Capital</t>
  </si>
  <si>
    <t>Less AASB16 Interest Expense</t>
  </si>
  <si>
    <t>Free cash flow</t>
  </si>
  <si>
    <t xml:space="preserve">Key assumptions </t>
  </si>
  <si>
    <t>Risk free rate</t>
  </si>
  <si>
    <t>Equity market risk premium</t>
  </si>
  <si>
    <t>Net debt/net debt + equity ratio</t>
  </si>
  <si>
    <t>Equity Beta</t>
  </si>
  <si>
    <t>#</t>
  </si>
  <si>
    <t>Cost of equity</t>
  </si>
  <si>
    <t>Tax rate</t>
  </si>
  <si>
    <t>Cost of debt (after tax)</t>
  </si>
  <si>
    <t>Cost of debt (before tax)</t>
  </si>
  <si>
    <t>WACC</t>
  </si>
  <si>
    <t>Date</t>
  </si>
  <si>
    <t>Year</t>
  </si>
  <si>
    <t>Date at end of period</t>
  </si>
  <si>
    <t>Day</t>
  </si>
  <si>
    <t>Years between now &amp; EOP</t>
  </si>
  <si>
    <t>FY35e</t>
  </si>
  <si>
    <t>Discount factor</t>
  </si>
  <si>
    <t>Discounted free cash flow</t>
  </si>
  <si>
    <t>Total discounted free cash flow</t>
  </si>
  <si>
    <t>PV of perpetual free cash flow</t>
  </si>
  <si>
    <t>Total present value free cash flows</t>
  </si>
  <si>
    <t>Less Net interest bearing debt</t>
  </si>
  <si>
    <t>Net Present Equity Value</t>
  </si>
  <si>
    <t>Number of GYG shares</t>
  </si>
  <si>
    <t>NPV per share</t>
  </si>
  <si>
    <t>Total_revenue</t>
  </si>
  <si>
    <t>Total_EBIT</t>
  </si>
  <si>
    <t>Tax_expense</t>
  </si>
  <si>
    <t>AASB16_Net_int</t>
  </si>
  <si>
    <t>Total D&amp;A ex AASB16</t>
  </si>
  <si>
    <t>Total_D&amp;A_ExAASB16</t>
  </si>
  <si>
    <t>Add D&amp;A ex ROA</t>
  </si>
  <si>
    <t>Revenue_Aust</t>
  </si>
  <si>
    <t>Revenue_SG</t>
  </si>
  <si>
    <t>Revenue_JP</t>
  </si>
  <si>
    <t>Revenue_US</t>
  </si>
  <si>
    <t>Rev_other</t>
  </si>
  <si>
    <t>Total D&amp;A</t>
  </si>
  <si>
    <t>Total EBIT</t>
  </si>
  <si>
    <t>Profit Before Tax</t>
  </si>
  <si>
    <t>Reported NPAT</t>
  </si>
  <si>
    <t>cents</t>
  </si>
  <si>
    <t>Total_COGS</t>
  </si>
  <si>
    <t>Total_OpEx</t>
  </si>
  <si>
    <t>Total_D&amp;A</t>
  </si>
  <si>
    <t>Total_Net_Int</t>
  </si>
  <si>
    <t>NRI_post_tax</t>
  </si>
  <si>
    <t>NPAT_reported</t>
  </si>
  <si>
    <t>EPS_underlying_diluted</t>
  </si>
  <si>
    <t>EPS_Reported_diluted</t>
  </si>
  <si>
    <t>Cash Flow Statement</t>
  </si>
  <si>
    <t>Key Metrics</t>
  </si>
  <si>
    <t>Financial Summary</t>
  </si>
  <si>
    <t>Morgan Stanley</t>
  </si>
  <si>
    <t>Guzman y Gomez</t>
  </si>
  <si>
    <t>GYG.AX</t>
  </si>
  <si>
    <t>Contents</t>
  </si>
  <si>
    <t>Financial Statements</t>
  </si>
  <si>
    <t>Valuation</t>
  </si>
  <si>
    <t xml:space="preserve">Last close </t>
  </si>
  <si>
    <t>Morgan Stanley Australian Consumer Team</t>
  </si>
  <si>
    <t>Melinda Baxter</t>
  </si>
  <si>
    <t>Morgan Stanley Australia Ltd</t>
  </si>
  <si>
    <t>Level 39, Chifley Tower, 2 Chifley Square</t>
  </si>
  <si>
    <t>Sydney 2000 Australia</t>
  </si>
  <si>
    <t>+612-9770 1176</t>
  </si>
  <si>
    <t>+612-9770 1579</t>
  </si>
  <si>
    <t>+612-9770 1658</t>
  </si>
  <si>
    <t>AUSTRALIAN CONSUMER RESEARCH</t>
  </si>
  <si>
    <t>Julia de Sterke</t>
  </si>
  <si>
    <t>Aust SSS growth</t>
  </si>
  <si>
    <t>Aust Stores</t>
  </si>
  <si>
    <t>Domestic listed Peers</t>
  </si>
  <si>
    <t>DMP-AU</t>
  </si>
  <si>
    <t>CKF-AU</t>
  </si>
  <si>
    <t>TWE-AU</t>
  </si>
  <si>
    <t>International</t>
  </si>
  <si>
    <t>CMG-US</t>
  </si>
  <si>
    <t>DPZ-US</t>
  </si>
  <si>
    <t>MCD-US</t>
  </si>
  <si>
    <t>NTM P/E Cons.</t>
  </si>
  <si>
    <t>Mkt Cap $m</t>
  </si>
  <si>
    <t>NTM PEG Cons.</t>
  </si>
  <si>
    <t>Last traded price</t>
  </si>
  <si>
    <t>GYG-AU</t>
  </si>
  <si>
    <t>1H29e</t>
  </si>
  <si>
    <t>2H29e</t>
  </si>
  <si>
    <t>Working_Cap_Chg</t>
  </si>
  <si>
    <t>Total_CapEx</t>
  </si>
  <si>
    <t>Growth rate</t>
  </si>
  <si>
    <t>Group Franchise Revenue (Aust /JP/SG)</t>
  </si>
  <si>
    <t>Network sales per store</t>
  </si>
  <si>
    <t>Aust Corp stores % Aust Corp + Franchisee</t>
  </si>
  <si>
    <t>% of mature store</t>
  </si>
  <si>
    <t xml:space="preserve">Network Sales </t>
  </si>
  <si>
    <t>LFL sales gth</t>
  </si>
  <si>
    <t>Store growth</t>
  </si>
  <si>
    <t xml:space="preserve">Implied cannibalisation / timing </t>
  </si>
  <si>
    <t>Sales Growth</t>
  </si>
  <si>
    <t>Expenses - post AASB16</t>
  </si>
  <si>
    <t>Lease incentives received</t>
  </si>
  <si>
    <t>Chang Financial Lease Receivable</t>
  </si>
  <si>
    <t>Lease Liability</t>
  </si>
  <si>
    <t>LT Lease liability BOP</t>
  </si>
  <si>
    <t>LT Lease Lliability EOP</t>
  </si>
  <si>
    <t>FY24</t>
  </si>
  <si>
    <t>FY25</t>
  </si>
  <si>
    <t>FY26</t>
  </si>
  <si>
    <t>FY27</t>
  </si>
  <si>
    <t>FY28</t>
  </si>
  <si>
    <t>FY29</t>
  </si>
  <si>
    <t>FY30</t>
  </si>
  <si>
    <t>FY31</t>
  </si>
  <si>
    <t>FY32</t>
  </si>
  <si>
    <t>FY33</t>
  </si>
  <si>
    <t>FY34</t>
  </si>
  <si>
    <t>FY35</t>
  </si>
  <si>
    <t>FY36</t>
  </si>
  <si>
    <t>FY37</t>
  </si>
  <si>
    <t>FY38</t>
  </si>
  <si>
    <t>FY39</t>
  </si>
  <si>
    <t>FY40</t>
  </si>
  <si>
    <t>FY41</t>
  </si>
  <si>
    <t>FY42</t>
  </si>
  <si>
    <t>FY43</t>
  </si>
  <si>
    <t>Franchised BOP</t>
  </si>
  <si>
    <t>Chg</t>
  </si>
  <si>
    <t>Franchised EOP</t>
  </si>
  <si>
    <t>Corporate BOP</t>
  </si>
  <si>
    <t>Total BOP</t>
  </si>
  <si>
    <t>Total EOP</t>
  </si>
  <si>
    <t>Strip/other</t>
  </si>
  <si>
    <t>GYG expects new store Franchisee/Corp to be 60:40.</t>
  </si>
  <si>
    <t>Drive thru</t>
  </si>
  <si>
    <t>net chg</t>
  </si>
  <si>
    <t>Near-term store tgt</t>
  </si>
  <si>
    <t>Tgt within 5 years</t>
  </si>
  <si>
    <t>Stores p.a.</t>
  </si>
  <si>
    <t>Drive-thru - 85%</t>
  </si>
  <si>
    <t>Strip/other - 15%</t>
  </si>
  <si>
    <t>** 95 sites identified/current pipeline, 86% are drive thru</t>
  </si>
  <si>
    <t>Notes</t>
  </si>
  <si>
    <t xml:space="preserve"> % of new</t>
  </si>
  <si>
    <t>New stores added</t>
  </si>
  <si>
    <t>Franchisee new stores</t>
  </si>
  <si>
    <t>Corporate new stores</t>
  </si>
  <si>
    <t>Store split</t>
  </si>
  <si>
    <t>Strip/Other</t>
  </si>
  <si>
    <t>Corporate EOP</t>
  </si>
  <si>
    <t xml:space="preserve">Franchised </t>
  </si>
  <si>
    <t>Corporate</t>
  </si>
  <si>
    <t>Inflation</t>
  </si>
  <si>
    <t>Drive thru per store</t>
  </si>
  <si>
    <t>New Drive thru Adds</t>
  </si>
  <si>
    <t>$ total</t>
  </si>
  <si>
    <t>Strip/Other per store</t>
  </si>
  <si>
    <t>New Strip/Other Adds</t>
  </si>
  <si>
    <t>Franchisee % share</t>
  </si>
  <si>
    <t>Corp % share</t>
  </si>
  <si>
    <t>Cumulative total</t>
  </si>
  <si>
    <t>Cash Flow statement</t>
  </si>
  <si>
    <t>Network gth</t>
  </si>
  <si>
    <t>FY15</t>
  </si>
  <si>
    <t>FY16</t>
  </si>
  <si>
    <t>FY17</t>
  </si>
  <si>
    <t>FY18</t>
  </si>
  <si>
    <t>FY19</t>
  </si>
  <si>
    <t>Corp</t>
  </si>
  <si>
    <t>A$</t>
  </si>
  <si>
    <t>Franchisee</t>
  </si>
  <si>
    <t>Total</t>
  </si>
  <si>
    <t xml:space="preserve">Network Sales per Store </t>
  </si>
  <si>
    <t>Network Growth</t>
  </si>
  <si>
    <t>Unit</t>
  </si>
  <si>
    <t>Total G&amp;A expense - Segment underlying EBITDA</t>
  </si>
  <si>
    <t>% share of Total expenses</t>
  </si>
  <si>
    <t>YoY chg</t>
  </si>
  <si>
    <t>Aust_total_network _sales</t>
  </si>
  <si>
    <t>CAGR</t>
  </si>
  <si>
    <t>Aust_Corp_network_sales</t>
  </si>
  <si>
    <t>Aust_Fran_Network_sales</t>
  </si>
  <si>
    <t>Aust_Total_stores</t>
  </si>
  <si>
    <t>Aust_corp_stores</t>
  </si>
  <si>
    <t>Aust_Fran_stores</t>
  </si>
  <si>
    <t>Aust_LFL</t>
  </si>
  <si>
    <t>Aust_Corp_EBITDA_margin</t>
  </si>
  <si>
    <t>Aust_Franchisee_Revenue</t>
  </si>
  <si>
    <t>Aust_Franchisee_royalty_fee</t>
  </si>
  <si>
    <t>Aust_G&amp;A_expense</t>
  </si>
  <si>
    <t>Aust_Network_sales_gth</t>
  </si>
  <si>
    <t>Avg store % gth</t>
  </si>
  <si>
    <t>YoY % gth</t>
  </si>
  <si>
    <t>Aust_total_network_gth</t>
  </si>
  <si>
    <t>Key Earnings Indicators</t>
  </si>
  <si>
    <t>SSSg - Aust</t>
  </si>
  <si>
    <t>Network gth - Aust</t>
  </si>
  <si>
    <t>Corp EBITDA restaurant margin</t>
  </si>
  <si>
    <t>NPAT_underlying</t>
  </si>
  <si>
    <t>Total_assets</t>
  </si>
  <si>
    <t>Net_assets</t>
  </si>
  <si>
    <t>ROE</t>
  </si>
  <si>
    <t>Upfront Franchisee fee per new restaurant</t>
  </si>
  <si>
    <t>Charge per restaurant</t>
  </si>
  <si>
    <t>Franchisee stores opened</t>
  </si>
  <si>
    <t>$</t>
  </si>
  <si>
    <t>Online Order Fee</t>
  </si>
  <si>
    <t>Mobile App/website sales % of Network sales</t>
  </si>
  <si>
    <t>Order fee % of Network sales</t>
  </si>
  <si>
    <t>Marketing fee</t>
  </si>
  <si>
    <t xml:space="preserve">Fee </t>
  </si>
  <si>
    <t>Other revenue &amp; income</t>
  </si>
  <si>
    <t>Aust Franchisee</t>
  </si>
  <si>
    <t>1H</t>
  </si>
  <si>
    <t>2H</t>
  </si>
  <si>
    <t>Model</t>
  </si>
  <si>
    <t xml:space="preserve">Other </t>
  </si>
  <si>
    <t>Margin</t>
  </si>
  <si>
    <t>Distribution food goods fee</t>
  </si>
  <si>
    <t>Royalty revenue</t>
  </si>
  <si>
    <t>Group Franchise  revenue</t>
  </si>
  <si>
    <t>Net Int exp</t>
  </si>
  <si>
    <t>Tax exp</t>
  </si>
  <si>
    <t xml:space="preserve">Rent &amp; outgoings expense </t>
  </si>
  <si>
    <t>Hola Central</t>
  </si>
  <si>
    <t>Corporate network</t>
  </si>
  <si>
    <t>Total Corp EoP</t>
  </si>
  <si>
    <t>Growth</t>
  </si>
  <si>
    <t>Aust Corp stores EoP</t>
  </si>
  <si>
    <t>US Corp stores EoP</t>
  </si>
  <si>
    <t>Per store</t>
  </si>
  <si>
    <t>Share Based Payments</t>
  </si>
  <si>
    <t>tax rate</t>
  </si>
  <si>
    <t>Add back</t>
  </si>
  <si>
    <t>US losses</t>
  </si>
  <si>
    <t>AUD</t>
  </si>
  <si>
    <t>Guzman y Gomez Ltd</t>
  </si>
  <si>
    <t>Statutory tax</t>
  </si>
  <si>
    <t xml:space="preserve">% growth </t>
  </si>
  <si>
    <t>No. new stores</t>
  </si>
  <si>
    <t>FY36e</t>
  </si>
  <si>
    <t>FY37e</t>
  </si>
  <si>
    <t>FY38e</t>
  </si>
  <si>
    <t>FY39e</t>
  </si>
  <si>
    <t>FY40e</t>
  </si>
  <si>
    <t>FY41e</t>
  </si>
  <si>
    <t>FY42e</t>
  </si>
  <si>
    <t>FY43e</t>
  </si>
  <si>
    <t>FY44e</t>
  </si>
  <si>
    <t>FY45e</t>
  </si>
  <si>
    <t xml:space="preserve">For MW </t>
  </si>
  <si>
    <t>FY44</t>
  </si>
  <si>
    <t>Restaurant CapEx</t>
  </si>
  <si>
    <t>Aust</t>
  </si>
  <si>
    <t>%  of total</t>
  </si>
  <si>
    <t>CapEx schedule</t>
  </si>
  <si>
    <t>% of Aust Corp network sales</t>
  </si>
  <si>
    <t>New store CapEx</t>
  </si>
  <si>
    <t>Aust Corp network sales</t>
  </si>
  <si>
    <t>% of Aust corp network sales</t>
  </si>
  <si>
    <t>Restaurant related CapEx</t>
  </si>
  <si>
    <t>Per store CapEx</t>
  </si>
  <si>
    <t>Net PP&amp;E per CF pro-forma</t>
  </si>
  <si>
    <t>US_store_net_openings</t>
  </si>
  <si>
    <t>Total restaurant CapEx</t>
  </si>
  <si>
    <t>Other/Difference</t>
  </si>
  <si>
    <t>US store adds</t>
  </si>
  <si>
    <t>Residual/refurbishment</t>
  </si>
  <si>
    <t>EV/EBITDA</t>
  </si>
  <si>
    <t>P/E</t>
  </si>
  <si>
    <t xml:space="preserve">Valuation </t>
  </si>
  <si>
    <t xml:space="preserve">Share Price </t>
  </si>
  <si>
    <t>Mkt Cap</t>
  </si>
  <si>
    <t>SOI</t>
  </si>
  <si>
    <t>1H30e</t>
  </si>
  <si>
    <t>2H30e</t>
  </si>
  <si>
    <t>1H31e</t>
  </si>
  <si>
    <t>2H31e</t>
  </si>
  <si>
    <t>1H32e</t>
  </si>
  <si>
    <t>2H32e</t>
  </si>
  <si>
    <t>1H33e</t>
  </si>
  <si>
    <t>2H33e</t>
  </si>
  <si>
    <t>1H34e</t>
  </si>
  <si>
    <t>2H34e</t>
  </si>
  <si>
    <t>1H35e</t>
  </si>
  <si>
    <t>2H35e</t>
  </si>
  <si>
    <t>Coporate restaurant EBITDA margin</t>
  </si>
  <si>
    <t>Aust_net_openings</t>
  </si>
  <si>
    <t>EV/EBITDA multiple</t>
  </si>
  <si>
    <t>Segment_underlying_EBITDA</t>
  </si>
  <si>
    <t>Group EBITDA inc lease/ex stock based comp</t>
  </si>
  <si>
    <t>SOI_diluted</t>
  </si>
  <si>
    <t>Net_Debt</t>
  </si>
  <si>
    <t>Shares (m)</t>
  </si>
  <si>
    <t>Net Debt (cash)</t>
  </si>
  <si>
    <t>Future Enterprise Value</t>
  </si>
  <si>
    <t>Present Enterprise Value</t>
  </si>
  <si>
    <t>Aust_network_gth_#</t>
  </si>
  <si>
    <t>TAG</t>
  </si>
  <si>
    <t>Equity value per share (EV-Net Debt)</t>
  </si>
  <si>
    <t>na</t>
  </si>
  <si>
    <t>EBIT_DCF</t>
  </si>
  <si>
    <t>nm</t>
  </si>
  <si>
    <t>total CapEx</t>
  </si>
  <si>
    <t>Corp store network gth</t>
  </si>
  <si>
    <t>total_CapEx</t>
  </si>
  <si>
    <t xml:space="preserve">what about the remiainng 8.2mn options? </t>
  </si>
  <si>
    <t>DCF</t>
  </si>
  <si>
    <t xml:space="preserve">Price Target </t>
  </si>
  <si>
    <t xml:space="preserve">Upside </t>
  </si>
  <si>
    <t>Terminal growth rate</t>
  </si>
  <si>
    <t>Property, Plant, &amp; Equipment</t>
  </si>
  <si>
    <t>Current Receivables</t>
  </si>
  <si>
    <t>Current Payables</t>
  </si>
  <si>
    <t>Total Debt</t>
  </si>
  <si>
    <t>Other Liabilities</t>
  </si>
  <si>
    <t>Capital Employed</t>
  </si>
  <si>
    <t>(Inc)/dec in working cap</t>
  </si>
  <si>
    <t>Operating cash flow</t>
  </si>
  <si>
    <t>Purchase of PPE</t>
  </si>
  <si>
    <t>Payments for Intangibles</t>
  </si>
  <si>
    <t>Other investing</t>
  </si>
  <si>
    <t>Total Investing Cash Flows</t>
  </si>
  <si>
    <t>Other financing</t>
  </si>
  <si>
    <t>Total Financing Cash Flows</t>
  </si>
  <si>
    <t xml:space="preserve">Mac Ross                     </t>
  </si>
  <si>
    <t>CA_cash</t>
  </si>
  <si>
    <t>CA_receivables</t>
  </si>
  <si>
    <t>Intangibles_BS</t>
  </si>
  <si>
    <t>CL_payables</t>
  </si>
  <si>
    <t>LT_borrowings</t>
  </si>
  <si>
    <t>Total_liabilities</t>
  </si>
  <si>
    <t>CF_D&amp;A</t>
  </si>
  <si>
    <t>CF_EBIT</t>
  </si>
  <si>
    <t>Chg_working_Cap</t>
  </si>
  <si>
    <t>CF_Income_tax</t>
  </si>
  <si>
    <t>OCF</t>
  </si>
  <si>
    <t>CF_PPE</t>
  </si>
  <si>
    <t>CF_Intangibles</t>
  </si>
  <si>
    <t>Div_paid</t>
  </si>
  <si>
    <t xml:space="preserve">Net_CF_Investing </t>
  </si>
  <si>
    <t xml:space="preserve">Net_CF_Financing </t>
  </si>
  <si>
    <t>Proceeds_borrowing</t>
  </si>
  <si>
    <t>Net borrowings</t>
  </si>
  <si>
    <t>Repayment_borrowings</t>
  </si>
  <si>
    <t>Net_chg_Cash</t>
  </si>
  <si>
    <t>Aust Network Sales growth</t>
  </si>
  <si>
    <t>Aust Corporate Restaurant EBITDA margin</t>
  </si>
  <si>
    <t>x</t>
  </si>
  <si>
    <t>Margins and returns</t>
  </si>
  <si>
    <t>EBITDA Segment Underlying</t>
  </si>
  <si>
    <t>NPAT (Underlying)</t>
  </si>
  <si>
    <t>Significant Items</t>
  </si>
  <si>
    <t>EBITDA Normalised</t>
  </si>
  <si>
    <t>Growth YoY</t>
  </si>
  <si>
    <t>Group G&amp;A (% of Revenue)</t>
  </si>
  <si>
    <t>ROA</t>
  </si>
  <si>
    <t>Total_G&amp;A_expense</t>
  </si>
  <si>
    <t>Tax_rate</t>
  </si>
  <si>
    <t>Enterprise value</t>
  </si>
  <si>
    <t>Aust_restaurant_CapEX</t>
  </si>
  <si>
    <t>US_ restaurant _CapEX</t>
  </si>
  <si>
    <t>Total_network_sales</t>
  </si>
  <si>
    <t>Aust_corp_network_sales_gth</t>
  </si>
  <si>
    <t>Aust_Franchisee_network_sales_gth</t>
  </si>
  <si>
    <t>Aust_corp_store_EBITDA</t>
  </si>
  <si>
    <t>Aust_corp_store_EBITDA_YoY_chg</t>
  </si>
  <si>
    <t>US_LFL_gth</t>
  </si>
  <si>
    <t>US_Network_sales_gth</t>
  </si>
  <si>
    <t>US_store_EoP</t>
  </si>
  <si>
    <t>US_Corp_EBITDA_margin</t>
  </si>
  <si>
    <t>US_Corp_EBITDA</t>
  </si>
  <si>
    <t>Other_franchisee_rev</t>
  </si>
  <si>
    <t>Total_EBIT_margin</t>
  </si>
  <si>
    <t xml:space="preserve">3yr CAGR </t>
  </si>
  <si>
    <t>EPS (Underlying, Diluted)</t>
  </si>
  <si>
    <t>EBITDA Normalised Margin</t>
  </si>
  <si>
    <t>EBITDA Segment Underlying Margin</t>
  </si>
  <si>
    <t>EBIT Margin</t>
  </si>
  <si>
    <t>NPAT Margin</t>
  </si>
  <si>
    <t>EV/EBITDA (Segment Underlying)</t>
  </si>
  <si>
    <t>EV/EBITDA (Normalised)</t>
  </si>
  <si>
    <t>Aust Network Sales</t>
  </si>
  <si>
    <t>US Network Sales</t>
  </si>
  <si>
    <t>Japan Network Sales</t>
  </si>
  <si>
    <t>Singapore Network Sales</t>
  </si>
  <si>
    <t>Aust Network growth (No. Stores)</t>
  </si>
  <si>
    <t>US Network Sales growth</t>
  </si>
  <si>
    <t>Japan Network Sales growth</t>
  </si>
  <si>
    <t>Singapore Network Sales growth</t>
  </si>
  <si>
    <t>Net Interest Expense</t>
  </si>
  <si>
    <t>SG_network_sales</t>
  </si>
  <si>
    <t>SG_network_sales % gth</t>
  </si>
  <si>
    <t>JP_network_sales</t>
  </si>
  <si>
    <t>JP_network_sales % gth</t>
  </si>
  <si>
    <t>US_network_sales</t>
  </si>
  <si>
    <t>Group_Corp_restaurant_margin</t>
  </si>
  <si>
    <t>Group_Franchise_rev</t>
  </si>
  <si>
    <t>Cents</t>
  </si>
  <si>
    <t>EBITDA (normalised)</t>
  </si>
  <si>
    <t>EBITDA_Normalised</t>
  </si>
  <si>
    <t>Aust restaurant CapEx</t>
  </si>
  <si>
    <t>US restaurant CapEx</t>
  </si>
  <si>
    <t>ND</t>
  </si>
  <si>
    <t>2H24</t>
  </si>
  <si>
    <t>DT</t>
  </si>
  <si>
    <t>Non DT</t>
  </si>
  <si>
    <t>Other_revenue</t>
  </si>
  <si>
    <t>2Q24</t>
  </si>
  <si>
    <t>4Q24</t>
  </si>
  <si>
    <t>1H25</t>
  </si>
  <si>
    <t>2H25</t>
  </si>
  <si>
    <t>Corporate rest sales</t>
  </si>
  <si>
    <t xml:space="preserve">US EBITDA </t>
  </si>
  <si>
    <t>4Q22</t>
  </si>
  <si>
    <t>2Q23</t>
  </si>
  <si>
    <t>4Q23</t>
  </si>
  <si>
    <t>Revenue_total_ex_Other</t>
  </si>
  <si>
    <t>FY46e</t>
  </si>
  <si>
    <t>1H36e</t>
  </si>
  <si>
    <t>2H36e</t>
  </si>
  <si>
    <t>Australia segment underlying</t>
  </si>
  <si>
    <t>US Segment underlying</t>
  </si>
  <si>
    <t>Total segment underlying</t>
  </si>
  <si>
    <t>Segment Underlying EBITDA - by segment</t>
  </si>
  <si>
    <t>% of network sales - Australia segment underlying EBITDA</t>
  </si>
  <si>
    <t>% of network sales - US segment underlying EBITDA</t>
  </si>
  <si>
    <t>% of network sales- total segment underlying EBITDA</t>
  </si>
  <si>
    <t>Fy25</t>
  </si>
  <si>
    <t>Underlying EPS (Basic)</t>
  </si>
  <si>
    <t>Franchise and other revenue</t>
  </si>
  <si>
    <t>Segmentunderlyingebitda_AUS</t>
  </si>
  <si>
    <t>Segmentunderlyingebitda_US</t>
  </si>
  <si>
    <t xml:space="preserve">17x inline with US established </t>
  </si>
  <si>
    <t>FY26e AU network SSSg</t>
  </si>
  <si>
    <t>AU underlying segment EBITDA as % of AU network sales</t>
  </si>
  <si>
    <t xml:space="preserve">1 Austin Road West </t>
  </si>
  <si>
    <t xml:space="preserve">Kowloon </t>
  </si>
  <si>
    <t xml:space="preserve">Hong Kong </t>
  </si>
  <si>
    <t>Tel: +852 2848 5200</t>
  </si>
  <si>
    <t>Authors: Melinda Baxter</t>
  </si>
  <si>
    <t>Date: 02 Feb 2026</t>
  </si>
  <si>
    <t>Ticker: GYG.AX</t>
  </si>
  <si>
    <t>Stock Rating: Overweight</t>
  </si>
  <si>
    <t>Industry: Australia Consumer</t>
  </si>
  <si>
    <t>Industry View: In-Line</t>
  </si>
  <si>
    <t>Target Price: 31.20</t>
  </si>
  <si>
    <t>e = Morgan Stanley Research estimates unless otherwise noted</t>
  </si>
  <si>
    <t>Source: Morgan Stanley Research unless otherwise noted</t>
  </si>
  <si>
    <t>Stocks ratings are relative to the analyst's industry coverage universe.</t>
  </si>
  <si>
    <t>Morgan Stanley does and seeks to do business with companies covered in Morgan Stanley Research. As a</t>
  </si>
  <si>
    <t>result, investors should be aware that the firm may have a conflict of interest that could affect the</t>
  </si>
  <si>
    <t>objectivity of Morgan Stanley Research. Investors should consider Morgan Stanley Research as only a</t>
  </si>
  <si>
    <t>single factor in making their investment decision.</t>
  </si>
  <si>
    <t>The information and opinions in Morgan Stanley Research were prepared or are disseminated by Morgan</t>
  </si>
  <si>
    <t>Stanley Asia Limited (which accepts the responsibility for its contents) and/or Morgan Stanley Asia</t>
  </si>
  <si>
    <t>(Singapore) Pte. (Registration number 199206298Z) and/or Morgan Stanley Asia (Singapore) Securities Pte</t>
  </si>
  <si>
    <t>Ltd (Registration number 200008434H), regulated by the Monetary Authority of Singapore (which accepts</t>
  </si>
  <si>
    <t>legal responsibility for its contents and should be contacted with respect to any matters arising from,</t>
  </si>
  <si>
    <t>or in connection with, Morgan Stanley Research), and/or Morgan Stanley Taiwan Limited and/or Morgan</t>
  </si>
  <si>
    <t>Stanley &amp; Co International plc, Seoul Branch, and/or Morgan Stanley Australia Limited (A.B.N. 67 003 734</t>
  </si>
  <si>
    <t>576, holder of Australian financial services license No. 233742, which accepts responsibility for its</t>
  </si>
  <si>
    <t>contents), and/or Morgan Stanley Wealth Management Australia Pty Ltd (A.B.N. 19 009 145 555, holder of</t>
  </si>
  <si>
    <t>Australian financial services license No. 240813, which accepts responsibility for its contents), and/or</t>
  </si>
  <si>
    <t>Morgan Stanley India Company Private Limited having Corporate Identification No (CIN)</t>
  </si>
  <si>
    <t>U22990MH1998PTC115305, regulated by the Securities and Exchange Board of India (“SEBI”) and holder of</t>
  </si>
  <si>
    <t>licenses as a Research Analyst (SEBI Registration No. INH000001105); Stock Broker (SEBI Stock Broker</t>
  </si>
  <si>
    <t>Registration No. INZ000244438), Merchant Banker (SEBI Registration No. INM000011203), and depository</t>
  </si>
  <si>
    <t>participant with National Securities Depository Limited (SEBI Registration No. IN-DP-NSDL-567-2021)</t>
  </si>
  <si>
    <t>having registered office at Altimus, Level 39 &amp; 40, Pandurang Budhkar Marg, Worli, Mumbai 400018, India;</t>
  </si>
  <si>
    <t>Telephone no. +91-22-61181000; Compliance Officer Details: Mr. Tejarshi Hardas, Tel. No.:</t>
  </si>
  <si>
    <t>+91-22-61181000 or Email: tejarshi.hardas@morganstanley.com; Grievance officer details: Mr. Tejarshi</t>
  </si>
  <si>
    <t>Hardas, Tel. No.: +91-22-61181000 or Email: msic-compliance@morganstanley.com which accepts the</t>
  </si>
  <si>
    <t>responsibility for its contents and should be contacted with respect to any matters arising from, or in</t>
  </si>
  <si>
    <t>connection with, Morgan Stanley Research, and their affiliates (collectively, "Morgan Stanley"). Morgan</t>
  </si>
  <si>
    <t>Stanley India Company Private Limited (MSICPL) may use AI tools in providing research services. All</t>
  </si>
  <si>
    <t>recommendations contained herein are made by the duly qualified research analysts.</t>
  </si>
  <si>
    <t>For important disclosures, stock price charts and equity rating histories regarding companies that are</t>
  </si>
  <si>
    <t>the subject of this report, please see the Morgan Stanley Research Disclosure Website at</t>
  </si>
  <si>
    <t>www.morganstanley.com/eqr/disclosures/webapp/generalresearch, or contact your investment representative</t>
  </si>
  <si>
    <t>or Morgan Stanley Research at 1585 Broadway, (Attention: Research Management), New York, NY, 10036 USA.</t>
  </si>
  <si>
    <t>For valuation methodology and risks associated with any recommendation, rating or price target</t>
  </si>
  <si>
    <t>referenced in this research report, please contact the Client Support Team as follows: US/Canada +1 800</t>
  </si>
  <si>
    <t>303-2495; Hong Kong +852 2848-5999; Latin America +1 718 754-5444 (U.S.); London +44 (0)20-7425-8169;</t>
  </si>
  <si>
    <t>Singapore +65 6834-6860; Sydney +61 (0)2-9770-1505; Tokyo +81 (0)3-6836-9000. Alternatively you may</t>
  </si>
  <si>
    <t>contact your investment representative or Morgan Stanley Research at 1585 Broadway, (Attention: Research</t>
  </si>
  <si>
    <t>Management), New York, NY 10036 USA.</t>
  </si>
  <si>
    <t>Analyst Certification</t>
  </si>
  <si>
    <t>The following analysts hereby certify that their views about the companies and their securities</t>
  </si>
  <si>
    <t>discussed in this report are accurately expressed and that they have not received and will not receive</t>
  </si>
  <si>
    <t>direct or indirect compensation in exchange for expressing specific recommendations or views in this</t>
  </si>
  <si>
    <t>report: Melinda K Baxter.</t>
  </si>
  <si>
    <t>.</t>
  </si>
  <si>
    <t>Global Research Conflict Management Policy</t>
  </si>
  <si>
    <t>Morgan Stanley Research has been published in accordance with our conflict management policy, which is</t>
  </si>
  <si>
    <t>available at www.morganstanley.com/institutional/research/conflictpolicies. A Portuguese version of the</t>
  </si>
  <si>
    <t>policy can be found at www.morganstanley.com.br</t>
  </si>
  <si>
    <t>Important Regulatory Disclosures on Subject Companies</t>
  </si>
  <si>
    <t>In the next 3 months, Morgan Stanley expects to receive or intends to seek compensation for investment</t>
  </si>
  <si>
    <t>banking services from Guzman y Gomez Ltd.</t>
  </si>
  <si>
    <t>Within the last 12 months, Morgan Stanley has provided or is providing investment banking services to,</t>
  </si>
  <si>
    <t>or has an investment banking client relationship with, the following company: Guzman y Gomez Ltd.</t>
  </si>
  <si>
    <t>Within the last 12 months, Morgan Stanley has either provided or is providing non-investment banking,</t>
  </si>
  <si>
    <t>securities-related services to and/or in the past has entered into an agreement to provide services or</t>
  </si>
  <si>
    <t>has a client relationship with the following company: Guzman y Gomez Ltd.</t>
  </si>
  <si>
    <t>The equity research analysts or strategists principally responsible for the preparation of Morgan</t>
  </si>
  <si>
    <t>Stanley Research have received compensation based upon various factors, including quality of research,</t>
  </si>
  <si>
    <t>investor client feedback, stock picking, competitive factors, firm revenues and overall investment</t>
  </si>
  <si>
    <t>banking revenues. Equity Research analysts' or strategists' compensation is not linked to investment</t>
  </si>
  <si>
    <t>banking or capital markets transactions performed by Morgan Stanley or the profitability or revenues of</t>
  </si>
  <si>
    <t>particular trading desks.</t>
  </si>
  <si>
    <t>Morgan Stanley and its affiliates do business that relates to companies/instruments covered in Morgan</t>
  </si>
  <si>
    <t>Stanley Research, including market making, providing liquidity, fund management, commercial banking,</t>
  </si>
  <si>
    <t>extension of credit, investment services and investment banking. Morgan Stanley sells to and buys from</t>
  </si>
  <si>
    <t>customers the securities/instruments of companies covered in Morgan Stanley Research on a principal</t>
  </si>
  <si>
    <t>basis. Morgan Stanley may have a position in the debt of the Company or instruments discussed in this</t>
  </si>
  <si>
    <t>report. Morgan Stanley trades or may trade as principal in the debt securities (or in related</t>
  </si>
  <si>
    <t>derivatives) that are the subject of the debt research report.</t>
  </si>
  <si>
    <t>Certain disclosures listed above are also for compliance with applicable regulations in non-US</t>
  </si>
  <si>
    <t>jurisdictions.</t>
  </si>
  <si>
    <t>STOCK RATINGS</t>
  </si>
  <si>
    <t>Morgan Stanley uses a relative rating system using terms such as Overweight, Equal-weight, Not-Rated or</t>
  </si>
  <si>
    <t>Underweight (see definitions below). Morgan Stanley does not assign ratings of Buy, Hold or Sell to the</t>
  </si>
  <si>
    <t>stocks we cover. Overweight, Equal-weight, Not-Rated and Underweight are not the equivalent of buy, hold</t>
  </si>
  <si>
    <t>and sell. Investors should carefully read the definitions of all ratings used in Morgan Stanley</t>
  </si>
  <si>
    <t>Research. In addition, since Morgan Stanley Research contains more complete information concerning the</t>
  </si>
  <si>
    <t>analyst's views, investors should carefully read Morgan Stanley Research, in its entirety, and not infer</t>
  </si>
  <si>
    <t>the contents from the rating alone. In any case, ratings (or research) should not be used or relied</t>
  </si>
  <si>
    <t>upon as investment advice. An investor's decision to buy or sell a stock should depend on individual</t>
  </si>
  <si>
    <t>circumstances (such as the investor's existing holdings) and other considerations.</t>
  </si>
  <si>
    <t>Global Stock Ratings Distribution</t>
  </si>
  <si>
    <t>(as of January 31, 2026)</t>
  </si>
  <si>
    <t>The Stock Ratings described below apply to Morgan Stanley's Fundamental Equity Research and do not apply</t>
  </si>
  <si>
    <t>to Debt Research produced by the Firm.</t>
  </si>
  <si>
    <t>For disclosure purposes only (in accordance with FINRA requirements), we include the category headings</t>
  </si>
  <si>
    <t>of Buy, Hold, and Sell alongside our ratings of Overweight, Equal-weight, Not-Rated and Underweight.</t>
  </si>
  <si>
    <t>Morgan Stanley does not assign ratings of Buy, Hold or Sell to the stocks we cover. Overweight,</t>
  </si>
  <si>
    <t>Equal-weight, Not-Rated and Underweight are not the equivalent of buy, hold, and sell but represent</t>
  </si>
  <si>
    <t>recommended relative weightings (see definitions below). To satisfy regulatory requirements, we</t>
  </si>
  <si>
    <t>correspond Overweight, our most positive stock rating, with a buy recommendation; we correspond</t>
  </si>
  <si>
    <t>Equal-weight and Not-Rated to hold and Underweight to sell recommendations, respectively.</t>
  </si>
  <si>
    <t>Coverage Universe</t>
  </si>
  <si>
    <t>Investment Banking Clients (IBC)</t>
  </si>
  <si>
    <t>Other Material Investment Services Clients (MISC)</t>
  </si>
  <si>
    <t>Stock Rating Category</t>
  </si>
  <si>
    <t>Count</t>
  </si>
  <si>
    <t>% of Total</t>
  </si>
  <si>
    <t>% of Total IBC</t>
  </si>
  <si>
    <t>% of Rating Category</t>
  </si>
  <si>
    <t>% of Total Other MISC</t>
  </si>
  <si>
    <t>Overweight/Buy</t>
  </si>
  <si>
    <t>Equal-weight/Hold</t>
  </si>
  <si>
    <t>Not-Rated/Hold</t>
  </si>
  <si>
    <t>Underweight/Sell</t>
  </si>
  <si>
    <t>Data include common stock and ADRs currently assigned ratings. Investment Banking Clients are companies</t>
  </si>
  <si>
    <t>from whom Morgan Stanley received investment banking compensation in the last 12 months. Due to rounding</t>
  </si>
  <si>
    <t>off of decimals, the percentages provided in the "% of total" column may not add up to exactly 100</t>
  </si>
  <si>
    <t>percent.</t>
  </si>
  <si>
    <t>Analyst Stock Ratings</t>
  </si>
  <si>
    <t>Overweight (O). The stock's total return is expected to exceed the average total return of the analyst's</t>
  </si>
  <si>
    <t>industry (or industry team's) coverage universe, on a risk-adjusted basis, over the next 12-18 months.</t>
  </si>
  <si>
    <t>Equal-weight (E). The stock's total return is expected to be in line with the average total return of</t>
  </si>
  <si>
    <t>the analyst's industry (or industry team's) coverage universe, on a risk-adjusted basis, over the next</t>
  </si>
  <si>
    <t>12-18 months.</t>
  </si>
  <si>
    <t>Not-Rated (NR). Currently the analyst does not have adequate conviction about the stock's total return</t>
  </si>
  <si>
    <t>relative to the average total return of the analyst's industry (or industry team's) coverage universe,</t>
  </si>
  <si>
    <t>on a risk-adjusted basis, over the next 12-18 months.</t>
  </si>
  <si>
    <t>Underweight (U). The stock's total return is expected to be below the average total return of the</t>
  </si>
  <si>
    <t>analyst's industry (or industry team's) coverage universe, on a risk-adjusted basis, over the next 12-18</t>
  </si>
  <si>
    <t>months.</t>
  </si>
  <si>
    <t>Unless otherwise specified, the time frame for price targets included in Morgan Stanley Research is 12</t>
  </si>
  <si>
    <t>to 18 months.</t>
  </si>
  <si>
    <t>Analyst Industry Views</t>
  </si>
  <si>
    <t>Attractive (A): The analyst expects the performance of his or her industry coverage universe over the</t>
  </si>
  <si>
    <t>next 12-18 months to be attractive vs. the relevant broad market benchmark, as indicated below.</t>
  </si>
  <si>
    <t>In-Line (I): The analyst expects the performance of his or her industry coverage universe over the next</t>
  </si>
  <si>
    <t>12-18 months to be in line with the relevant broad market benchmark, as indicated below.</t>
  </si>
  <si>
    <t>Cautious (C): The analyst views the performance of his or her industry coverage universe over the next</t>
  </si>
  <si>
    <t>12-18 months with caution vs. the relevant broad market benchmark, as indicated below.</t>
  </si>
  <si>
    <t>Benchmarks for each region are as follows: North America - S&amp;P 500; Latin America - relevant MSCI</t>
  </si>
  <si>
    <t>country index or MSCI Latin America Index; Europe - MSCI Europe; Japan - TOPIX; Asia - relevant MSCI</t>
  </si>
  <si>
    <t>country index or MSCI sub-regional index or MSCI AC Asia Pacific ex Japan Index.</t>
  </si>
  <si>
    <t>Stock Price, Price Target and Rating History (See Rating Definitions)</t>
  </si>
  <si>
    <t>Important Disclosures for Morgan Stanley Smith Barney LLC Customers</t>
  </si>
  <si>
    <t>Important disclosures regarding any material conflict of interest that can reasonably be expected to</t>
  </si>
  <si>
    <t>have influenced Morgan Stanley Smith Barney LLC's choice of a third-party research provider or the</t>
  </si>
  <si>
    <t>subject company of a third-party research report, are available on the Morgan Stanley Wealth Management</t>
  </si>
  <si>
    <t>disclosure website at www.morganstanley.com/online/researchdisclosures. For Morgan Stanley specific</t>
  </si>
  <si>
    <t>disclosures, you may refer to https://www.morganstanley.com/eqr/disclosures/webapp/generalresearch.</t>
  </si>
  <si>
    <t>Each Morgan Stanley research report is reviewed and approved on behalf of Morgan Stanley Smith Barney</t>
  </si>
  <si>
    <t>LLC. This review and approval is conducted by the same person who reviews the research report on behalf</t>
  </si>
  <si>
    <t>of Morgan Stanley. This could create a conflict of interest.</t>
  </si>
  <si>
    <t>Other Important Disclosures</t>
  </si>
  <si>
    <t>Morgan Stanley Research policy is to update research reports as and when the Research Analyst and</t>
  </si>
  <si>
    <t>Research Management deem appropriate, based on developments with the issuer, the sector, or the market</t>
  </si>
  <si>
    <t>that may have a material impact on the research views or opinions stated therein. In addition, certain</t>
  </si>
  <si>
    <t>Research publications are intended to be updated on a regular periodic basis</t>
  </si>
  <si>
    <t>(weekly/monthly/quarterly/annual) and will ordinarily be updated with that frequency, unless the</t>
  </si>
  <si>
    <t>Research Analyst and Research Management determine that a different publication schedule is appropriate</t>
  </si>
  <si>
    <t>based on current conditions.</t>
  </si>
  <si>
    <t>Morgan Stanley is not acting as a municipal advisor and the opinions or views contained herein are not</t>
  </si>
  <si>
    <t>intended to be, and do not constitute, advice within the meaning of Section 975 of the Dodd-Frank Wall</t>
  </si>
  <si>
    <t>Street Reform and Consumer Protection Act.</t>
  </si>
  <si>
    <t>Morgan Stanley produces an equity research product called a "Tactical Idea." Views contained in a</t>
  </si>
  <si>
    <t>"Tactical Idea" on a particular stock may be contrary to the recommendations or views expressed in</t>
  </si>
  <si>
    <t>research on the same stock. This may be the result of differing time horizons, methodologies, market</t>
  </si>
  <si>
    <t>events, or other factors. For all research available on a particular stock, please contact your sales</t>
  </si>
  <si>
    <t>representative or go to Matrix at http://www.morganstanley.com/matrix.</t>
  </si>
  <si>
    <t>Morgan Stanley Research is provided to our clients through our proprietary research portal on Matrix and</t>
  </si>
  <si>
    <t>also distributed electronically by Morgan Stanley to clients. Certain, but not all, Morgan Stanley</t>
  </si>
  <si>
    <t>Research products are also made available to clients through third-party vendors or redistributed to</t>
  </si>
  <si>
    <t>clients through alternate electronic means as a convenience. For access to all available Morgan Stanley</t>
  </si>
  <si>
    <t>Research, please contact your sales representative or go to Matrix at</t>
  </si>
  <si>
    <t>http://www.morganstanley.com/matrix.</t>
  </si>
  <si>
    <t>Any access and/or use of Morgan Stanley Research is subject to Morgan Stanley's Terms of Use</t>
  </si>
  <si>
    <t>(http://www.morganstanley.com/terms.html). By accessing and/or using Morgan Stanley Research, you are</t>
  </si>
  <si>
    <t>indicating that you have read and agree to be bound by our Terms of Use</t>
  </si>
  <si>
    <t>(http://www.morganstanley.com/terms.html). In addition you consent to Morgan Stanley processing your</t>
  </si>
  <si>
    <t>personal data and using cookies in accordance with our Privacy Policy and our Global Cookies Policy</t>
  </si>
  <si>
    <t>(http://www.morganstanley.com/privacy_pledge.html), including for the purposes of setting your</t>
  </si>
  <si>
    <t>preferences and to collect readership data so that we can deliver better and more personalized service</t>
  </si>
  <si>
    <t>and products to you. To find out more information about how Morgan Stanley processes personal data, how</t>
  </si>
  <si>
    <t>we use cookies and how to reject cookies see our Privacy Policy and our Global Cookies Policy</t>
  </si>
  <si>
    <t>(http://www.morganstanley.com/privacy_pledge.html). Please use the provided link to review the Terms and</t>
  </si>
  <si>
    <t>Conditions and Most Important Terms and Conditions for Morgan Stanley India Company Private Limited</t>
  </si>
  <si>
    <t>(https://www.morganstanley.com/assets/pdfs/about-us-global-offices/india/Terms_and_conditions.pdf) and</t>
  </si>
  <si>
    <t>the following link to review the audit report</t>
  </si>
  <si>
    <t>(https://www.morganstanley.com/assets/pdfs/about-us-global-offices/india/Research_Audit_Report.pdf).</t>
  </si>
  <si>
    <t>If you do not agree to our Terms of Use and/or if you do not wish to provide your consent to Morgan</t>
  </si>
  <si>
    <t>Stanley processing your personal data or using cookies please do not access our research.</t>
  </si>
  <si>
    <t>Morgan Stanley Research does not provide individually tailored investment advice. Morgan Stanley</t>
  </si>
  <si>
    <t>Research has been prepared without regard to the circumstances and objectives of those who receive it.</t>
  </si>
  <si>
    <t>Morgan Stanley recommends that investors independently evaluate particular investments and strategies,</t>
  </si>
  <si>
    <t>and encourages investors to seek the advice of a financial adviser. The appropriateness of an investment</t>
  </si>
  <si>
    <t>or strategy will depend on an investor's circumstances and objectives. The securities, instruments, or</t>
  </si>
  <si>
    <t>strategies discussed in Morgan Stanley Research may not be suitable for all investors, and certain</t>
  </si>
  <si>
    <t>investors may not be eligible to purchase or participate in some or all of them. Morgan Stanley Research</t>
  </si>
  <si>
    <t>is not an offer to buy or sell or the solicitation of an offer to buy or sell any security/instrument or</t>
  </si>
  <si>
    <t>to participate in any particular trading strategy. The value of and income from your investments may</t>
  </si>
  <si>
    <t>vary because of changes in interest rates, foreign exchange rates, default rates, prepayment rates,</t>
  </si>
  <si>
    <t>securities/instruments prices, market indexes, operational or financial conditions of companies or other</t>
  </si>
  <si>
    <t>factors. There may be time limitations on the exercise of options or other rights in</t>
  </si>
  <si>
    <t>securities/instruments transactions. Past performance is not necessarily a guide to future performance.</t>
  </si>
  <si>
    <t>Estimates of future performance are based on assumptions that may not be realized. If provided, and</t>
  </si>
  <si>
    <t>unless otherwise stated, the closing price on the cover page is that of the primary exchange for the</t>
  </si>
  <si>
    <t>subject company's securities/instruments.</t>
  </si>
  <si>
    <t>The fixed income research analysts, strategists or economists principally responsible for the</t>
  </si>
  <si>
    <t>preparation of Morgan Stanley Research have received compensation based upon various factors, including</t>
  </si>
  <si>
    <t>quality, accuracy and value of research, firm profitability or revenues (which include fixed income</t>
  </si>
  <si>
    <t>trading and capital markets profitability or revenues), client feedback and competitive factors. Fixed</t>
  </si>
  <si>
    <t>Income Research analysts', strategists' or economists' compensation is not linked to investment banking</t>
  </si>
  <si>
    <t>or capital markets transactions performed by Morgan Stanley or the profitability or revenues of</t>
  </si>
  <si>
    <t>The "Important Regulatory Disclosures on Subject Companies" section in Morgan Stanley Research lists all</t>
  </si>
  <si>
    <t>companies mentioned where Morgan Stanley owns 1% or more of a class of common equity securities of the</t>
  </si>
  <si>
    <t>companies. For all other companies mentioned in Morgan Stanley Research, Morgan Stanley may have an</t>
  </si>
  <si>
    <t>investment of less than 1% in securities/instruments or derivatives of securities/instruments of</t>
  </si>
  <si>
    <t>companies and may trade them in ways different from those discussed in Morgan Stanley Research.</t>
  </si>
  <si>
    <t>Employees of Morgan Stanley not involved in the preparation of Morgan Stanley Research may have</t>
  </si>
  <si>
    <t>investments in securities/instruments or derivatives of securities/instruments of companies mentioned</t>
  </si>
  <si>
    <t>and may trade them in ways different from those discussed in Morgan Stanley Research. Derivatives may be</t>
  </si>
  <si>
    <t>issued by Morgan Stanley or associated persons.</t>
  </si>
  <si>
    <t>With the exception of information regarding Morgan Stanley, Morgan Stanley Research is based on public</t>
  </si>
  <si>
    <t>information. Morgan Stanley makes every effort to use reliable, comprehensive information, but we make</t>
  </si>
  <si>
    <t>no representation that it is accurate or complete. We have no obligation to tell you when opinions or</t>
  </si>
  <si>
    <t>information in Morgan Stanley Research change apart from when we intend to discontinue equity research</t>
  </si>
  <si>
    <t>coverage of a subject company. Facts and views presented in Morgan Stanley Research have not been</t>
  </si>
  <si>
    <t>reviewed by, and may not reflect information known to, professionals in other Morgan Stanley business</t>
  </si>
  <si>
    <t>areas, including investment banking personnel.</t>
  </si>
  <si>
    <t>Morgan Stanley Research personnel may participate in company events such as site visits and are</t>
  </si>
  <si>
    <t>generally prohibited from accepting payment by the company of associated expenses unless pre-approved by</t>
  </si>
  <si>
    <t>authorized members of Research management.</t>
  </si>
  <si>
    <t>Morgan Stanley may make investment decisions that are inconsistent with the recommendations or views in</t>
  </si>
  <si>
    <t>this report.</t>
  </si>
  <si>
    <t>To our readers based in Taiwan or trading in Taiwan securities/instruments: Information on</t>
  </si>
  <si>
    <t>securities/instruments that trade in Taiwan is distributed by Morgan Stanley Taiwan Limited ("MSTL").</t>
  </si>
  <si>
    <t>Such information is for your reference only. The reader should independently evaluate the investment</t>
  </si>
  <si>
    <t>risks and is solely responsible for their investment decisions. Morgan Stanley Research may not be</t>
  </si>
  <si>
    <t>distributed to the public media or quoted or used by the public media without the express written</t>
  </si>
  <si>
    <t>consent of Morgan Stanley. Any non-customer reader within the scope of Article 7-1 of the Taiwan Stock</t>
  </si>
  <si>
    <t>Exchange Recommendation Regulations accessing and/or receiving Morgan Stanley Research is not permitted</t>
  </si>
  <si>
    <t>to provide Morgan Stanley Research to any third party (including but not limited to related parties,</t>
  </si>
  <si>
    <t>affiliated companies and any other third parties) or engage in any activities regarding Morgan Stanley</t>
  </si>
  <si>
    <t>Research which may create or give the appearance of creating a conflict of interest. Information on</t>
  </si>
  <si>
    <t>securities/instruments that do not trade in Taiwan is for informational purposes only and is not to be</t>
  </si>
  <si>
    <t>construed as a recommendation or a solicitation to trade in such securities/instruments. MSTL may not</t>
  </si>
  <si>
    <t>execute transactions for clients in these securities/instruments.</t>
  </si>
  <si>
    <t>Certain information in Morgan Stanley Research was sourced by employees of the Shanghai Representative</t>
  </si>
  <si>
    <t>Office of Morgan Stanley Asia Limited for the use of Morgan Stanley Asia Limited.</t>
  </si>
  <si>
    <t>Morgan Stanley is not incorporated under PRC law and the research in relation to this report is</t>
  </si>
  <si>
    <t>conducted outside the PRC. Morgan Stanley Research does not constitute an offer to sell or the</t>
  </si>
  <si>
    <t>solicitation of an offer to buy any securities in the PRC. PRC investors shall have the relevant</t>
  </si>
  <si>
    <t>qualifications to invest in such securities and shall be responsible for obtaining all relevant</t>
  </si>
  <si>
    <t>approvals, licenses, verifications and/or registrations from the relevant governmental authorities</t>
  </si>
  <si>
    <t>themselves. Neither this report nor any part of it is intended as, or shall constitute, provision of any</t>
  </si>
  <si>
    <t>consultancy or advisory service of securities investment as defined under PRC law. Such information is</t>
  </si>
  <si>
    <t>provided for your reference only.</t>
  </si>
  <si>
    <t>Morgan Stanley Research is disseminated in Brazil by Morgan Stanley C.T.V.M. S.A. located at Av.</t>
  </si>
  <si>
    <t>Brigadeiro Faria Lima, 3600, 6th floor, São Paulo - SP, Brazil; and is regulated by the Comissão de</t>
  </si>
  <si>
    <t>Valores Mobiliários; in Mexico by Morgan Stanley México, Casa de Bolsa, S.A. de C.V which is regulated</t>
  </si>
  <si>
    <t>by Comision Nacional Bancaria y de Valores. Paseo de los Tamarindos 90, Torre 1, Col. Bosques de las</t>
  </si>
  <si>
    <t>Lomas Floor 29, 05120 Mexico City; in Japan by Morgan Stanley MUFG Securities Co., Ltd. and, for</t>
  </si>
  <si>
    <t>Commodities related research reports only, Morgan Stanley Capital Group Japan Co., Ltd; in Hong Kong by</t>
  </si>
  <si>
    <t>Morgan Stanley Asia Limited (which accepts responsibility for its contents) and by Morgan Stanley Bank</t>
  </si>
  <si>
    <t>Asia Limited; in Singapore by Morgan Stanley Asia (Singapore) Pte. (Registration number 199206298Z)</t>
  </si>
  <si>
    <t>and/or Morgan Stanley Asia (Singapore) Securities Pte Ltd (Registration number 200008434H), regulated by</t>
  </si>
  <si>
    <t>the Monetary Authority of Singapore (which accepts legal responsibility for its contents and should be</t>
  </si>
  <si>
    <t>contacted with respect to any matters arising from, or in connection with, Morgan Stanley Research) and</t>
  </si>
  <si>
    <t>by Morgan Stanley Bank Asia Limited, Singapore Branch (Registration number T14FC0118J); in Australia to</t>
  </si>
  <si>
    <t>"wholesale clients" within the meaning of the Australian Corporations Act by Morgan Stanley Australia</t>
  </si>
  <si>
    <t>Limited A.B.N. 67 003 734 576, holder of Australian financial services license No. 233742, which accepts</t>
  </si>
  <si>
    <t>responsibility for its contents; in Australia to "wholesale clients" and "retail clients" within the</t>
  </si>
  <si>
    <t>meaning of the Australian Corporations Act by Morgan Stanley Wealth Management Australia Pty Ltd (A.B.N.</t>
  </si>
  <si>
    <t>19 009 145 555, holder of Australian financial services license No. 240813, which accepts responsibility</t>
  </si>
  <si>
    <t>for its contents; in Korea by Morgan Stanley &amp; Co International plc, Seoul Branch; in India by Morgan</t>
  </si>
  <si>
    <t>Stanley India Company Private Limited having Corporate Identification No (CIN) U22990MH1998PTC115305,</t>
  </si>
  <si>
    <t>regulated by the Securities and Exchange Board of India (“SEBI”) and holder of licenses as a Research</t>
  </si>
  <si>
    <t>Analyst (SEBI Registration No. INH000001105); Stock Broker (SEBI Stock Broker Registration No.</t>
  </si>
  <si>
    <t>INZ000244438), Merchant Banker (SEBI Registration No. INM000011203), and depository participant with</t>
  </si>
  <si>
    <t>National Securities Depository Limited (SEBI Registration No. IN-DP-NSDL-567-2021) having registered</t>
  </si>
  <si>
    <t>office at Altimus, Level 39 &amp; 40, Pandurang Budhkar Marg, Worli, Mumbai 400018, India; Telephone no.</t>
  </si>
  <si>
    <t>+91-22-61181000; Compliance Officer Details: Mr. Tejarshi Hardas, Tel. No.: +91-22-61181000 or Email:</t>
  </si>
  <si>
    <t>tejarshi.hardas@morganstanley.com; Grievance officer details: Mr. Tejarshi Hardas, Tel. No.:</t>
  </si>
  <si>
    <t>+91-22-61181000 or Email: msic-compliance@morganstanley.com. Morgan Stanley India Company Private</t>
  </si>
  <si>
    <t>Limited (MSICPL) may use AI tools in providing research services. All recommendations contained herein</t>
  </si>
  <si>
    <t>are made by the duly qualified research analysts; in Canada by Morgan Stanley Canada Limited; in Germany</t>
  </si>
  <si>
    <t>and the European Economic Area where required by Morgan Stanley Europe S.E., authorised and regulated by</t>
  </si>
  <si>
    <t>Bundesanstalt fuer Finanzdienstleistungsaufsicht (BaFin) under the reference number 149169; in the US by</t>
  </si>
  <si>
    <t>Morgan Stanley &amp; Co. LLC, which accepts responsibility for its contents. Morgan Stanley &amp; Co.</t>
  </si>
  <si>
    <t>International plc, authorized by the Prudential Regulation Authority and regulated by the Financial</t>
  </si>
  <si>
    <t>Conduct Authority and the Prudential Regulation Authority, disseminates in the UK research that it has</t>
  </si>
  <si>
    <t>prepared, and research which has been prepared by any of its affiliates, only to persons who (i) are</t>
  </si>
  <si>
    <t>investment professionals falling within Article 19(5) of the Financial Services and Markets Act 2000</t>
  </si>
  <si>
    <t>(Financial Promotion) Order 2005 (as amended, the “Order”); (ii) are persons who are high net worth</t>
  </si>
  <si>
    <t>entities falling within Article 49(2)(a) to (d) of the Order; or (iii) are persons to whom an invitation</t>
  </si>
  <si>
    <t>or inducement to engage in investment activity (within the meaning of section 21 of the Financial</t>
  </si>
  <si>
    <t>Services and Markets Act 2000, as amended) may otherwise lawfully be communicated or caused to be</t>
  </si>
  <si>
    <t>communicated. RMB Morgan Stanley Proprietary Limited is a member of the JSE Limited and A2X (Pty) Ltd.</t>
  </si>
  <si>
    <t>RMB Morgan Stanley Proprietary Limited is a joint venture owned equally by Morgan Stanley International</t>
  </si>
  <si>
    <t>Holdings Inc. and RMB Investment Advisory (Proprietary) Limited, which is wholly owned by FirstRand</t>
  </si>
  <si>
    <t>Limited. The information in Morgan Stanley Research is being disseminated by Morgan Stanley Saudi</t>
  </si>
  <si>
    <t>Arabia, regulated by the Capital Market Authority in the Kingdom of Saudi Arabia, and is directed at</t>
  </si>
  <si>
    <t>Sophisticated investors only.</t>
  </si>
  <si>
    <t>The information in Morgan Stanley Research is being communicated by Morgan Stanley &amp; Co. International</t>
  </si>
  <si>
    <t>plc (DIFC Branch), regulated by the Dubai Financial Services Authority (the DFSA) or by Morgan Stanley &amp;</t>
  </si>
  <si>
    <t>Co. International plc (ADGM Branch), regulated by the Financial Services Regulatory Authority Abu Dhabi</t>
  </si>
  <si>
    <t>(the FSRA), and is directed at Professional Clients only, as defined by the DFSA or the FSRA,</t>
  </si>
  <si>
    <t>respectively. The financial products or financial services to which this research relates will only be</t>
  </si>
  <si>
    <t>made available to a customer who we are satisfied meets the regulatory criteria of a Professional</t>
  </si>
  <si>
    <t>Client. A distribution of the different MS Research ratings or recommendations, in percentage terms for</t>
  </si>
  <si>
    <t>Investments in each sector covered, is available upon request from your sales representative.</t>
  </si>
  <si>
    <t>plc (QFC Branch), regulated by the Qatar Financial Centre Regulatory Authority (the QFCRA), and is</t>
  </si>
  <si>
    <t>directed at business customers and market counterparties only and is not intended for Retail Customers</t>
  </si>
  <si>
    <t>as defined by the QFCRA.</t>
  </si>
  <si>
    <t>As required by the Capital Markets Board of Turkey, investment information, comments and recommendations</t>
  </si>
  <si>
    <t>stated here, are not within the scope of investment advisory activity. Investment advisory service is</t>
  </si>
  <si>
    <t>provided exclusively to persons based on their risk and income preferences by the authorized firms.</t>
  </si>
  <si>
    <t>Comments and recommendations stated here are general in nature. These opinions may not fit to your</t>
  </si>
  <si>
    <t>financial status, risk and return preferences. For this reason, to make an investment decision by</t>
  </si>
  <si>
    <t>relying solely to this information stated here may not bring about outcomes that fit your expectations.</t>
  </si>
  <si>
    <t>The trademarks and service marks contained in Morgan Stanley Research are the property of their</t>
  </si>
  <si>
    <t>respective owners. Third-party data providers make no warranties or representations relating to the</t>
  </si>
  <si>
    <t>accuracy, completeness, or timeliness of the data they provide and shall not have liability for any</t>
  </si>
  <si>
    <t>damages relating to such data. The Global Industry Classification Standard (GICS) was developed by and</t>
  </si>
  <si>
    <t>is the exclusive property of MSCI and S&amp;P.</t>
  </si>
  <si>
    <t>Morgan Stanley Research, or any portion thereof may not be reprinted, sold or redistributed without the</t>
  </si>
  <si>
    <t>written consent of Morgan Stanley.</t>
  </si>
  <si>
    <t>Indicators and trackers referenced in Morgan Stanley Research may not be used as, or treated as, a</t>
  </si>
  <si>
    <t>benchmark under Regulation EU 2016/1011, or any other similar framework.</t>
  </si>
  <si>
    <t>The issuers and/or fixed income products recommended or discussed in certain fixed income research</t>
  </si>
  <si>
    <t>reports may not be continuously followed. Accordingly, investors should regard those fixed income</t>
  </si>
  <si>
    <t>research reports as providing stand-alone analysis and should not expect continuing analysis or</t>
  </si>
  <si>
    <t>additional reports relating to such issuers and/or individual fixed income products.</t>
  </si>
  <si>
    <t>Morgan Stanley may hold, from time to time, material financial and commercial interests regarding the</t>
  </si>
  <si>
    <t>company subject to the Research report.</t>
  </si>
  <si>
    <t>Registration granted by SEBI and certification from the National Institute of Securities Markets (NISM)</t>
  </si>
  <si>
    <t>in no way guarantee performance of the intermediary or provide any assurance of returns to investors.</t>
  </si>
  <si>
    <t>Investment in securities market are subject to market risks. Read all the related documents carefully</t>
  </si>
  <si>
    <t>before investing.</t>
  </si>
  <si>
    <t>© Copyright 2026 Morgan Stanley</t>
  </si>
  <si>
    <t>MacroVersion</t>
  </si>
  <si>
    <t>6.10</t>
  </si>
  <si>
    <t>PublishDate</t>
  </si>
  <si>
    <t>02/02/26 04:02</t>
  </si>
  <si>
    <t>Discipline</t>
  </si>
  <si>
    <t>Research</t>
  </si>
  <si>
    <t>ResearchTopic</t>
  </si>
  <si>
    <t>Company</t>
  </si>
  <si>
    <t>DocType</t>
  </si>
  <si>
    <t>SubjectCode</t>
  </si>
  <si>
    <t>Description</t>
  </si>
  <si>
    <t>KeepVersions</t>
  </si>
  <si>
    <t>All</t>
  </si>
  <si>
    <t>Rating</t>
  </si>
  <si>
    <t>Overweight / In-Line</t>
  </si>
  <si>
    <t>CurrYearTotalRevenue*</t>
  </si>
  <si>
    <t>CurrYearEPS*</t>
  </si>
  <si>
    <t>NextYearTotalRevenue*</t>
  </si>
  <si>
    <t>NextYearEPS*</t>
  </si>
  <si>
    <t>FollowingYearTotalRevenue*</t>
  </si>
  <si>
    <t>FollowingYearEPS*</t>
  </si>
  <si>
    <t>5YearGrowthRate</t>
  </si>
  <si>
    <t>UpdateReason</t>
  </si>
  <si>
    <t>Regular Update</t>
  </si>
  <si>
    <t>Authors</t>
  </si>
  <si>
    <t>MSA1B249</t>
  </si>
  <si>
    <t>Tickers</t>
  </si>
  <si>
    <t>CUSIP</t>
  </si>
  <si>
    <t>RIC</t>
  </si>
  <si>
    <t>SEDOL</t>
  </si>
  <si>
    <t>BSLTT82</t>
  </si>
  <si>
    <t>Current Stock Price</t>
  </si>
  <si>
    <t>21.91</t>
  </si>
  <si>
    <t>Currency</t>
  </si>
  <si>
    <t>PathName</t>
  </si>
  <si>
    <t>L:\USERS\Retail\GYG\Model\GYG_model_working_Daloopa.xlsx</t>
  </si>
  <si>
    <t>Distribution</t>
  </si>
  <si>
    <t>0</t>
  </si>
  <si>
    <t>Deleted</t>
  </si>
  <si>
    <t>NO</t>
  </si>
  <si>
    <t>EmailAlert</t>
  </si>
  <si>
    <t>YES</t>
  </si>
  <si>
    <t>CurrQtrEPS</t>
  </si>
  <si>
    <t>CYEnd</t>
  </si>
  <si>
    <t>CQEnd</t>
  </si>
  <si>
    <t>CurrYearTotalRevenueActual*</t>
  </si>
  <si>
    <t>NextYearTotalRevenueActual*</t>
  </si>
  <si>
    <t>FollowingYearTotalRevenueActual*</t>
  </si>
  <si>
    <t>Multiplier</t>
  </si>
  <si>
    <t>1000000</t>
  </si>
  <si>
    <t>TemplateRegion</t>
  </si>
  <si>
    <t>AsiaPacific</t>
  </si>
  <si>
    <t>ObjectType</t>
  </si>
  <si>
    <t>excel</t>
  </si>
  <si>
    <t>LanguageCode</t>
  </si>
  <si>
    <t>en-US</t>
  </si>
  <si>
    <t>SubmitterUserId</t>
  </si>
  <si>
    <t>desterke</t>
  </si>
  <si>
    <t>IndustryId</t>
  </si>
  <si>
    <t>1900000411</t>
  </si>
  <si>
    <t>TickerRegion</t>
  </si>
  <si>
    <t>5</t>
  </si>
  <si>
    <t>AdditionalInstructions</t>
  </si>
  <si>
    <t>*Estimated</t>
  </si>
  <si>
    <t>OwnerTeam</t>
  </si>
  <si>
    <t>I888888894</t>
  </si>
  <si>
    <t>[BRO MSA]</t>
  </si>
  <si>
    <t>[DOCDAT 2026-02-02]</t>
  </si>
  <si>
    <t>[DOCTIME 16:02]</t>
  </si>
  <si>
    <t>[PSYM GYG.AX(Reuters) (None)]</t>
  </si>
  <si>
    <t>[COU Australia]</t>
  </si>
  <si>
    <t>[PRODUCT MODEL]</t>
  </si>
  <si>
    <t>[ANA ]</t>
  </si>
  <si>
    <t>[HL GYG.AX Model]</t>
  </si>
  <si>
    <t>[IND Consumer]</t>
  </si>
  <si>
    <t>[EMAIL_ALERT YES]</t>
  </si>
  <si>
    <t>[PANA  MSA1B249]</t>
  </si>
  <si>
    <t>[DISCIPLINE Company]</t>
  </si>
  <si>
    <t>[SUPPRESSED NO]</t>
  </si>
  <si>
    <t>This workbook contains formulas which intentionally use circular reference calculation. These calculations can be resolved as intended by the originating analyst by applying the following settings in the File &gt;&gt; Options &gt;&gt; Formulas:</t>
  </si>
  <si>
    <t>1) Select the Enable iterative calculation check box</t>
  </si>
  <si>
    <t>2) Set Maximum Iterations = 100</t>
  </si>
  <si>
    <t>3) Set Maximum Change = 0.001</t>
  </si>
  <si>
    <t>Failure to apply these settings can result in incorrect calculation or unexpected termination of your Microsoft Excel session.</t>
  </si>
  <si>
    <t>Price as of 02 Feb 2026: 22.18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</si>
</sst>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9">
    <numFmt numFmtId="43" formatCode="_(* #,##0.00_);_(* \(#,##0.00\);_(* &quot;-&quot;??_);_(@_)"/>
    <numFmt numFmtId="164" formatCode="[$-409]mmm\-yy;@"/>
    <numFmt numFmtId="165" formatCode="#,##0.0"/>
    <numFmt numFmtId="166" formatCode="0.0%"/>
    <numFmt numFmtId="167" formatCode="0.0"/>
    <numFmt numFmtId="168" formatCode="#,##0.0_);\(#,##0.0\);0.0_);@_)"/>
    <numFmt numFmtId="169" formatCode="0.000"/>
    <numFmt numFmtId="170" formatCode="[$-C09]dd\-mmm\-yy;@"/>
    <numFmt numFmtId="171" formatCode="\([$-C09]dd\-mmm\-yy\);@\)"/>
    <numFmt numFmtId="172" formatCode="\A&quot;$&quot;#,##0.00"/>
    <numFmt numFmtId="173" formatCode="0.0\x"/>
    <numFmt numFmtId="174" formatCode="_-* #,##0_-;\-* #,##0_-;_-* &quot;-&quot;??_-;_-@_-"/>
    <numFmt numFmtId="175" formatCode="_-* #,##0.0_-;\-* #,##0.0_-;_-* &quot;-&quot;??_-;_-@_-"/>
    <numFmt numFmtId="176" formatCode="&quot;$&quot;#,##0"/>
    <numFmt numFmtId="177" formatCode="&quot;$&quot;#,##0.0"/>
    <numFmt numFmtId="178" formatCode="0.0000000000000"/>
    <numFmt numFmtId="179" formatCode="0.0000"/>
    <numFmt numFmtId="180" formatCode="#,##0.0_);\(#,##0.0\)"/>
    <numFmt numFmtId="181" formatCode="_(* #,##0.0_);_(* \(#,##0.0\);_(* &quot;-&quot;??_);_(@_)"/>
  </numFmts>
  <fonts count="54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theme="0"/>
      <name val="Roboto Condensed"/>
    </font>
    <font>
      <b/>
      <sz val="18"/>
      <color theme="0"/>
      <name val="Roboto Condensed"/>
    </font>
    <font>
      <sz val="10"/>
      <color theme="0"/>
      <name val="Roboto Condensed"/>
    </font>
    <font>
      <sz val="10"/>
      <name val="Roboto Condensed"/>
    </font>
    <font>
      <sz val="11"/>
      <color theme="1"/>
      <name val="Roboto Condensed"/>
    </font>
    <font>
      <b/>
      <sz val="10"/>
      <name val="Roboto Condensed"/>
    </font>
    <font>
      <b/>
      <sz val="11"/>
      <color theme="1"/>
      <name val="Roboto Condensed"/>
    </font>
    <font>
      <b/>
      <sz val="11"/>
      <name val="Roboto Condensed"/>
    </font>
    <font>
      <sz val="11"/>
      <color rgb="FFFF0000"/>
      <name val="Roboto Condensed"/>
    </font>
    <font>
      <b/>
      <sz val="11"/>
      <color rgb="FFFF0000"/>
      <name val="Roboto Condensed"/>
    </font>
    <font>
      <b/>
      <sz val="10"/>
      <color theme="1"/>
      <name val="Roboto Condensed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Roboto Condensed"/>
    </font>
    <font>
      <sz val="10"/>
      <color theme="1"/>
      <name val="Roboto Condensed"/>
    </font>
    <font>
      <i/>
      <sz val="11"/>
      <color rgb="FFFF0000"/>
      <name val="Roboto Condensed"/>
    </font>
    <font>
      <b/>
      <sz val="11"/>
      <color rgb="FF0000FF"/>
      <name val="Roboto Condensed"/>
    </font>
    <font>
      <b/>
      <sz val="12"/>
      <color theme="0"/>
      <name val="Wingdings"/>
      <charset val="2"/>
    </font>
    <font>
      <b/>
      <sz val="12"/>
      <color theme="0"/>
      <name val="Roboto Condensed"/>
    </font>
    <font>
      <sz val="10"/>
      <color rgb="FF0000FF"/>
      <name val="Arial"/>
      <family val="2"/>
    </font>
    <font>
      <sz val="10"/>
      <color rgb="FFFF0000"/>
      <name val="Roboto Condensed"/>
    </font>
    <font>
      <b/>
      <sz val="11"/>
      <color theme="1"/>
      <name val="Calibri"/>
      <family val="2"/>
      <scheme val="minor"/>
    </font>
    <font>
      <b/>
      <i/>
      <sz val="11"/>
      <color theme="1"/>
      <name val="Roboto Condensed"/>
    </font>
    <font>
      <b/>
      <sz val="11"/>
      <color theme="0"/>
      <name val="Roboto Condensed"/>
    </font>
    <font>
      <sz val="11"/>
      <color theme="0"/>
      <name val="Roboto Condensed"/>
    </font>
    <font>
      <sz val="10"/>
      <color theme="1"/>
      <name val="Calibri"/>
      <family val="2"/>
    </font>
    <font>
      <b/>
      <sz val="12.5"/>
      <color theme="0"/>
      <name val="Roboto Condensed"/>
    </font>
    <font>
      <sz val="15"/>
      <color theme="1"/>
      <name val="Roboto Condensed"/>
    </font>
    <font>
      <b/>
      <sz val="14"/>
      <color theme="1"/>
      <name val="Roboto Condensed"/>
    </font>
    <font>
      <sz val="15"/>
      <color indexed="8"/>
      <name val="Roboto Condensed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66FF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name val="Arial"/>
      <family val="2"/>
    </font>
    <font>
      <sz val="11"/>
      <color rgb="FF0000FF"/>
      <name val="Roboto Condensed"/>
    </font>
    <font>
      <u/>
      <sz val="11"/>
      <color theme="10"/>
      <name val="Calibri"/>
      <family val="2"/>
      <scheme val="minor"/>
    </font>
    <font>
      <sz val="10"/>
      <color theme="1"/>
      <name val="Arial"/>
      <family val="2"/>
    </font>
    <font>
      <b/>
      <sz val="11"/>
      <name val="Calibri"/>
      <family val="2"/>
      <scheme val="minor"/>
    </font>
    <font>
      <sz val="12"/>
      <color theme="1"/>
      <name val="Roboto Condensed"/>
    </font>
    <font>
      <b/>
      <sz val="11"/>
      <color theme="10"/>
      <name val="Roboto Condensed"/>
    </font>
    <font>
      <b/>
      <sz val="11"/>
      <color theme="10"/>
      <name val="Calibri"/>
      <family val="2"/>
      <scheme val="minor"/>
    </font>
    <font>
      <b/>
      <sz val="10"/>
      <color rgb="FF005AA4"/>
      <name val="Roboto Condensed"/>
    </font>
    <font>
      <sz val="10"/>
      <color rgb="FF000000"/>
      <name val="Arial"/>
      <family val="2"/>
    </font>
    <font>
      <i/>
      <sz val="10"/>
      <color rgb="FF000000"/>
      <name val="Arial"/>
      <family val="2"/>
    </font>
    <font>
      <sz val="11"/>
      <color theme="1"/>
      <name val="Arial"/>
      <family val="2"/>
    </font>
    <font>
      <b/>
      <sz val="12"/>
      <color rgb="FF000080"/>
      <name val="Arial"/>
      <family val="2"/>
    </font>
    <font>
      <sz val="14"/>
      <color rgb="FF000000"/>
      <name val="Arial"/>
      <family val="2"/>
    </font>
    <font>
      <b/>
      <u/>
      <sz val="14"/>
      <color rgb="FFFF0000"/>
      <name val="Arial"/>
      <family val="2"/>
    </font>
    <font>
      <sz val="11"/>
      <color theme="10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rgb="FF005AA4"/>
        <bgColor indexed="64"/>
      </patternFill>
    </fill>
    <fill>
      <patternFill patternType="solid">
        <fgColor rgb="FFD9F1FB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</patternFill>
    </fill>
    <fill>
      <patternFill patternType="solid">
        <fgColor rgb="FFFF7C80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0066FF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0EE90"/>
        <bgColor indexed="64"/>
      </patternFill>
    </fill>
    <fill>
      <patternFill patternType="solid">
        <fgColor indexed="65"/>
        <bgColor indexed="64"/>
      </patternFill>
    </fill>
  </fills>
  <borders count="29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Dashed">
        <color rgb="FFFF0000"/>
      </left>
      <right style="mediumDashed">
        <color rgb="FFFF0000"/>
      </right>
      <top style="mediumDashed">
        <color rgb="FFFF0000"/>
      </top>
      <bottom/>
      <diagonal/>
    </border>
    <border>
      <left style="mediumDashed">
        <color rgb="FFFF0000"/>
      </left>
      <right style="mediumDashed">
        <color rgb="FFFF0000"/>
      </right>
      <top/>
      <bottom style="mediumDashed">
        <color rgb="FFFF000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Dashed">
        <color rgb="FFFF0000"/>
      </right>
      <top/>
      <bottom/>
      <diagonal/>
    </border>
    <border>
      <left/>
      <right style="slantDashDot">
        <color rgb="FFFF0000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slantDashDot">
        <color rgb="FFFF0000"/>
      </right>
      <top style="thin">
        <color auto="1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slantDashDot">
        <color rgb="FFFF0000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8">
    <xf numFmtId="0" fontId="0" fillId="0" borderId="0"/>
    <xf numFmtId="9" fontId="1" fillId="0" borderId="0" applyFont="0" applyFill="0" applyBorder="0" applyAlignment="0" applyProtection="0"/>
    <xf numFmtId="168" fontId="22" fillId="0" borderId="0" applyNumberFormat="0" applyFill="0" applyBorder="0" applyAlignment="0" applyProtection="0"/>
    <xf numFmtId="43" fontId="1" fillId="0" borderId="0" applyFont="0" applyFill="0" applyBorder="0" applyAlignment="0" applyProtection="0"/>
    <xf numFmtId="168" fontId="28" fillId="0" borderId="0"/>
    <xf numFmtId="0" fontId="38" fillId="0" borderId="0"/>
    <xf numFmtId="0" fontId="40" fillId="0" borderId="0" applyNumberFormat="0" applyFill="0" applyBorder="0" applyAlignment="0" applyProtection="0"/>
    <xf numFmtId="0" fontId="41" fillId="0" borderId="0"/>
  </cellStyleXfs>
  <cellXfs count="527">
    <xf numFmtId="0" fontId="0" fillId="0" borderId="0" xfId="0"/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4" fillId="2" borderId="0" xfId="0" applyFont="1" applyFill="1"/>
    <xf numFmtId="0" fontId="3" fillId="2" borderId="0" xfId="0" applyFont="1" applyFill="1" applyAlignment="1">
      <alignment horizontal="right"/>
    </xf>
    <xf numFmtId="164" fontId="3" fillId="2" borderId="0" xfId="0" applyNumberFormat="1" applyFont="1" applyFill="1" applyAlignment="1">
      <alignment horizontal="right"/>
    </xf>
    <xf numFmtId="164" fontId="5" fillId="2" borderId="0" xfId="0" applyNumberFormat="1" applyFont="1" applyFill="1" applyAlignment="1">
      <alignment horizontal="right"/>
    </xf>
    <xf numFmtId="0" fontId="6" fillId="0" borderId="0" xfId="0" applyFont="1"/>
    <xf numFmtId="0" fontId="7" fillId="0" borderId="0" xfId="0" applyFont="1"/>
    <xf numFmtId="0" fontId="0" fillId="3" borderId="0" xfId="0" applyFill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left" indent="1"/>
    </xf>
    <xf numFmtId="0" fontId="9" fillId="0" borderId="0" xfId="0" applyFont="1"/>
    <xf numFmtId="0" fontId="10" fillId="3" borderId="0" xfId="0" applyFont="1" applyFill="1"/>
    <xf numFmtId="9" fontId="7" fillId="0" borderId="0" xfId="1" applyFont="1"/>
    <xf numFmtId="166" fontId="7" fillId="0" borderId="0" xfId="0" applyNumberFormat="1" applyFont="1"/>
    <xf numFmtId="0" fontId="7" fillId="5" borderId="0" xfId="0" applyFont="1" applyFill="1"/>
    <xf numFmtId="165" fontId="7" fillId="0" borderId="0" xfId="0" applyNumberFormat="1" applyFont="1"/>
    <xf numFmtId="166" fontId="7" fillId="0" borderId="0" xfId="1" applyNumberFormat="1" applyFont="1"/>
    <xf numFmtId="167" fontId="7" fillId="0" borderId="0" xfId="0" applyNumberFormat="1" applyFont="1"/>
    <xf numFmtId="3" fontId="7" fillId="0" borderId="0" xfId="0" applyNumberFormat="1" applyFont="1"/>
    <xf numFmtId="1" fontId="7" fillId="0" borderId="0" xfId="0" applyNumberFormat="1" applyFont="1"/>
    <xf numFmtId="0" fontId="7" fillId="0" borderId="0" xfId="0" applyFont="1" applyAlignment="1">
      <alignment horizontal="center"/>
    </xf>
    <xf numFmtId="2" fontId="7" fillId="0" borderId="0" xfId="0" applyNumberFormat="1" applyFont="1"/>
    <xf numFmtId="9" fontId="11" fillId="0" borderId="0" xfId="0" applyNumberFormat="1" applyFont="1"/>
    <xf numFmtId="0" fontId="16" fillId="0" borderId="0" xfId="0" applyFont="1" applyAlignment="1">
      <alignment horizontal="left" indent="1"/>
    </xf>
    <xf numFmtId="0" fontId="3" fillId="2" borderId="2" xfId="0" applyFont="1" applyFill="1" applyBorder="1"/>
    <xf numFmtId="1" fontId="11" fillId="0" borderId="0" xfId="0" applyNumberFormat="1" applyFont="1"/>
    <xf numFmtId="9" fontId="7" fillId="0" borderId="0" xfId="1" applyFont="1" applyFill="1"/>
    <xf numFmtId="166" fontId="9" fillId="0" borderId="0" xfId="0" applyNumberFormat="1" applyFont="1"/>
    <xf numFmtId="166" fontId="11" fillId="0" borderId="0" xfId="0" applyNumberFormat="1" applyFont="1"/>
    <xf numFmtId="166" fontId="7" fillId="0" borderId="0" xfId="1" applyNumberFormat="1" applyFont="1" applyFill="1"/>
    <xf numFmtId="166" fontId="18" fillId="0" borderId="0" xfId="0" applyNumberFormat="1" applyFont="1"/>
    <xf numFmtId="0" fontId="18" fillId="0" borderId="0" xfId="0" applyFont="1"/>
    <xf numFmtId="3" fontId="16" fillId="0" borderId="0" xfId="0" applyNumberFormat="1" applyFont="1"/>
    <xf numFmtId="9" fontId="16" fillId="0" borderId="0" xfId="1" applyFont="1"/>
    <xf numFmtId="165" fontId="11" fillId="0" borderId="0" xfId="0" applyNumberFormat="1" applyFont="1"/>
    <xf numFmtId="165" fontId="16" fillId="0" borderId="0" xfId="0" applyNumberFormat="1" applyFont="1"/>
    <xf numFmtId="167" fontId="11" fillId="0" borderId="0" xfId="0" applyNumberFormat="1" applyFont="1"/>
    <xf numFmtId="166" fontId="11" fillId="8" borderId="0" xfId="0" applyNumberFormat="1" applyFont="1" applyFill="1"/>
    <xf numFmtId="167" fontId="11" fillId="8" borderId="0" xfId="0" applyNumberFormat="1" applyFont="1" applyFill="1"/>
    <xf numFmtId="167" fontId="7" fillId="8" borderId="0" xfId="0" applyNumberFormat="1" applyFont="1" applyFill="1"/>
    <xf numFmtId="166" fontId="11" fillId="0" borderId="0" xfId="1" applyNumberFormat="1" applyFont="1"/>
    <xf numFmtId="1" fontId="19" fillId="0" borderId="0" xfId="0" applyNumberFormat="1" applyFont="1"/>
    <xf numFmtId="9" fontId="11" fillId="0" borderId="0" xfId="1" applyFont="1"/>
    <xf numFmtId="167" fontId="19" fillId="0" borderId="0" xfId="0" applyNumberFormat="1" applyFont="1"/>
    <xf numFmtId="165" fontId="10" fillId="4" borderId="1" xfId="0" applyNumberFormat="1" applyFont="1" applyFill="1" applyBorder="1"/>
    <xf numFmtId="0" fontId="9" fillId="4" borderId="1" xfId="0" applyFont="1" applyFill="1" applyBorder="1"/>
    <xf numFmtId="0" fontId="7" fillId="0" borderId="0" xfId="0" applyFont="1" applyAlignment="1">
      <alignment horizontal="left"/>
    </xf>
    <xf numFmtId="4" fontId="20" fillId="2" borderId="0" xfId="0" applyNumberFormat="1" applyFont="1" applyFill="1" applyAlignment="1">
      <alignment horizontal="center"/>
    </xf>
    <xf numFmtId="0" fontId="21" fillId="2" borderId="0" xfId="0" applyFont="1" applyFill="1"/>
    <xf numFmtId="0" fontId="9" fillId="0" borderId="0" xfId="0" applyFont="1" applyAlignment="1">
      <alignment horizontal="left"/>
    </xf>
    <xf numFmtId="167" fontId="9" fillId="0" borderId="0" xfId="0" applyNumberFormat="1" applyFont="1"/>
    <xf numFmtId="166" fontId="7" fillId="0" borderId="0" xfId="1" applyNumberFormat="1" applyFont="1" applyAlignment="1"/>
    <xf numFmtId="9" fontId="7" fillId="0" borderId="0" xfId="1" applyFont="1" applyAlignment="1"/>
    <xf numFmtId="9" fontId="7" fillId="0" borderId="0" xfId="0" applyNumberFormat="1" applyFont="1"/>
    <xf numFmtId="0" fontId="9" fillId="0" borderId="0" xfId="0" applyFont="1" applyAlignment="1">
      <alignment horizontal="center"/>
    </xf>
    <xf numFmtId="165" fontId="9" fillId="0" borderId="0" xfId="0" applyNumberFormat="1" applyFont="1"/>
    <xf numFmtId="0" fontId="7" fillId="0" borderId="0" xfId="0" applyFont="1" applyAlignment="1">
      <alignment horizontal="right"/>
    </xf>
    <xf numFmtId="4" fontId="11" fillId="5" borderId="0" xfId="0" applyNumberFormat="1" applyFont="1" applyFill="1"/>
    <xf numFmtId="0" fontId="7" fillId="3" borderId="0" xfId="0" applyFont="1" applyFill="1"/>
    <xf numFmtId="0" fontId="0" fillId="10" borderId="0" xfId="0" applyFill="1"/>
    <xf numFmtId="0" fontId="24" fillId="0" borderId="0" xfId="0" applyFont="1"/>
    <xf numFmtId="1" fontId="9" fillId="0" borderId="0" xfId="0" applyNumberFormat="1" applyFont="1"/>
    <xf numFmtId="0" fontId="0" fillId="11" borderId="0" xfId="0" applyFill="1"/>
    <xf numFmtId="0" fontId="7" fillId="11" borderId="0" xfId="0" applyFont="1" applyFill="1"/>
    <xf numFmtId="0" fontId="7" fillId="11" borderId="0" xfId="0" applyFont="1" applyFill="1" applyAlignment="1">
      <alignment horizontal="center"/>
    </xf>
    <xf numFmtId="0" fontId="9" fillId="11" borderId="0" xfId="0" applyFont="1" applyFill="1"/>
    <xf numFmtId="0" fontId="11" fillId="0" borderId="0" xfId="0" applyFont="1"/>
    <xf numFmtId="0" fontId="0" fillId="10" borderId="0" xfId="0" quotePrefix="1" applyFill="1"/>
    <xf numFmtId="0" fontId="9" fillId="0" borderId="1" xfId="0" applyFont="1" applyBorder="1"/>
    <xf numFmtId="1" fontId="9" fillId="0" borderId="1" xfId="0" applyNumberFormat="1" applyFont="1" applyBorder="1"/>
    <xf numFmtId="0" fontId="12" fillId="12" borderId="0" xfId="0" applyFont="1" applyFill="1"/>
    <xf numFmtId="4" fontId="7" fillId="0" borderId="0" xfId="0" applyNumberFormat="1" applyFont="1"/>
    <xf numFmtId="10" fontId="7" fillId="0" borderId="0" xfId="1" applyNumberFormat="1" applyFont="1"/>
    <xf numFmtId="1" fontId="17" fillId="9" borderId="4" xfId="2" applyNumberFormat="1" applyFont="1" applyFill="1" applyBorder="1" applyAlignment="1">
      <alignment horizontal="right"/>
    </xf>
    <xf numFmtId="0" fontId="9" fillId="7" borderId="0" xfId="0" applyFont="1" applyFill="1"/>
    <xf numFmtId="167" fontId="9" fillId="7" borderId="0" xfId="0" applyNumberFormat="1" applyFont="1" applyFill="1"/>
    <xf numFmtId="0" fontId="7" fillId="7" borderId="0" xfId="0" applyFont="1" applyFill="1"/>
    <xf numFmtId="167" fontId="0" fillId="0" borderId="0" xfId="0" applyNumberFormat="1"/>
    <xf numFmtId="167" fontId="23" fillId="9" borderId="4" xfId="2" applyNumberFormat="1" applyFont="1" applyFill="1" applyBorder="1" applyAlignment="1">
      <alignment horizontal="right"/>
    </xf>
    <xf numFmtId="0" fontId="11" fillId="0" borderId="0" xfId="0" applyFont="1" applyAlignment="1">
      <alignment horizontal="right"/>
    </xf>
    <xf numFmtId="169" fontId="11" fillId="0" borderId="0" xfId="0" applyNumberFormat="1" applyFont="1"/>
    <xf numFmtId="0" fontId="7" fillId="2" borderId="0" xfId="0" applyFont="1" applyFill="1"/>
    <xf numFmtId="10" fontId="7" fillId="0" borderId="0" xfId="0" applyNumberFormat="1" applyFont="1"/>
    <xf numFmtId="170" fontId="7" fillId="0" borderId="0" xfId="0" applyNumberFormat="1" applyFont="1"/>
    <xf numFmtId="0" fontId="26" fillId="2" borderId="0" xfId="0" applyFont="1" applyFill="1"/>
    <xf numFmtId="0" fontId="27" fillId="2" borderId="0" xfId="0" applyFont="1" applyFill="1"/>
    <xf numFmtId="0" fontId="8" fillId="11" borderId="0" xfId="0" applyFont="1" applyFill="1"/>
    <xf numFmtId="0" fontId="8" fillId="0" borderId="0" xfId="0" applyFont="1"/>
    <xf numFmtId="0" fontId="0" fillId="0" borderId="0" xfId="0" applyAlignment="1">
      <alignment horizontal="left" indent="1"/>
    </xf>
    <xf numFmtId="9" fontId="0" fillId="0" borderId="0" xfId="1" applyFont="1"/>
    <xf numFmtId="166" fontId="0" fillId="0" borderId="0" xfId="1" applyNumberFormat="1" applyFont="1"/>
    <xf numFmtId="168" fontId="6" fillId="13" borderId="0" xfId="4" applyFont="1" applyFill="1"/>
    <xf numFmtId="0" fontId="0" fillId="0" borderId="0" xfId="0" applyAlignment="1">
      <alignment horizontal="center"/>
    </xf>
    <xf numFmtId="0" fontId="29" fillId="2" borderId="0" xfId="0" applyFont="1" applyFill="1"/>
    <xf numFmtId="0" fontId="9" fillId="0" borderId="0" xfId="0" quotePrefix="1" applyFont="1"/>
    <xf numFmtId="0" fontId="30" fillId="0" borderId="0" xfId="0" applyFont="1"/>
    <xf numFmtId="0" fontId="31" fillId="0" borderId="0" xfId="0" applyFont="1"/>
    <xf numFmtId="0" fontId="32" fillId="2" borderId="0" xfId="0" applyFont="1" applyFill="1"/>
    <xf numFmtId="0" fontId="27" fillId="0" borderId="0" xfId="0" applyFont="1"/>
    <xf numFmtId="171" fontId="7" fillId="0" borderId="0" xfId="0" applyNumberFormat="1" applyFont="1"/>
    <xf numFmtId="172" fontId="19" fillId="0" borderId="0" xfId="0" applyNumberFormat="1" applyFont="1"/>
    <xf numFmtId="173" fontId="7" fillId="0" borderId="0" xfId="0" applyNumberFormat="1" applyFont="1"/>
    <xf numFmtId="170" fontId="7" fillId="0" borderId="0" xfId="0" applyNumberFormat="1" applyFont="1" applyAlignment="1">
      <alignment horizontal="center"/>
    </xf>
    <xf numFmtId="0" fontId="27" fillId="2" borderId="0" xfId="0" applyFont="1" applyFill="1" applyAlignment="1">
      <alignment horizontal="center"/>
    </xf>
    <xf numFmtId="0" fontId="7" fillId="7" borderId="0" xfId="0" applyFont="1" applyFill="1" applyAlignment="1">
      <alignment horizontal="center"/>
    </xf>
    <xf numFmtId="0" fontId="0" fillId="15" borderId="0" xfId="0" applyFill="1"/>
    <xf numFmtId="166" fontId="16" fillId="0" borderId="0" xfId="1" applyNumberFormat="1" applyFont="1"/>
    <xf numFmtId="2" fontId="7" fillId="0" borderId="0" xfId="1" applyNumberFormat="1" applyFont="1" applyFill="1"/>
    <xf numFmtId="9" fontId="9" fillId="0" borderId="0" xfId="1" applyFont="1"/>
    <xf numFmtId="9" fontId="25" fillId="0" borderId="0" xfId="1" applyFont="1"/>
    <xf numFmtId="3" fontId="9" fillId="0" borderId="0" xfId="0" applyNumberFormat="1" applyFont="1"/>
    <xf numFmtId="0" fontId="7" fillId="0" borderId="0" xfId="0" quotePrefix="1" applyFont="1"/>
    <xf numFmtId="0" fontId="0" fillId="0" borderId="0" xfId="0" applyAlignment="1">
      <alignment horizontal="right"/>
    </xf>
    <xf numFmtId="0" fontId="37" fillId="0" borderId="0" xfId="0" applyFont="1"/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0" fillId="0" borderId="1" xfId="0" applyBorder="1" applyAlignment="1">
      <alignment horizontal="center"/>
    </xf>
    <xf numFmtId="9" fontId="0" fillId="0" borderId="0" xfId="0" applyNumberFormat="1"/>
    <xf numFmtId="0" fontId="0" fillId="0" borderId="1" xfId="0" applyBorder="1"/>
    <xf numFmtId="9" fontId="1" fillId="0" borderId="0" xfId="1" applyFont="1" applyBorder="1"/>
    <xf numFmtId="0" fontId="37" fillId="0" borderId="1" xfId="0" applyFont="1" applyBorder="1"/>
    <xf numFmtId="0" fontId="35" fillId="2" borderId="0" xfId="0" applyFont="1" applyFill="1"/>
    <xf numFmtId="0" fontId="34" fillId="2" borderId="0" xfId="0" applyFont="1" applyFill="1"/>
    <xf numFmtId="0" fontId="34" fillId="2" borderId="0" xfId="0" applyFont="1" applyFill="1" applyAlignment="1">
      <alignment horizontal="right"/>
    </xf>
    <xf numFmtId="0" fontId="35" fillId="2" borderId="0" xfId="0" applyFont="1" applyFill="1" applyAlignment="1">
      <alignment horizontal="left" indent="1"/>
    </xf>
    <xf numFmtId="9" fontId="37" fillId="2" borderId="0" xfId="0" applyNumberFormat="1" applyFont="1" applyFill="1" applyAlignment="1">
      <alignment horizontal="center"/>
    </xf>
    <xf numFmtId="9" fontId="2" fillId="0" borderId="0" xfId="0" applyNumberFormat="1" applyFont="1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/>
    <xf numFmtId="1" fontId="24" fillId="0" borderId="0" xfId="0" applyNumberFormat="1" applyFont="1"/>
    <xf numFmtId="0" fontId="0" fillId="0" borderId="0" xfId="0" applyAlignment="1">
      <alignment horizontal="left"/>
    </xf>
    <xf numFmtId="169" fontId="7" fillId="0" borderId="0" xfId="0" applyNumberFormat="1" applyFont="1"/>
    <xf numFmtId="168" fontId="7" fillId="0" borderId="0" xfId="0" applyNumberFormat="1" applyFont="1"/>
    <xf numFmtId="167" fontId="7" fillId="10" borderId="0" xfId="0" applyNumberFormat="1" applyFont="1" applyFill="1"/>
    <xf numFmtId="167" fontId="7" fillId="0" borderId="0" xfId="3" applyNumberFormat="1" applyFont="1"/>
    <xf numFmtId="0" fontId="36" fillId="0" borderId="0" xfId="0" applyFont="1"/>
    <xf numFmtId="0" fontId="2" fillId="0" borderId="0" xfId="0" applyFont="1"/>
    <xf numFmtId="0" fontId="0" fillId="14" borderId="0" xfId="0" applyFill="1"/>
    <xf numFmtId="0" fontId="17" fillId="2" borderId="0" xfId="0" applyFont="1" applyFill="1"/>
    <xf numFmtId="0" fontId="17" fillId="0" borderId="0" xfId="0" applyFont="1"/>
    <xf numFmtId="0" fontId="17" fillId="2" borderId="0" xfId="0" applyFont="1" applyFill="1" applyAlignment="1">
      <alignment horizontal="center"/>
    </xf>
    <xf numFmtId="0" fontId="8" fillId="11" borderId="0" xfId="0" applyFont="1" applyFill="1" applyAlignment="1">
      <alignment horizontal="right"/>
    </xf>
    <xf numFmtId="0" fontId="17" fillId="0" borderId="0" xfId="0" applyFont="1" applyAlignment="1">
      <alignment horizontal="center"/>
    </xf>
    <xf numFmtId="167" fontId="17" fillId="0" borderId="0" xfId="0" applyNumberFormat="1" applyFont="1"/>
    <xf numFmtId="0" fontId="13" fillId="0" borderId="0" xfId="0" applyFont="1"/>
    <xf numFmtId="0" fontId="13" fillId="0" borderId="0" xfId="0" applyFont="1" applyAlignment="1">
      <alignment horizontal="center"/>
    </xf>
    <xf numFmtId="166" fontId="17" fillId="0" borderId="0" xfId="1" applyNumberFormat="1" applyFont="1"/>
    <xf numFmtId="0" fontId="17" fillId="0" borderId="0" xfId="0" applyFont="1" applyAlignment="1">
      <alignment horizontal="left" indent="1"/>
    </xf>
    <xf numFmtId="9" fontId="17" fillId="0" borderId="0" xfId="1" applyFont="1"/>
    <xf numFmtId="173" fontId="11" fillId="0" borderId="0" xfId="0" applyNumberFormat="1" applyFont="1"/>
    <xf numFmtId="0" fontId="9" fillId="0" borderId="0" xfId="0" applyFont="1" applyAlignment="1">
      <alignment horizontal="left" indent="1"/>
    </xf>
    <xf numFmtId="0" fontId="7" fillId="0" borderId="1" xfId="0" applyFont="1" applyBorder="1" applyAlignment="1">
      <alignment horizontal="center"/>
    </xf>
    <xf numFmtId="0" fontId="7" fillId="0" borderId="9" xfId="0" applyFont="1" applyBorder="1"/>
    <xf numFmtId="0" fontId="7" fillId="0" borderId="13" xfId="0" applyFont="1" applyBorder="1"/>
    <xf numFmtId="166" fontId="7" fillId="0" borderId="0" xfId="0" applyNumberFormat="1" applyFont="1" applyAlignment="1">
      <alignment horizontal="center"/>
    </xf>
    <xf numFmtId="9" fontId="7" fillId="0" borderId="0" xfId="0" applyNumberFormat="1" applyFont="1" applyAlignment="1">
      <alignment horizontal="center"/>
    </xf>
    <xf numFmtId="0" fontId="26" fillId="2" borderId="0" xfId="0" applyFont="1" applyFill="1" applyAlignment="1">
      <alignment horizontal="center"/>
    </xf>
    <xf numFmtId="0" fontId="11" fillId="0" borderId="0" xfId="0" applyFont="1" applyAlignment="1">
      <alignment horizontal="center"/>
    </xf>
    <xf numFmtId="0" fontId="7" fillId="16" borderId="0" xfId="0" applyFont="1" applyFill="1"/>
    <xf numFmtId="0" fontId="7" fillId="0" borderId="0" xfId="0" applyFont="1" applyAlignment="1">
      <alignment horizontal="left" indent="2"/>
    </xf>
    <xf numFmtId="0" fontId="9" fillId="7" borderId="0" xfId="0" applyFont="1" applyFill="1" applyAlignment="1">
      <alignment horizontal="center"/>
    </xf>
    <xf numFmtId="0" fontId="7" fillId="6" borderId="0" xfId="0" applyFont="1" applyFill="1"/>
    <xf numFmtId="10" fontId="11" fillId="0" borderId="0" xfId="0" applyNumberFormat="1" applyFont="1"/>
    <xf numFmtId="166" fontId="9" fillId="0" borderId="0" xfId="1" applyNumberFormat="1" applyFont="1"/>
    <xf numFmtId="0" fontId="0" fillId="5" borderId="0" xfId="0" applyFill="1"/>
    <xf numFmtId="10" fontId="0" fillId="0" borderId="0" xfId="0" applyNumberFormat="1"/>
    <xf numFmtId="166" fontId="0" fillId="0" borderId="0" xfId="0" applyNumberFormat="1"/>
    <xf numFmtId="1" fontId="16" fillId="0" borderId="0" xfId="0" applyNumberFormat="1" applyFont="1"/>
    <xf numFmtId="167" fontId="7" fillId="14" borderId="0" xfId="0" applyNumberFormat="1" applyFont="1" applyFill="1"/>
    <xf numFmtId="165" fontId="7" fillId="14" borderId="0" xfId="0" applyNumberFormat="1" applyFont="1" applyFill="1"/>
    <xf numFmtId="0" fontId="7" fillId="8" borderId="0" xfId="0" applyFont="1" applyFill="1"/>
    <xf numFmtId="166" fontId="7" fillId="8" borderId="0" xfId="0" applyNumberFormat="1" applyFont="1" applyFill="1"/>
    <xf numFmtId="165" fontId="7" fillId="8" borderId="0" xfId="0" applyNumberFormat="1" applyFont="1" applyFill="1"/>
    <xf numFmtId="0" fontId="7" fillId="14" borderId="0" xfId="0" applyFont="1" applyFill="1"/>
    <xf numFmtId="0" fontId="7" fillId="5" borderId="0" xfId="0" applyFont="1" applyFill="1" applyAlignment="1">
      <alignment horizontal="left" indent="1"/>
    </xf>
    <xf numFmtId="3" fontId="11" fillId="0" borderId="0" xfId="0" applyNumberFormat="1" applyFont="1"/>
    <xf numFmtId="167" fontId="7" fillId="17" borderId="0" xfId="0" applyNumberFormat="1" applyFont="1" applyFill="1"/>
    <xf numFmtId="166" fontId="7" fillId="17" borderId="0" xfId="1" applyNumberFormat="1" applyFont="1" applyFill="1"/>
    <xf numFmtId="9" fontId="7" fillId="17" borderId="0" xfId="1" applyFont="1" applyFill="1"/>
    <xf numFmtId="167" fontId="7" fillId="6" borderId="0" xfId="0" applyNumberFormat="1" applyFont="1" applyFill="1"/>
    <xf numFmtId="167" fontId="7" fillId="0" borderId="0" xfId="0" applyNumberFormat="1" applyFont="1" applyAlignment="1">
      <alignment horizontal="right"/>
    </xf>
    <xf numFmtId="0" fontId="7" fillId="16" borderId="0" xfId="0" applyFont="1" applyFill="1" applyAlignment="1">
      <alignment horizontal="right"/>
    </xf>
    <xf numFmtId="167" fontId="19" fillId="0" borderId="0" xfId="0" applyNumberFormat="1" applyFont="1" applyAlignment="1">
      <alignment horizontal="right"/>
    </xf>
    <xf numFmtId="165" fontId="16" fillId="0" borderId="0" xfId="0" applyNumberFormat="1" applyFont="1" applyAlignment="1">
      <alignment horizontal="right"/>
    </xf>
    <xf numFmtId="165" fontId="10" fillId="4" borderId="1" xfId="0" applyNumberFormat="1" applyFont="1" applyFill="1" applyBorder="1" applyAlignment="1">
      <alignment horizontal="right"/>
    </xf>
    <xf numFmtId="0" fontId="16" fillId="0" borderId="0" xfId="0" applyFont="1" applyAlignment="1">
      <alignment horizontal="right"/>
    </xf>
    <xf numFmtId="165" fontId="7" fillId="0" borderId="0" xfId="0" applyNumberFormat="1" applyFont="1" applyAlignment="1">
      <alignment horizontal="right"/>
    </xf>
    <xf numFmtId="0" fontId="16" fillId="3" borderId="0" xfId="0" applyFont="1" applyFill="1" applyAlignment="1">
      <alignment horizontal="right"/>
    </xf>
    <xf numFmtId="165" fontId="16" fillId="3" borderId="0" xfId="0" applyNumberFormat="1" applyFont="1" applyFill="1" applyAlignment="1">
      <alignment horizontal="right"/>
    </xf>
    <xf numFmtId="167" fontId="16" fillId="0" borderId="0" xfId="0" applyNumberFormat="1" applyFont="1" applyAlignment="1">
      <alignment horizontal="right"/>
    </xf>
    <xf numFmtId="166" fontId="19" fillId="0" borderId="0" xfId="1" applyNumberFormat="1" applyFont="1" applyFill="1"/>
    <xf numFmtId="166" fontId="9" fillId="0" borderId="0" xfId="1" applyNumberFormat="1" applyFont="1" applyFill="1"/>
    <xf numFmtId="0" fontId="16" fillId="3" borderId="0" xfId="0" applyFont="1" applyFill="1" applyAlignment="1">
      <alignment horizontal="center"/>
    </xf>
    <xf numFmtId="0" fontId="16" fillId="3" borderId="0" xfId="0" applyFont="1" applyFill="1"/>
    <xf numFmtId="165" fontId="19" fillId="0" borderId="0" xfId="0" applyNumberFormat="1" applyFont="1"/>
    <xf numFmtId="9" fontId="16" fillId="0" borderId="0" xfId="1" applyFont="1" applyFill="1"/>
    <xf numFmtId="165" fontId="39" fillId="0" borderId="0" xfId="0" applyNumberFormat="1" applyFont="1"/>
    <xf numFmtId="166" fontId="19" fillId="8" borderId="0" xfId="1" applyNumberFormat="1" applyFont="1" applyFill="1"/>
    <xf numFmtId="165" fontId="19" fillId="8" borderId="0" xfId="0" applyNumberFormat="1" applyFont="1" applyFill="1"/>
    <xf numFmtId="165" fontId="9" fillId="8" borderId="0" xfId="0" applyNumberFormat="1" applyFont="1" applyFill="1"/>
    <xf numFmtId="166" fontId="19" fillId="8" borderId="0" xfId="1" applyNumberFormat="1" applyFont="1" applyFill="1" applyBorder="1"/>
    <xf numFmtId="166" fontId="7" fillId="0" borderId="0" xfId="1" applyNumberFormat="1" applyFont="1" applyFill="1" applyBorder="1" applyAlignment="1">
      <alignment horizontal="right"/>
    </xf>
    <xf numFmtId="166" fontId="11" fillId="0" borderId="0" xfId="1" applyNumberFormat="1" applyFont="1" applyFill="1" applyBorder="1" applyAlignment="1">
      <alignment horizontal="right"/>
    </xf>
    <xf numFmtId="3" fontId="10" fillId="4" borderId="1" xfId="0" applyNumberFormat="1" applyFont="1" applyFill="1" applyBorder="1" applyAlignment="1">
      <alignment horizontal="center"/>
    </xf>
    <xf numFmtId="168" fontId="11" fillId="9" borderId="5" xfId="2" applyNumberFormat="1" applyFont="1" applyFill="1" applyBorder="1" applyAlignment="1">
      <alignment horizontal="right"/>
    </xf>
    <xf numFmtId="168" fontId="11" fillId="9" borderId="4" xfId="2" applyNumberFormat="1" applyFont="1" applyFill="1" applyBorder="1" applyAlignment="1">
      <alignment horizontal="right"/>
    </xf>
    <xf numFmtId="166" fontId="11" fillId="9" borderId="4" xfId="1" applyNumberFormat="1" applyFont="1" applyFill="1" applyBorder="1" applyAlignment="1">
      <alignment horizontal="right"/>
    </xf>
    <xf numFmtId="166" fontId="7" fillId="9" borderId="4" xfId="1" applyNumberFormat="1" applyFont="1" applyFill="1" applyBorder="1" applyAlignment="1">
      <alignment horizontal="right"/>
    </xf>
    <xf numFmtId="168" fontId="7" fillId="9" borderId="5" xfId="2" applyNumberFormat="1" applyFont="1" applyFill="1" applyBorder="1" applyAlignment="1">
      <alignment horizontal="right"/>
    </xf>
    <xf numFmtId="168" fontId="7" fillId="9" borderId="4" xfId="2" applyNumberFormat="1" applyFont="1" applyFill="1" applyBorder="1" applyAlignment="1">
      <alignment horizontal="right"/>
    </xf>
    <xf numFmtId="1" fontId="7" fillId="0" borderId="0" xfId="1" applyNumberFormat="1" applyFont="1"/>
    <xf numFmtId="0" fontId="34" fillId="8" borderId="0" xfId="0" applyFont="1" applyFill="1"/>
    <xf numFmtId="0" fontId="35" fillId="8" borderId="0" xfId="0" applyFont="1" applyFill="1"/>
    <xf numFmtId="0" fontId="35" fillId="8" borderId="0" xfId="0" applyFont="1" applyFill="1" applyAlignment="1">
      <alignment horizontal="left" indent="1"/>
    </xf>
    <xf numFmtId="9" fontId="37" fillId="8" borderId="0" xfId="0" applyNumberFormat="1" applyFont="1" applyFill="1" applyAlignment="1">
      <alignment horizontal="center"/>
    </xf>
    <xf numFmtId="0" fontId="42" fillId="8" borderId="0" xfId="0" applyFont="1" applyFill="1"/>
    <xf numFmtId="166" fontId="0" fillId="0" borderId="0" xfId="1" applyNumberFormat="1" applyFont="1" applyBorder="1"/>
    <xf numFmtId="167" fontId="2" fillId="0" borderId="0" xfId="0" applyNumberFormat="1" applyFont="1"/>
    <xf numFmtId="166" fontId="2" fillId="0" borderId="0" xfId="0" applyNumberFormat="1" applyFont="1"/>
    <xf numFmtId="9" fontId="1" fillId="0" borderId="0" xfId="1" applyFont="1"/>
    <xf numFmtId="9" fontId="7" fillId="0" borderId="0" xfId="1" applyFont="1" applyAlignment="1">
      <alignment horizontal="right"/>
    </xf>
    <xf numFmtId="0" fontId="2" fillId="11" borderId="0" xfId="0" applyFont="1" applyFill="1"/>
    <xf numFmtId="0" fontId="42" fillId="0" borderId="0" xfId="0" applyFont="1"/>
    <xf numFmtId="1" fontId="17" fillId="0" borderId="0" xfId="0" applyNumberFormat="1" applyFont="1"/>
    <xf numFmtId="0" fontId="16" fillId="0" borderId="0" xfId="0" applyFont="1"/>
    <xf numFmtId="0" fontId="16" fillId="0" borderId="0" xfId="0" applyFont="1" applyAlignment="1">
      <alignment horizontal="center"/>
    </xf>
    <xf numFmtId="0" fontId="10" fillId="4" borderId="1" xfId="0" applyFont="1" applyFill="1" applyBorder="1"/>
    <xf numFmtId="0" fontId="10" fillId="4" borderId="1" xfId="0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166" fontId="12" fillId="9" borderId="4" xfId="1" applyNumberFormat="1" applyFont="1" applyFill="1" applyBorder="1" applyAlignment="1">
      <alignment horizontal="right"/>
    </xf>
    <xf numFmtId="166" fontId="9" fillId="9" borderId="4" xfId="1" applyNumberFormat="1" applyFont="1" applyFill="1" applyBorder="1" applyAlignment="1">
      <alignment horizontal="right"/>
    </xf>
    <xf numFmtId="168" fontId="7" fillId="0" borderId="0" xfId="2" applyNumberFormat="1" applyFont="1" applyFill="1" applyBorder="1" applyAlignment="1">
      <alignment horizontal="right"/>
    </xf>
    <xf numFmtId="176" fontId="7" fillId="0" borderId="0" xfId="0" applyNumberFormat="1" applyFont="1"/>
    <xf numFmtId="176" fontId="7" fillId="0" borderId="7" xfId="0" applyNumberFormat="1" applyFont="1" applyBorder="1" applyAlignment="1">
      <alignment horizontal="center"/>
    </xf>
    <xf numFmtId="176" fontId="7" fillId="0" borderId="1" xfId="0" applyNumberFormat="1" applyFont="1" applyBorder="1" applyAlignment="1">
      <alignment horizontal="center"/>
    </xf>
    <xf numFmtId="176" fontId="7" fillId="0" borderId="6" xfId="0" applyNumberFormat="1" applyFont="1" applyBorder="1" applyAlignment="1">
      <alignment horizontal="center"/>
    </xf>
    <xf numFmtId="176" fontId="7" fillId="0" borderId="0" xfId="0" applyNumberFormat="1" applyFont="1" applyAlignment="1">
      <alignment horizontal="center"/>
    </xf>
    <xf numFmtId="9" fontId="26" fillId="2" borderId="0" xfId="0" applyNumberFormat="1" applyFont="1" applyFill="1" applyAlignment="1">
      <alignment horizontal="center"/>
    </xf>
    <xf numFmtId="1" fontId="26" fillId="2" borderId="0" xfId="0" applyNumberFormat="1" applyFont="1" applyFill="1" applyAlignment="1">
      <alignment horizontal="center"/>
    </xf>
    <xf numFmtId="170" fontId="9" fillId="0" borderId="0" xfId="0" applyNumberFormat="1" applyFont="1" applyAlignment="1">
      <alignment horizontal="center"/>
    </xf>
    <xf numFmtId="170" fontId="9" fillId="0" borderId="0" xfId="0" applyNumberFormat="1" applyFont="1"/>
    <xf numFmtId="176" fontId="11" fillId="12" borderId="17" xfId="0" applyNumberFormat="1" applyFont="1" applyFill="1" applyBorder="1"/>
    <xf numFmtId="1" fontId="11" fillId="12" borderId="18" xfId="0" applyNumberFormat="1" applyFont="1" applyFill="1" applyBorder="1"/>
    <xf numFmtId="2" fontId="0" fillId="0" borderId="0" xfId="0" applyNumberFormat="1"/>
    <xf numFmtId="9" fontId="11" fillId="9" borderId="5" xfId="1" applyFont="1" applyFill="1" applyBorder="1" applyAlignment="1">
      <alignment horizontal="right"/>
    </xf>
    <xf numFmtId="9" fontId="7" fillId="9" borderId="5" xfId="1" applyFont="1" applyFill="1" applyBorder="1" applyAlignment="1">
      <alignment horizontal="right"/>
    </xf>
    <xf numFmtId="0" fontId="2" fillId="5" borderId="0" xfId="0" applyFont="1" applyFill="1"/>
    <xf numFmtId="0" fontId="0" fillId="5" borderId="0" xfId="0" applyFill="1" applyAlignment="1">
      <alignment horizontal="left" indent="1"/>
    </xf>
    <xf numFmtId="9" fontId="1" fillId="5" borderId="0" xfId="1" applyFont="1" applyFill="1"/>
    <xf numFmtId="1" fontId="0" fillId="5" borderId="0" xfId="0" applyNumberFormat="1" applyFill="1"/>
    <xf numFmtId="167" fontId="0" fillId="5" borderId="0" xfId="0" applyNumberFormat="1" applyFill="1"/>
    <xf numFmtId="166" fontId="2" fillId="5" borderId="0" xfId="0" applyNumberFormat="1" applyFont="1" applyFill="1"/>
    <xf numFmtId="9" fontId="7" fillId="0" borderId="0" xfId="1" applyFont="1" applyBorder="1"/>
    <xf numFmtId="1" fontId="26" fillId="2" borderId="12" xfId="0" applyNumberFormat="1" applyFont="1" applyFill="1" applyBorder="1" applyAlignment="1">
      <alignment horizontal="center"/>
    </xf>
    <xf numFmtId="176" fontId="7" fillId="0" borderId="20" xfId="0" applyNumberFormat="1" applyFont="1" applyBorder="1" applyAlignment="1">
      <alignment horizontal="center"/>
    </xf>
    <xf numFmtId="176" fontId="7" fillId="0" borderId="13" xfId="0" applyNumberFormat="1" applyFont="1" applyBorder="1" applyAlignment="1">
      <alignment horizontal="center"/>
    </xf>
    <xf numFmtId="176" fontId="7" fillId="8" borderId="1" xfId="0" applyNumberFormat="1" applyFont="1" applyFill="1" applyBorder="1" applyAlignment="1">
      <alignment horizontal="center"/>
    </xf>
    <xf numFmtId="176" fontId="7" fillId="8" borderId="0" xfId="0" applyNumberFormat="1" applyFont="1" applyFill="1" applyAlignment="1">
      <alignment horizontal="center"/>
    </xf>
    <xf numFmtId="176" fontId="7" fillId="8" borderId="14" xfId="0" applyNumberFormat="1" applyFont="1" applyFill="1" applyBorder="1" applyAlignment="1">
      <alignment horizontal="center"/>
    </xf>
    <xf numFmtId="1" fontId="26" fillId="2" borderId="8" xfId="0" applyNumberFormat="1" applyFont="1" applyFill="1" applyBorder="1" applyAlignment="1">
      <alignment horizontal="center"/>
    </xf>
    <xf numFmtId="176" fontId="7" fillId="0" borderId="10" xfId="0" applyNumberFormat="1" applyFont="1" applyBorder="1" applyAlignment="1">
      <alignment horizontal="center"/>
    </xf>
    <xf numFmtId="176" fontId="7" fillId="0" borderId="9" xfId="0" applyNumberFormat="1" applyFont="1" applyBorder="1" applyAlignment="1">
      <alignment horizontal="center"/>
    </xf>
    <xf numFmtId="176" fontId="7" fillId="8" borderId="11" xfId="0" applyNumberFormat="1" applyFont="1" applyFill="1" applyBorder="1" applyAlignment="1">
      <alignment horizontal="center"/>
    </xf>
    <xf numFmtId="10" fontId="7" fillId="5" borderId="0" xfId="0" applyNumberFormat="1" applyFont="1" applyFill="1" applyAlignment="1">
      <alignment horizontal="center"/>
    </xf>
    <xf numFmtId="177" fontId="7" fillId="0" borderId="0" xfId="0" applyNumberFormat="1" applyFont="1"/>
    <xf numFmtId="1" fontId="7" fillId="8" borderId="0" xfId="0" applyNumberFormat="1" applyFont="1" applyFill="1"/>
    <xf numFmtId="43" fontId="7" fillId="0" borderId="0" xfId="3" applyFont="1" applyFill="1"/>
    <xf numFmtId="0" fontId="7" fillId="2" borderId="0" xfId="0" applyFont="1" applyFill="1" applyAlignment="1">
      <alignment horizontal="center"/>
    </xf>
    <xf numFmtId="0" fontId="43" fillId="0" borderId="0" xfId="0" applyFont="1"/>
    <xf numFmtId="175" fontId="17" fillId="0" borderId="0" xfId="3" applyNumberFormat="1" applyFont="1"/>
    <xf numFmtId="167" fontId="13" fillId="0" borderId="0" xfId="0" applyNumberFormat="1" applyFont="1"/>
    <xf numFmtId="1" fontId="13" fillId="0" borderId="0" xfId="0" applyNumberFormat="1" applyFont="1"/>
    <xf numFmtId="0" fontId="8" fillId="11" borderId="0" xfId="0" applyFont="1" applyFill="1" applyAlignment="1">
      <alignment horizontal="center"/>
    </xf>
    <xf numFmtId="0" fontId="17" fillId="0" borderId="0" xfId="0" applyFont="1" applyAlignment="1">
      <alignment horizontal="right"/>
    </xf>
    <xf numFmtId="166" fontId="17" fillId="0" borderId="0" xfId="1" applyNumberFormat="1" applyFont="1" applyFill="1"/>
    <xf numFmtId="165" fontId="13" fillId="0" borderId="0" xfId="0" applyNumberFormat="1" applyFont="1"/>
    <xf numFmtId="3" fontId="17" fillId="0" borderId="0" xfId="0" applyNumberFormat="1" applyFont="1"/>
    <xf numFmtId="9" fontId="17" fillId="0" borderId="0" xfId="1" applyFont="1" applyAlignment="1">
      <alignment horizontal="right"/>
    </xf>
    <xf numFmtId="167" fontId="0" fillId="0" borderId="21" xfId="0" applyNumberFormat="1" applyBorder="1"/>
    <xf numFmtId="166" fontId="16" fillId="0" borderId="0" xfId="0" applyNumberFormat="1" applyFont="1"/>
    <xf numFmtId="0" fontId="9" fillId="8" borderId="0" xfId="0" applyFont="1" applyFill="1" applyAlignment="1">
      <alignment horizontal="left"/>
    </xf>
    <xf numFmtId="0" fontId="9" fillId="8" borderId="0" xfId="0" applyFont="1" applyFill="1" applyAlignment="1">
      <alignment horizontal="center"/>
    </xf>
    <xf numFmtId="0" fontId="7" fillId="8" borderId="0" xfId="0" applyFont="1" applyFill="1" applyAlignment="1">
      <alignment horizontal="center"/>
    </xf>
    <xf numFmtId="0" fontId="7" fillId="8" borderId="0" xfId="0" applyFont="1" applyFill="1" applyAlignment="1">
      <alignment horizontal="left"/>
    </xf>
    <xf numFmtId="1" fontId="7" fillId="0" borderId="21" xfId="0" applyNumberFormat="1" applyFont="1" applyBorder="1"/>
    <xf numFmtId="9" fontId="7" fillId="0" borderId="21" xfId="1" applyFont="1" applyBorder="1"/>
    <xf numFmtId="166" fontId="7" fillId="0" borderId="21" xfId="1" applyNumberFormat="1" applyFont="1" applyBorder="1"/>
    <xf numFmtId="0" fontId="7" fillId="0" borderId="21" xfId="0" applyFont="1" applyBorder="1"/>
    <xf numFmtId="1" fontId="9" fillId="0" borderId="21" xfId="0" applyNumberFormat="1" applyFont="1" applyBorder="1"/>
    <xf numFmtId="167" fontId="7" fillId="0" borderId="21" xfId="0" applyNumberFormat="1" applyFont="1" applyBorder="1"/>
    <xf numFmtId="2" fontId="7" fillId="0" borderId="21" xfId="0" applyNumberFormat="1" applyFont="1" applyBorder="1"/>
    <xf numFmtId="166" fontId="11" fillId="0" borderId="0" xfId="1" applyNumberFormat="1" applyFont="1" applyFill="1"/>
    <xf numFmtId="177" fontId="7" fillId="7" borderId="0" xfId="0" applyNumberFormat="1" applyFont="1" applyFill="1"/>
    <xf numFmtId="178" fontId="7" fillId="0" borderId="0" xfId="0" applyNumberFormat="1" applyFont="1"/>
    <xf numFmtId="173" fontId="17" fillId="0" borderId="0" xfId="0" applyNumberFormat="1" applyFont="1"/>
    <xf numFmtId="173" fontId="17" fillId="0" borderId="0" xfId="3" applyNumberFormat="1" applyFont="1"/>
    <xf numFmtId="167" fontId="6" fillId="13" borderId="0" xfId="4" applyNumberFormat="1" applyFont="1" applyFill="1"/>
    <xf numFmtId="167" fontId="7" fillId="7" borderId="0" xfId="0" applyNumberFormat="1" applyFont="1" applyFill="1"/>
    <xf numFmtId="174" fontId="7" fillId="0" borderId="0" xfId="3" applyNumberFormat="1" applyFont="1"/>
    <xf numFmtId="174" fontId="7" fillId="0" borderId="0" xfId="0" applyNumberFormat="1" applyFont="1"/>
    <xf numFmtId="1" fontId="13" fillId="0" borderId="0" xfId="0" applyNumberFormat="1" applyFont="1" applyAlignment="1">
      <alignment horizontal="right"/>
    </xf>
    <xf numFmtId="9" fontId="7" fillId="0" borderId="0" xfId="1" applyFont="1" applyFill="1" applyBorder="1"/>
    <xf numFmtId="166" fontId="7" fillId="0" borderId="0" xfId="1" applyNumberFormat="1" applyFont="1" applyBorder="1"/>
    <xf numFmtId="0" fontId="3" fillId="2" borderId="22" xfId="0" applyFont="1" applyFill="1" applyBorder="1"/>
    <xf numFmtId="0" fontId="3" fillId="2" borderId="22" xfId="0" applyFont="1" applyFill="1" applyBorder="1" applyAlignment="1">
      <alignment horizontal="center"/>
    </xf>
    <xf numFmtId="0" fontId="3" fillId="2" borderId="22" xfId="0" applyFont="1" applyFill="1" applyBorder="1" applyAlignment="1">
      <alignment horizontal="right"/>
    </xf>
    <xf numFmtId="1" fontId="7" fillId="0" borderId="22" xfId="0" applyNumberFormat="1" applyFont="1" applyBorder="1"/>
    <xf numFmtId="167" fontId="7" fillId="0" borderId="22" xfId="0" applyNumberFormat="1" applyFont="1" applyBorder="1"/>
    <xf numFmtId="9" fontId="7" fillId="0" borderId="22" xfId="1" applyFont="1" applyFill="1" applyBorder="1"/>
    <xf numFmtId="9" fontId="7" fillId="0" borderId="22" xfId="1" applyFont="1" applyBorder="1"/>
    <xf numFmtId="167" fontId="9" fillId="0" borderId="22" xfId="0" applyNumberFormat="1" applyFont="1" applyBorder="1"/>
    <xf numFmtId="0" fontId="7" fillId="0" borderId="22" xfId="0" applyFont="1" applyBorder="1"/>
    <xf numFmtId="166" fontId="7" fillId="0" borderId="22" xfId="1" applyNumberFormat="1" applyFont="1" applyBorder="1"/>
    <xf numFmtId="167" fontId="19" fillId="0" borderId="23" xfId="0" applyNumberFormat="1" applyFont="1" applyBorder="1" applyAlignment="1">
      <alignment horizontal="right"/>
    </xf>
    <xf numFmtId="166" fontId="19" fillId="0" borderId="0" xfId="1" applyNumberFormat="1" applyFont="1" applyFill="1" applyBorder="1"/>
    <xf numFmtId="9" fontId="9" fillId="0" borderId="0" xfId="1" applyFont="1" applyBorder="1"/>
    <xf numFmtId="166" fontId="11" fillId="8" borderId="0" xfId="1" applyNumberFormat="1" applyFont="1" applyFill="1" applyBorder="1"/>
    <xf numFmtId="166" fontId="16" fillId="0" borderId="0" xfId="1" applyNumberFormat="1" applyFont="1" applyFill="1" applyBorder="1"/>
    <xf numFmtId="9" fontId="16" fillId="0" borderId="0" xfId="1" applyFont="1" applyFill="1" applyBorder="1"/>
    <xf numFmtId="9" fontId="11" fillId="0" borderId="0" xfId="1" applyFont="1" applyBorder="1"/>
    <xf numFmtId="9" fontId="12" fillId="0" borderId="0" xfId="0" applyNumberFormat="1" applyFont="1"/>
    <xf numFmtId="166" fontId="11" fillId="0" borderId="0" xfId="1" applyNumberFormat="1" applyFont="1" applyBorder="1"/>
    <xf numFmtId="166" fontId="7" fillId="0" borderId="0" xfId="1" applyNumberFormat="1" applyFont="1" applyFill="1" applyBorder="1"/>
    <xf numFmtId="166" fontId="7" fillId="0" borderId="0" xfId="1" applyNumberFormat="1" applyFont="1" applyBorder="1" applyAlignment="1"/>
    <xf numFmtId="9" fontId="7" fillId="0" borderId="0" xfId="1" applyFont="1" applyBorder="1" applyAlignment="1"/>
    <xf numFmtId="166" fontId="16" fillId="0" borderId="0" xfId="1" applyNumberFormat="1" applyFont="1" applyFill="1"/>
    <xf numFmtId="9" fontId="7" fillId="8" borderId="0" xfId="1" applyFont="1" applyFill="1"/>
    <xf numFmtId="3" fontId="7" fillId="11" borderId="0" xfId="0" applyNumberFormat="1" applyFont="1" applyFill="1"/>
    <xf numFmtId="2" fontId="7" fillId="11" borderId="0" xfId="0" applyNumberFormat="1" applyFont="1" applyFill="1"/>
    <xf numFmtId="166" fontId="7" fillId="11" borderId="0" xfId="0" applyNumberFormat="1" applyFont="1" applyFill="1"/>
    <xf numFmtId="1" fontId="7" fillId="11" borderId="0" xfId="0" applyNumberFormat="1" applyFont="1" applyFill="1"/>
    <xf numFmtId="10" fontId="11" fillId="11" borderId="0" xfId="0" applyNumberFormat="1" applyFont="1" applyFill="1"/>
    <xf numFmtId="167" fontId="7" fillId="11" borderId="0" xfId="0" applyNumberFormat="1" applyFont="1" applyFill="1"/>
    <xf numFmtId="166" fontId="11" fillId="11" borderId="0" xfId="0" applyNumberFormat="1" applyFont="1" applyFill="1"/>
    <xf numFmtId="2" fontId="7" fillId="0" borderId="0" xfId="1" applyNumberFormat="1" applyFont="1"/>
    <xf numFmtId="169" fontId="19" fillId="0" borderId="0" xfId="0" applyNumberFormat="1" applyFont="1"/>
    <xf numFmtId="167" fontId="9" fillId="0" borderId="1" xfId="0" applyNumberFormat="1" applyFont="1" applyBorder="1"/>
    <xf numFmtId="166" fontId="11" fillId="6" borderId="0" xfId="1" applyNumberFormat="1" applyFont="1" applyFill="1"/>
    <xf numFmtId="1" fontId="7" fillId="0" borderId="0" xfId="1" applyNumberFormat="1" applyFont="1" applyFill="1"/>
    <xf numFmtId="0" fontId="7" fillId="6" borderId="22" xfId="0" applyFont="1" applyFill="1" applyBorder="1"/>
    <xf numFmtId="0" fontId="16" fillId="3" borderId="22" xfId="0" applyFont="1" applyFill="1" applyBorder="1"/>
    <xf numFmtId="167" fontId="19" fillId="0" borderId="22" xfId="0" applyNumberFormat="1" applyFont="1" applyBorder="1" applyAlignment="1">
      <alignment horizontal="right"/>
    </xf>
    <xf numFmtId="165" fontId="10" fillId="4" borderId="24" xfId="0" applyNumberFormat="1" applyFont="1" applyFill="1" applyBorder="1" applyAlignment="1">
      <alignment horizontal="right"/>
    </xf>
    <xf numFmtId="165" fontId="16" fillId="0" borderId="22" xfId="0" applyNumberFormat="1" applyFont="1" applyBorder="1" applyAlignment="1">
      <alignment horizontal="right"/>
    </xf>
    <xf numFmtId="165" fontId="7" fillId="0" borderId="22" xfId="0" applyNumberFormat="1" applyFont="1" applyBorder="1" applyAlignment="1">
      <alignment horizontal="right"/>
    </xf>
    <xf numFmtId="165" fontId="16" fillId="3" borderId="22" xfId="0" applyNumberFormat="1" applyFont="1" applyFill="1" applyBorder="1" applyAlignment="1">
      <alignment horizontal="right"/>
    </xf>
    <xf numFmtId="0" fontId="7" fillId="0" borderId="22" xfId="0" applyFont="1" applyBorder="1" applyAlignment="1">
      <alignment horizontal="right"/>
    </xf>
    <xf numFmtId="9" fontId="11" fillId="0" borderId="22" xfId="0" applyNumberFormat="1" applyFont="1" applyBorder="1"/>
    <xf numFmtId="166" fontId="19" fillId="0" borderId="22" xfId="1" applyNumberFormat="1" applyFont="1" applyFill="1" applyBorder="1"/>
    <xf numFmtId="3" fontId="9" fillId="0" borderId="22" xfId="0" applyNumberFormat="1" applyFont="1" applyBorder="1"/>
    <xf numFmtId="1" fontId="16" fillId="0" borderId="22" xfId="0" applyNumberFormat="1" applyFont="1" applyBorder="1"/>
    <xf numFmtId="9" fontId="9" fillId="0" borderId="22" xfId="1" applyFont="1" applyBorder="1"/>
    <xf numFmtId="167" fontId="19" fillId="0" borderId="22" xfId="0" applyNumberFormat="1" applyFont="1" applyBorder="1"/>
    <xf numFmtId="166" fontId="11" fillId="0" borderId="22" xfId="0" applyNumberFormat="1" applyFont="1" applyBorder="1"/>
    <xf numFmtId="10" fontId="7" fillId="0" borderId="22" xfId="0" applyNumberFormat="1" applyFont="1" applyBorder="1"/>
    <xf numFmtId="1" fontId="19" fillId="0" borderId="22" xfId="0" applyNumberFormat="1" applyFont="1" applyBorder="1"/>
    <xf numFmtId="166" fontId="7" fillId="0" borderId="22" xfId="1" applyNumberFormat="1" applyFont="1" applyFill="1" applyBorder="1"/>
    <xf numFmtId="167" fontId="16" fillId="0" borderId="22" xfId="0" applyNumberFormat="1" applyFont="1" applyBorder="1"/>
    <xf numFmtId="9" fontId="7" fillId="8" borderId="22" xfId="1" applyFont="1" applyFill="1" applyBorder="1"/>
    <xf numFmtId="165" fontId="7" fillId="0" borderId="22" xfId="0" applyNumberFormat="1" applyFont="1" applyBorder="1"/>
    <xf numFmtId="165" fontId="19" fillId="0" borderId="22" xfId="0" applyNumberFormat="1" applyFont="1" applyBorder="1"/>
    <xf numFmtId="165" fontId="16" fillId="0" borderId="22" xfId="0" applyNumberFormat="1" applyFont="1" applyBorder="1"/>
    <xf numFmtId="166" fontId="16" fillId="0" borderId="22" xfId="1" applyNumberFormat="1" applyFont="1" applyFill="1" applyBorder="1"/>
    <xf numFmtId="167" fontId="11" fillId="0" borderId="22" xfId="0" applyNumberFormat="1" applyFont="1" applyBorder="1"/>
    <xf numFmtId="2" fontId="7" fillId="0" borderId="22" xfId="0" applyNumberFormat="1" applyFont="1" applyBorder="1"/>
    <xf numFmtId="166" fontId="19" fillId="8" borderId="22" xfId="1" applyNumberFormat="1" applyFont="1" applyFill="1" applyBorder="1"/>
    <xf numFmtId="3" fontId="7" fillId="0" borderId="22" xfId="0" applyNumberFormat="1" applyFont="1" applyBorder="1"/>
    <xf numFmtId="3" fontId="16" fillId="0" borderId="22" xfId="0" applyNumberFormat="1" applyFont="1" applyBorder="1"/>
    <xf numFmtId="9" fontId="16" fillId="0" borderId="22" xfId="1" applyFont="1" applyFill="1" applyBorder="1"/>
    <xf numFmtId="0" fontId="26" fillId="2" borderId="22" xfId="0" applyFont="1" applyFill="1" applyBorder="1"/>
    <xf numFmtId="9" fontId="11" fillId="0" borderId="22" xfId="1" applyFont="1" applyBorder="1"/>
    <xf numFmtId="165" fontId="9" fillId="0" borderId="22" xfId="0" applyNumberFormat="1" applyFont="1" applyBorder="1"/>
    <xf numFmtId="166" fontId="16" fillId="0" borderId="22" xfId="0" applyNumberFormat="1" applyFont="1" applyBorder="1"/>
    <xf numFmtId="0" fontId="7" fillId="11" borderId="22" xfId="0" applyFont="1" applyFill="1" applyBorder="1"/>
    <xf numFmtId="167" fontId="7" fillId="11" borderId="22" xfId="0" applyNumberFormat="1" applyFont="1" applyFill="1" applyBorder="1"/>
    <xf numFmtId="3" fontId="11" fillId="11" borderId="22" xfId="0" applyNumberFormat="1" applyFont="1" applyFill="1" applyBorder="1"/>
    <xf numFmtId="2" fontId="7" fillId="11" borderId="22" xfId="0" applyNumberFormat="1" applyFont="1" applyFill="1" applyBorder="1"/>
    <xf numFmtId="166" fontId="19" fillId="11" borderId="22" xfId="1" applyNumberFormat="1" applyFont="1" applyFill="1" applyBorder="1"/>
    <xf numFmtId="166" fontId="7" fillId="11" borderId="22" xfId="0" applyNumberFormat="1" applyFont="1" applyFill="1" applyBorder="1"/>
    <xf numFmtId="1" fontId="7" fillId="11" borderId="22" xfId="0" applyNumberFormat="1" applyFont="1" applyFill="1" applyBorder="1"/>
    <xf numFmtId="10" fontId="11" fillId="11" borderId="22" xfId="0" applyNumberFormat="1" applyFont="1" applyFill="1" applyBorder="1"/>
    <xf numFmtId="166" fontId="11" fillId="11" borderId="22" xfId="0" applyNumberFormat="1" applyFont="1" applyFill="1" applyBorder="1"/>
    <xf numFmtId="165" fontId="10" fillId="4" borderId="24" xfId="0" applyNumberFormat="1" applyFont="1" applyFill="1" applyBorder="1"/>
    <xf numFmtId="166" fontId="7" fillId="0" borderId="22" xfId="1" applyNumberFormat="1" applyFont="1" applyBorder="1" applyAlignment="1"/>
    <xf numFmtId="9" fontId="7" fillId="0" borderId="22" xfId="1" applyFont="1" applyBorder="1" applyAlignment="1"/>
    <xf numFmtId="4" fontId="11" fillId="5" borderId="22" xfId="0" applyNumberFormat="1" applyFont="1" applyFill="1" applyBorder="1"/>
    <xf numFmtId="9" fontId="7" fillId="0" borderId="22" xfId="0" applyNumberFormat="1" applyFont="1" applyBorder="1"/>
    <xf numFmtId="168" fontId="7" fillId="0" borderId="22" xfId="0" applyNumberFormat="1" applyFont="1" applyBorder="1"/>
    <xf numFmtId="1" fontId="9" fillId="0" borderId="24" xfId="0" applyNumberFormat="1" applyFont="1" applyBorder="1"/>
    <xf numFmtId="0" fontId="9" fillId="0" borderId="22" xfId="0" applyFont="1" applyBorder="1"/>
    <xf numFmtId="166" fontId="11" fillId="0" borderId="22" xfId="1" applyNumberFormat="1" applyFont="1" applyFill="1" applyBorder="1" applyAlignment="1">
      <alignment horizontal="right"/>
    </xf>
    <xf numFmtId="1" fontId="11" fillId="0" borderId="22" xfId="0" applyNumberFormat="1" applyFont="1" applyBorder="1"/>
    <xf numFmtId="166" fontId="7" fillId="0" borderId="22" xfId="1" applyNumberFormat="1" applyFont="1" applyFill="1" applyBorder="1" applyAlignment="1">
      <alignment horizontal="right"/>
    </xf>
    <xf numFmtId="166" fontId="11" fillId="6" borderId="22" xfId="1" applyNumberFormat="1" applyFont="1" applyFill="1" applyBorder="1"/>
    <xf numFmtId="166" fontId="11" fillId="0" borderId="22" xfId="1" applyNumberFormat="1" applyFont="1" applyFill="1" applyBorder="1"/>
    <xf numFmtId="167" fontId="12" fillId="0" borderId="22" xfId="0" applyNumberFormat="1" applyFont="1" applyBorder="1"/>
    <xf numFmtId="9" fontId="16" fillId="0" borderId="0" xfId="1" applyFont="1" applyAlignment="1">
      <alignment horizontal="right"/>
    </xf>
    <xf numFmtId="0" fontId="7" fillId="18" borderId="0" xfId="0" applyFont="1" applyFill="1"/>
    <xf numFmtId="1" fontId="7" fillId="18" borderId="0" xfId="0" applyNumberFormat="1" applyFont="1" applyFill="1"/>
    <xf numFmtId="166" fontId="11" fillId="18" borderId="5" xfId="1" applyNumberFormat="1" applyFont="1" applyFill="1" applyBorder="1" applyAlignment="1">
      <alignment horizontal="right"/>
    </xf>
    <xf numFmtId="167" fontId="7" fillId="18" borderId="0" xfId="0" applyNumberFormat="1" applyFont="1" applyFill="1"/>
    <xf numFmtId="167" fontId="9" fillId="18" borderId="0" xfId="0" applyNumberFormat="1" applyFont="1" applyFill="1"/>
    <xf numFmtId="166" fontId="11" fillId="18" borderId="0" xfId="1" applyNumberFormat="1" applyFont="1" applyFill="1"/>
    <xf numFmtId="9" fontId="16" fillId="0" borderId="0" xfId="1" applyFont="1" applyBorder="1" applyAlignment="1">
      <alignment horizontal="right"/>
    </xf>
    <xf numFmtId="9" fontId="7" fillId="8" borderId="0" xfId="0" applyNumberFormat="1" applyFont="1" applyFill="1"/>
    <xf numFmtId="165" fontId="16" fillId="8" borderId="0" xfId="0" applyNumberFormat="1" applyFont="1" applyFill="1"/>
    <xf numFmtId="2" fontId="7" fillId="8" borderId="0" xfId="0" applyNumberFormat="1" applyFont="1" applyFill="1"/>
    <xf numFmtId="3" fontId="7" fillId="8" borderId="0" xfId="0" applyNumberFormat="1" applyFont="1" applyFill="1"/>
    <xf numFmtId="3" fontId="11" fillId="8" borderId="0" xfId="0" applyNumberFormat="1" applyFont="1" applyFill="1"/>
    <xf numFmtId="3" fontId="16" fillId="8" borderId="0" xfId="0" applyNumberFormat="1" applyFont="1" applyFill="1"/>
    <xf numFmtId="9" fontId="11" fillId="8" borderId="0" xfId="1" applyFont="1" applyFill="1"/>
    <xf numFmtId="166" fontId="16" fillId="8" borderId="0" xfId="0" applyNumberFormat="1" applyFont="1" applyFill="1"/>
    <xf numFmtId="10" fontId="11" fillId="8" borderId="0" xfId="0" applyNumberFormat="1" applyFont="1" applyFill="1"/>
    <xf numFmtId="9" fontId="7" fillId="8" borderId="0" xfId="1" applyFont="1" applyFill="1" applyBorder="1"/>
    <xf numFmtId="166" fontId="7" fillId="0" borderId="26" xfId="1" applyNumberFormat="1" applyFont="1" applyBorder="1"/>
    <xf numFmtId="166" fontId="7" fillId="8" borderId="0" xfId="1" applyNumberFormat="1" applyFont="1" applyFill="1"/>
    <xf numFmtId="168" fontId="7" fillId="8" borderId="0" xfId="0" applyNumberFormat="1" applyFont="1" applyFill="1"/>
    <xf numFmtId="166" fontId="11" fillId="0" borderId="5" xfId="1" applyNumberFormat="1" applyFont="1" applyFill="1" applyBorder="1" applyAlignment="1">
      <alignment horizontal="right"/>
    </xf>
    <xf numFmtId="167" fontId="7" fillId="0" borderId="0" xfId="3" applyNumberFormat="1" applyFont="1" applyBorder="1"/>
    <xf numFmtId="0" fontId="3" fillId="2" borderId="21" xfId="0" applyFont="1" applyFill="1" applyBorder="1"/>
    <xf numFmtId="0" fontId="3" fillId="2" borderId="21" xfId="0" applyFont="1" applyFill="1" applyBorder="1" applyAlignment="1">
      <alignment horizontal="center"/>
    </xf>
    <xf numFmtId="0" fontId="3" fillId="2" borderId="21" xfId="0" applyFont="1" applyFill="1" applyBorder="1" applyAlignment="1">
      <alignment horizontal="right"/>
    </xf>
    <xf numFmtId="167" fontId="9" fillId="0" borderId="21" xfId="0" applyNumberFormat="1" applyFont="1" applyBorder="1"/>
    <xf numFmtId="167" fontId="9" fillId="7" borderId="21" xfId="0" applyNumberFormat="1" applyFont="1" applyFill="1" applyBorder="1"/>
    <xf numFmtId="9" fontId="7" fillId="0" borderId="21" xfId="1" applyFont="1" applyFill="1" applyBorder="1"/>
    <xf numFmtId="167" fontId="7" fillId="7" borderId="21" xfId="0" applyNumberFormat="1" applyFont="1" applyFill="1" applyBorder="1"/>
    <xf numFmtId="10" fontId="7" fillId="0" borderId="21" xfId="0" applyNumberFormat="1" applyFont="1" applyBorder="1"/>
    <xf numFmtId="0" fontId="11" fillId="0" borderId="21" xfId="0" applyFont="1" applyBorder="1" applyAlignment="1">
      <alignment horizontal="right"/>
    </xf>
    <xf numFmtId="169" fontId="11" fillId="0" borderId="21" xfId="0" applyNumberFormat="1" applyFont="1" applyBorder="1"/>
    <xf numFmtId="169" fontId="7" fillId="0" borderId="21" xfId="0" applyNumberFormat="1" applyFont="1" applyBorder="1"/>
    <xf numFmtId="2" fontId="9" fillId="0" borderId="21" xfId="0" applyNumberFormat="1" applyFont="1" applyBorder="1"/>
    <xf numFmtId="2" fontId="19" fillId="0" borderId="0" xfId="0" applyNumberFormat="1" applyFont="1"/>
    <xf numFmtId="167" fontId="7" fillId="19" borderId="21" xfId="0" applyNumberFormat="1" applyFont="1" applyFill="1" applyBorder="1"/>
    <xf numFmtId="167" fontId="7" fillId="19" borderId="0" xfId="0" applyNumberFormat="1" applyFont="1" applyFill="1"/>
    <xf numFmtId="169" fontId="7" fillId="19" borderId="21" xfId="0" applyNumberFormat="1" applyFont="1" applyFill="1" applyBorder="1"/>
    <xf numFmtId="165" fontId="0" fillId="0" borderId="0" xfId="0" applyNumberFormat="1"/>
    <xf numFmtId="179" fontId="11" fillId="0" borderId="0" xfId="0" applyNumberFormat="1" applyFont="1"/>
    <xf numFmtId="167" fontId="44" fillId="20" borderId="0" xfId="6" applyNumberFormat="1" applyFont="1" applyFill="1" applyAlignment="1">
      <alignment horizontal="right"/>
    </xf>
    <xf numFmtId="166" fontId="44" fillId="20" borderId="0" xfId="6" applyNumberFormat="1" applyFont="1" applyFill="1" applyBorder="1"/>
    <xf numFmtId="167" fontId="44" fillId="20" borderId="0" xfId="6" applyNumberFormat="1" applyFont="1" applyFill="1"/>
    <xf numFmtId="1" fontId="44" fillId="20" borderId="0" xfId="6" applyNumberFormat="1" applyFont="1" applyFill="1"/>
    <xf numFmtId="165" fontId="44" fillId="20" borderId="0" xfId="6" applyNumberFormat="1" applyFont="1" applyFill="1"/>
    <xf numFmtId="166" fontId="44" fillId="20" borderId="22" xfId="6" applyNumberFormat="1" applyFont="1" applyFill="1" applyBorder="1"/>
    <xf numFmtId="167" fontId="44" fillId="19" borderId="0" xfId="6" applyNumberFormat="1" applyFont="1" applyFill="1"/>
    <xf numFmtId="167" fontId="44" fillId="20" borderId="21" xfId="6" applyNumberFormat="1" applyFont="1" applyFill="1" applyBorder="1"/>
    <xf numFmtId="2" fontId="44" fillId="19" borderId="21" xfId="6" applyNumberFormat="1" applyFont="1" applyFill="1" applyBorder="1"/>
    <xf numFmtId="2" fontId="44" fillId="20" borderId="21" xfId="6" applyNumberFormat="1" applyFont="1" applyFill="1" applyBorder="1"/>
    <xf numFmtId="2" fontId="44" fillId="20" borderId="0" xfId="6" applyNumberFormat="1" applyFont="1" applyFill="1"/>
    <xf numFmtId="2" fontId="44" fillId="19" borderId="0" xfId="6" applyNumberFormat="1" applyFont="1" applyFill="1"/>
    <xf numFmtId="0" fontId="45" fillId="20" borderId="0" xfId="6" applyNumberFormat="1" applyFont="1" applyFill="1"/>
    <xf numFmtId="167" fontId="44" fillId="20" borderId="23" xfId="6" applyNumberFormat="1" applyFont="1" applyFill="1" applyBorder="1" applyAlignment="1">
      <alignment horizontal="right"/>
    </xf>
    <xf numFmtId="166" fontId="19" fillId="14" borderId="0" xfId="1" applyNumberFormat="1" applyFont="1" applyFill="1"/>
    <xf numFmtId="0" fontId="39" fillId="8" borderId="0" xfId="0" applyFont="1" applyFill="1"/>
    <xf numFmtId="167" fontId="39" fillId="0" borderId="0" xfId="0" applyNumberFormat="1" applyFont="1"/>
    <xf numFmtId="167" fontId="19" fillId="20" borderId="22" xfId="6" applyNumberFormat="1" applyFont="1" applyFill="1" applyBorder="1"/>
    <xf numFmtId="166" fontId="19" fillId="0" borderId="0" xfId="0" applyNumberFormat="1" applyFont="1"/>
    <xf numFmtId="0" fontId="11" fillId="0" borderId="7" xfId="0" applyFont="1" applyBorder="1"/>
    <xf numFmtId="0" fontId="11" fillId="0" borderId="1" xfId="0" applyFont="1" applyBorder="1"/>
    <xf numFmtId="0" fontId="11" fillId="0" borderId="3" xfId="0" applyFont="1" applyBorder="1"/>
    <xf numFmtId="167" fontId="11" fillId="0" borderId="6" xfId="0" applyNumberFormat="1" applyFont="1" applyBorder="1"/>
    <xf numFmtId="9" fontId="11" fillId="0" borderId="2" xfId="1" applyFont="1" applyBorder="1"/>
    <xf numFmtId="166" fontId="11" fillId="0" borderId="6" xfId="1" applyNumberFormat="1" applyFont="1" applyBorder="1"/>
    <xf numFmtId="166" fontId="11" fillId="0" borderId="2" xfId="1" applyNumberFormat="1" applyFont="1" applyBorder="1"/>
    <xf numFmtId="0" fontId="11" fillId="0" borderId="16" xfId="0" applyFont="1" applyBorder="1"/>
    <xf numFmtId="0" fontId="11" fillId="0" borderId="23" xfId="0" applyFont="1" applyBorder="1"/>
    <xf numFmtId="166" fontId="11" fillId="0" borderId="23" xfId="1" applyNumberFormat="1" applyFont="1" applyBorder="1"/>
    <xf numFmtId="0" fontId="11" fillId="0" borderId="25" xfId="0" applyFont="1" applyBorder="1"/>
    <xf numFmtId="167" fontId="19" fillId="14" borderId="0" xfId="0" applyNumberFormat="1" applyFont="1" applyFill="1"/>
    <xf numFmtId="175" fontId="7" fillId="0" borderId="0" xfId="3" applyNumberFormat="1" applyFont="1" applyFill="1" applyBorder="1"/>
    <xf numFmtId="175" fontId="19" fillId="0" borderId="0" xfId="3" applyNumberFormat="1" applyFont="1" applyFill="1"/>
    <xf numFmtId="167" fontId="7" fillId="0" borderId="0" xfId="2" applyNumberFormat="1" applyFont="1" applyFill="1" applyBorder="1" applyAlignment="1">
      <alignment horizontal="right"/>
    </xf>
    <xf numFmtId="167" fontId="44" fillId="19" borderId="21" xfId="6" applyNumberFormat="1" applyFont="1" applyFill="1" applyBorder="1"/>
    <xf numFmtId="167" fontId="17" fillId="0" borderId="0" xfId="2" applyNumberFormat="1" applyFont="1" applyFill="1" applyBorder="1" applyAlignment="1">
      <alignment horizontal="right"/>
    </xf>
    <xf numFmtId="167" fontId="44" fillId="20" borderId="0" xfId="6" applyNumberFormat="1" applyFont="1" applyFill="1" applyBorder="1"/>
    <xf numFmtId="167" fontId="19" fillId="0" borderId="21" xfId="0" applyNumberFormat="1" applyFont="1" applyBorder="1"/>
    <xf numFmtId="165" fontId="19" fillId="0" borderId="0" xfId="0" applyNumberFormat="1" applyFont="1" applyAlignment="1">
      <alignment horizontal="right"/>
    </xf>
    <xf numFmtId="0" fontId="11" fillId="5" borderId="0" xfId="0" applyFont="1" applyFill="1"/>
    <xf numFmtId="0" fontId="11" fillId="5" borderId="0" xfId="0" applyFont="1" applyFill="1" applyAlignment="1">
      <alignment horizontal="center"/>
    </xf>
    <xf numFmtId="0" fontId="11" fillId="5" borderId="22" xfId="0" applyFont="1" applyFill="1" applyBorder="1"/>
    <xf numFmtId="167" fontId="11" fillId="5" borderId="0" xfId="0" applyNumberFormat="1" applyFont="1" applyFill="1"/>
    <xf numFmtId="167" fontId="12" fillId="5" borderId="0" xfId="0" applyNumberFormat="1" applyFont="1" applyFill="1"/>
    <xf numFmtId="1" fontId="7" fillId="9" borderId="4" xfId="2" applyNumberFormat="1" applyFont="1" applyFill="1" applyBorder="1" applyAlignment="1">
      <alignment horizontal="right"/>
    </xf>
    <xf numFmtId="167" fontId="7" fillId="9" borderId="4" xfId="2" applyNumberFormat="1" applyFont="1" applyFill="1" applyBorder="1" applyAlignment="1">
      <alignment horizontal="right"/>
    </xf>
    <xf numFmtId="167" fontId="11" fillId="9" borderId="4" xfId="2" applyNumberFormat="1" applyFont="1" applyFill="1" applyBorder="1" applyAlignment="1">
      <alignment horizontal="right"/>
    </xf>
    <xf numFmtId="167" fontId="11" fillId="9" borderId="5" xfId="2" applyNumberFormat="1" applyFont="1" applyFill="1" applyBorder="1" applyAlignment="1">
      <alignment horizontal="right"/>
    </xf>
    <xf numFmtId="167" fontId="11" fillId="9" borderId="0" xfId="2" applyNumberFormat="1" applyFont="1" applyFill="1" applyBorder="1" applyAlignment="1">
      <alignment horizontal="right"/>
    </xf>
    <xf numFmtId="3" fontId="7" fillId="5" borderId="0" xfId="0" applyNumberFormat="1" applyFont="1" applyFill="1"/>
    <xf numFmtId="1" fontId="19" fillId="5" borderId="22" xfId="0" applyNumberFormat="1" applyFont="1" applyFill="1" applyBorder="1"/>
    <xf numFmtId="180" fontId="7" fillId="0" borderId="0" xfId="0" applyNumberFormat="1" applyFont="1"/>
    <xf numFmtId="176" fontId="7" fillId="5" borderId="19" xfId="0" applyNumberFormat="1" applyFont="1" applyFill="1" applyBorder="1" applyAlignment="1">
      <alignment horizontal="center"/>
    </xf>
    <xf numFmtId="176" fontId="7" fillId="5" borderId="27" xfId="0" applyNumberFormat="1" applyFont="1" applyFill="1" applyBorder="1" applyAlignment="1">
      <alignment horizontal="center"/>
    </xf>
    <xf numFmtId="176" fontId="7" fillId="5" borderId="28" xfId="0" applyNumberFormat="1" applyFont="1" applyFill="1" applyBorder="1" applyAlignment="1">
      <alignment horizontal="center"/>
    </xf>
    <xf numFmtId="0" fontId="3" fillId="2" borderId="1" xfId="0" applyFont="1" applyFill="1" applyBorder="1" applyAlignment="1">
      <alignment horizontal="right"/>
    </xf>
    <xf numFmtId="166" fontId="3" fillId="2" borderId="0" xfId="1" applyNumberFormat="1" applyFont="1" applyFill="1" applyBorder="1" applyAlignment="1">
      <alignment horizontal="right"/>
    </xf>
    <xf numFmtId="166" fontId="3" fillId="2" borderId="23" xfId="1" applyNumberFormat="1" applyFont="1" applyFill="1" applyBorder="1" applyAlignment="1">
      <alignment horizontal="right"/>
    </xf>
    <xf numFmtId="10" fontId="3" fillId="2" borderId="0" xfId="1" applyNumberFormat="1" applyFont="1" applyFill="1" applyBorder="1" applyAlignment="1">
      <alignment horizontal="right"/>
    </xf>
    <xf numFmtId="10" fontId="3" fillId="2" borderId="2" xfId="1" applyNumberFormat="1" applyFont="1" applyFill="1" applyBorder="1" applyAlignment="1">
      <alignment horizontal="right"/>
    </xf>
    <xf numFmtId="165" fontId="7" fillId="0" borderId="0" xfId="1" applyNumberFormat="1" applyFont="1" applyBorder="1"/>
    <xf numFmtId="165" fontId="7" fillId="0" borderId="2" xfId="1" applyNumberFormat="1" applyFont="1" applyBorder="1"/>
    <xf numFmtId="165" fontId="7" fillId="0" borderId="23" xfId="1" applyNumberFormat="1" applyFont="1" applyBorder="1"/>
    <xf numFmtId="165" fontId="7" fillId="0" borderId="25" xfId="1" applyNumberFormat="1" applyFont="1" applyBorder="1"/>
    <xf numFmtId="181" fontId="46" fillId="2" borderId="0" xfId="3" applyNumberFormat="1" applyFont="1" applyFill="1" applyBorder="1" applyAlignment="1">
      <alignment horizontal="right"/>
    </xf>
    <xf numFmtId="169" fontId="13" fillId="0" borderId="0" xfId="0" applyNumberFormat="1" applyFont="1"/>
    <xf numFmtId="49" fontId="47" fillId="0" borderId="0" xfId="0" applyNumberFormat="1" applyFont="1"/>
    <xf numFmtId="49" fontId="48" fillId="0" borderId="0" xfId="0" applyNumberFormat="1" applyFont="1"/>
    <xf numFmtId="49" fontId="49" fillId="0" borderId="0" xfId="0" applyNumberFormat="1" applyFont="1" applyAlignment="1">
      <alignment horizontal="left" vertical="center"/>
    </xf>
    <xf numFmtId="49" fontId="49" fillId="0" borderId="0" xfId="0" applyNumberFormat="1" applyFont="1"/>
    <xf numFmtId="49" fontId="41" fillId="0" borderId="0" xfId="0" applyNumberFormat="1" applyFont="1"/>
    <xf numFmtId="49" fontId="50" fillId="0" borderId="0" xfId="0" applyNumberFormat="1" applyFont="1"/>
    <xf numFmtId="49" fontId="41" fillId="0" borderId="15" xfId="0" applyNumberFormat="1" applyFont="1" applyBorder="1"/>
    <xf numFmtId="0" fontId="41" fillId="0" borderId="0" xfId="0" applyFont="1"/>
    <xf numFmtId="2" fontId="47" fillId="0" borderId="0" xfId="0" applyNumberFormat="1" applyFont="1"/>
    <xf numFmtId="49" fontId="51" fillId="21" borderId="0" xfId="0" applyNumberFormat="1" applyFont="1" applyFill="1" applyAlignment="1">
      <alignment wrapText="1"/>
    </xf>
    <xf numFmtId="0" fontId="0" fillId="21" borderId="0" xfId="0" applyFill="1"/>
    <xf numFmtId="49" fontId="52" fillId="21" borderId="0" xfId="0" applyNumberFormat="1" applyFont="1" applyFill="1" applyAlignment="1">
      <alignment wrapText="1"/>
    </xf>
    <xf numFmtId="167" fontId="53" fillId="19" borderId="0" xfId="6" applyNumberFormat="1" applyFont="1" applyFill="1"/>
    <xf numFmtId="167" fontId="53" fillId="19" borderId="22" xfId="6" applyNumberFormat="1" applyFont="1" applyFill="1" applyBorder="1"/>
    <xf numFmtId="49" fontId="41" fillId="0" borderId="15" xfId="0" applyNumberFormat="1" applyFont="1" applyBorder="1"/>
    <xf numFmtId="0" fontId="3" fillId="2" borderId="1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 textRotation="90"/>
    </xf>
    <xf numFmtId="0" fontId="3" fillId="2" borderId="6" xfId="0" applyFont="1" applyFill="1" applyBorder="1" applyAlignment="1">
      <alignment horizontal="center" textRotation="90"/>
    </xf>
    <xf numFmtId="0" fontId="3" fillId="2" borderId="16" xfId="0" applyFont="1" applyFill="1" applyBorder="1" applyAlignment="1">
      <alignment horizontal="center" textRotation="90"/>
    </xf>
    <xf numFmtId="49" fontId="41" fillId="0" borderId="15" xfId="0" applyNumberFormat="1" applyFont="1" applyBorder="1" applyAlignment="1">
      <alignment horizontal="right"/>
    </xf>
    <xf numFmtId="9" fontId="41" fillId="0" borderId="15" xfId="1" applyFont="1" applyBorder="1" applyAlignment="1">
      <alignment horizontal="right"/>
    </xf>
  </cellXfs>
  <cellStyles count="8">
    <cellStyle name="_x000a_386grabber=M" xfId="5" xr:uid="{D34CE867-66E2-4EA4-88F4-387B3E59C291}"/>
    <cellStyle name="Comma" xfId="3" builtinId="3"/>
    <cellStyle name="Hard Code" xfId="2" xr:uid="{5EA42DDE-2CE3-4036-A3C1-703821B90090}"/>
    <cellStyle name="Hyperlink" xfId="6" builtinId="8"/>
    <cellStyle name="Normal" xfId="0" builtinId="0" customBuiltin="1"/>
    <cellStyle name="Normal 2" xfId="7" xr:uid="{7483C579-BADE-43C9-92FB-8500ED1B2C4F}"/>
    <cellStyle name="Normal 7" xfId="4" xr:uid="{9CC2BBC1-DCA5-4157-95AA-D079A697406C}"/>
    <cellStyle name="Percent" xfId="1" builtinId="5"/>
  </cellStyles>
  <dxfs count="0"/>
  <tableStyles count="1" defaultTableStyle="TableStyleMedium2" defaultPivotStyle="PivotStyleLight16">
    <tableStyle name="Invisible" pivot="0" table="0" count="0" xr9:uid="{16CAED1F-1247-45D3-A010-CDB5ABDACF46}"/>
  </tableStyles>
  <colors>
    <mruColors>
      <color rgb="FF005AA4"/>
      <color rgb="FF0000FF"/>
      <color rgb="FF0000CC"/>
      <color rgb="FF0066FF"/>
      <color rgb="FFE7F6FF"/>
      <color rgb="FFFFFFCC"/>
      <color rgb="FFCCFFCC"/>
      <color rgb="FFFFCCCC"/>
      <color rgb="FFFF9999"/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4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3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9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5.xml"/></Relationships>
</file>

<file path=xl/charts/_rels/chart10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6.xml"/></Relationships>
</file>

<file path=xl/charts/_rels/chart1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7.xml"/></Relationships>
</file>

<file path=xl/charts/_rels/chart1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xMode val="edge"/>
          <c:yMode val="edge"/>
          <c:x val="1.7094017094017096E-2"/>
          <c:y val="8.0337552742616031E-2"/>
          <c:w val="0.98290598290598286"/>
          <c:h val="0.85400843881856536"/>
        </c:manualLayout>
      </c:layout>
      <c:barChart>
        <c:barDir val="col"/>
        <c:grouping val="stacked"/>
        <c:varyColors val="0"/>
        <c:ser>
          <c:idx val="0"/>
          <c:order val="0"/>
          <c:tx>
            <c:v>Singapore</c:v>
          </c:tx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Assumptions!$I$5:$AA$5</c:f>
              <c:strCache>
                <c:ptCount val="15"/>
                <c:pt idx="0">
                  <c:v>FY23</c:v>
                </c:pt>
                <c:pt idx="1">
                  <c:v>1H24</c:v>
                </c:pt>
                <c:pt idx="2">
                  <c:v>2H24</c:v>
                </c:pt>
                <c:pt idx="3">
                  <c:v>FY24</c:v>
                </c:pt>
                <c:pt idx="4">
                  <c:v>1H25</c:v>
                </c:pt>
                <c:pt idx="5">
                  <c:v>2H25</c:v>
                </c:pt>
                <c:pt idx="6">
                  <c:v>FY25</c:v>
                </c:pt>
                <c:pt idx="7">
                  <c:v>1H26e</c:v>
                </c:pt>
                <c:pt idx="8">
                  <c:v>2H26e</c:v>
                </c:pt>
                <c:pt idx="9">
                  <c:v>FY26e</c:v>
                </c:pt>
                <c:pt idx="10">
                  <c:v>1H27e</c:v>
                </c:pt>
                <c:pt idx="11">
                  <c:v>2H27e</c:v>
                </c:pt>
                <c:pt idx="12">
                  <c:v>FY27e</c:v>
                </c:pt>
                <c:pt idx="13">
                  <c:v>FY28e</c:v>
                </c:pt>
                <c:pt idx="14">
                  <c:v>FY29e</c:v>
                </c:pt>
              </c:strCache>
            </c:strRef>
          </c:cat>
          <c:val>
            <c:numRef>
              <c:f>Assumptions!$I$101:$AA$101</c:f>
              <c:numCache>
                <c:formatCode>#,##0.0</c:formatCode>
                <c:ptCount val="15"/>
                <c:pt idx="0">
                  <c:v>14</c:v>
                </c:pt>
                <c:pt idx="1">
                  <c:v>16</c:v>
                </c:pt>
                <c:pt idx="2">
                  <c:v>17</c:v>
                </c:pt>
                <c:pt idx="3">
                  <c:v>17</c:v>
                </c:pt>
                <c:pt idx="4">
                  <c:v>20</c:v>
                </c:pt>
                <c:pt idx="5">
                  <c:v>21</c:v>
                </c:pt>
                <c:pt idx="6">
                  <c:v>21</c:v>
                </c:pt>
                <c:pt idx="7">
                  <c:v>23</c:v>
                </c:pt>
                <c:pt idx="8">
                  <c:v>25</c:v>
                </c:pt>
                <c:pt idx="9">
                  <c:v>25</c:v>
                </c:pt>
                <c:pt idx="10">
                  <c:v>26</c:v>
                </c:pt>
                <c:pt idx="11">
                  <c:v>27</c:v>
                </c:pt>
                <c:pt idx="12">
                  <c:v>27</c:v>
                </c:pt>
                <c:pt idx="13">
                  <c:v>29</c:v>
                </c:pt>
                <c:pt idx="14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45-4B38-AAC4-33A7C1A45B0B}"/>
            </c:ext>
          </c:extLst>
        </c:ser>
        <c:ser>
          <c:idx val="1"/>
          <c:order val="1"/>
          <c:tx>
            <c:v>Japan</c:v>
          </c:tx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Assumptions!$I$5:$AA$5</c:f>
              <c:strCache>
                <c:ptCount val="15"/>
                <c:pt idx="0">
                  <c:v>FY23</c:v>
                </c:pt>
                <c:pt idx="1">
                  <c:v>1H24</c:v>
                </c:pt>
                <c:pt idx="2">
                  <c:v>2H24</c:v>
                </c:pt>
                <c:pt idx="3">
                  <c:v>FY24</c:v>
                </c:pt>
                <c:pt idx="4">
                  <c:v>1H25</c:v>
                </c:pt>
                <c:pt idx="5">
                  <c:v>2H25</c:v>
                </c:pt>
                <c:pt idx="6">
                  <c:v>FY25</c:v>
                </c:pt>
                <c:pt idx="7">
                  <c:v>1H26e</c:v>
                </c:pt>
                <c:pt idx="8">
                  <c:v>2H26e</c:v>
                </c:pt>
                <c:pt idx="9">
                  <c:v>FY26e</c:v>
                </c:pt>
                <c:pt idx="10">
                  <c:v>1H27e</c:v>
                </c:pt>
                <c:pt idx="11">
                  <c:v>2H27e</c:v>
                </c:pt>
                <c:pt idx="12">
                  <c:v>FY27e</c:v>
                </c:pt>
                <c:pt idx="13">
                  <c:v>FY28e</c:v>
                </c:pt>
                <c:pt idx="14">
                  <c:v>FY29e</c:v>
                </c:pt>
              </c:strCache>
            </c:strRef>
          </c:cat>
          <c:val>
            <c:numRef>
              <c:f>Assumptions!$I$125:$AA$125</c:f>
              <c:numCache>
                <c:formatCode>#,##0.0</c:formatCode>
                <c:ptCount val="15"/>
                <c:pt idx="0">
                  <c:v>4</c:v>
                </c:pt>
                <c:pt idx="1">
                  <c:v>4</c:v>
                </c:pt>
                <c:pt idx="2" formatCode="#,##0">
                  <c:v>5</c:v>
                </c:pt>
                <c:pt idx="3">
                  <c:v>5</c:v>
                </c:pt>
                <c:pt idx="4">
                  <c:v>5</c:v>
                </c:pt>
                <c:pt idx="5" formatCode="#,##0">
                  <c:v>5</c:v>
                </c:pt>
                <c:pt idx="6">
                  <c:v>5</c:v>
                </c:pt>
                <c:pt idx="7" formatCode="#,##0">
                  <c:v>6</c:v>
                </c:pt>
                <c:pt idx="8" formatCode="#,##0">
                  <c:v>7</c:v>
                </c:pt>
                <c:pt idx="9" formatCode="#,##0">
                  <c:v>7</c:v>
                </c:pt>
                <c:pt idx="10" formatCode="#,##0">
                  <c:v>8</c:v>
                </c:pt>
                <c:pt idx="11" formatCode="#,##0">
                  <c:v>9</c:v>
                </c:pt>
                <c:pt idx="12" formatCode="#,##0">
                  <c:v>9</c:v>
                </c:pt>
                <c:pt idx="13" formatCode="#,##0">
                  <c:v>11</c:v>
                </c:pt>
                <c:pt idx="14" formatCode="#,##0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D45-4B38-AAC4-33A7C1A45B0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96755072"/>
        <c:axId val="96760960"/>
      </c:barChart>
      <c:catAx>
        <c:axId val="9675507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15875" cap="rnd" cmpd="sng" algn="ctr">
            <a:solidFill>
              <a:srgbClr val="808080"/>
            </a:solidFill>
            <a:prstDash val="solid"/>
            <a:round/>
            <a:headEnd type="none" w="med" len="med"/>
            <a:tailEnd type="none" w="med" len="med"/>
          </a:ln>
        </c:spPr>
        <c:crossAx val="96760960"/>
        <c:crosses val="autoZero"/>
        <c:auto val="1"/>
        <c:lblAlgn val="ctr"/>
        <c:lblOffset val="100"/>
        <c:noMultiLvlLbl val="0"/>
      </c:catAx>
      <c:valAx>
        <c:axId val="96760960"/>
        <c:scaling>
          <c:orientation val="minMax"/>
        </c:scaling>
        <c:delete val="0"/>
        <c:axPos val="l"/>
        <c:majorGridlines>
          <c:spPr>
            <a:ln w="6350" cap="rnd" cmpd="sng" algn="ctr">
              <a:noFill/>
              <a:prstDash val="solid"/>
              <a:round/>
              <a:headEnd type="none" w="med" len="med"/>
              <a:tailEnd type="none" w="med" len="med"/>
            </a:ln>
          </c:spPr>
        </c:majorGridlines>
        <c:numFmt formatCode="#,##0.0" sourceLinked="1"/>
        <c:majorTickMark val="out"/>
        <c:minorTickMark val="none"/>
        <c:tickLblPos val="nextTo"/>
        <c:spPr>
          <a:ln>
            <a:noFill/>
          </a:ln>
        </c:spPr>
        <c:crossAx val="96755072"/>
        <c:crosses val="autoZero"/>
        <c:crossBetween val="between"/>
      </c:valAx>
      <c:spPr>
        <a:noFill/>
        <a:extLst>
          <a:ext uri="{909E8E84-426E-40DD-AFC4-6F175D3DCCD1}">
            <a14:hiddenFill xmlns:a14="http://schemas.microsoft.com/office/drawing/2010/main">
              <a:solidFill>
                <a:sysClr val="window" lastClr="FFFFFF"/>
              </a:solidFill>
            </a14:hiddenFill>
          </a:ext>
        </a:extLst>
      </c:spPr>
    </c:plotArea>
    <c:legend>
      <c:legendPos val="t"/>
      <c:overlay val="0"/>
      <c:spPr>
        <a:solidFill>
          <a:srgbClr val="FFFFFF"/>
        </a:solidFill>
      </c:spPr>
    </c:legend>
    <c:plotVisOnly val="1"/>
    <c:dispBlanksAs val="gap"/>
    <c:showDLblsOverMax val="0"/>
    <c:extLst/>
  </c:chart>
  <c:spPr>
    <a:solidFill>
      <a:srgbClr val="FFFFFF"/>
    </a:solidFill>
    <a:ln>
      <a:noFill/>
    </a:ln>
  </c:spPr>
  <c:txPr>
    <a:bodyPr/>
    <a:lstStyle/>
    <a:p>
      <a:pPr>
        <a:defRPr sz="900">
          <a:latin typeface="Roboto Condensed" panose="02000000000000000000" pitchFamily="2" charset="0"/>
          <a:ea typeface="Roboto Condensed" panose="02000000000000000000" pitchFamily="2" charset="0"/>
          <a:cs typeface="Arial" pitchFamily="34" charset="0"/>
        </a:defRPr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100" b="1">
                <a:solidFill>
                  <a:srgbClr val="000000"/>
                </a:solidFill>
                <a:latin typeface="Roboto Condensed" panose="02000000000000000000" pitchFamily="2" charset="0"/>
              </a:defRPr>
            </a:pPr>
            <a:r>
              <a:rPr lang="en-US" sz="1100" b="1">
                <a:solidFill>
                  <a:srgbClr val="000000"/>
                </a:solidFill>
                <a:latin typeface="Roboto Condensed" panose="02000000000000000000" pitchFamily="2" charset="0"/>
              </a:rPr>
              <a:t>Aust SSSg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8.6955599300087491E-2"/>
          <c:y val="0.10533756197142025"/>
          <c:w val="0.89362445319335082"/>
          <c:h val="0.7456751239428405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005AA4"/>
            </a:solidFill>
          </c:spPr>
          <c:invertIfNegative val="0"/>
          <c:dPt>
            <c:idx val="9"/>
            <c:invertIfNegative val="0"/>
            <c:bubble3D val="0"/>
            <c:spPr>
              <a:solidFill>
                <a:srgbClr val="DDAAB6"/>
              </a:solidFill>
            </c:spPr>
            <c:extLst>
              <c:ext xmlns:c16="http://schemas.microsoft.com/office/drawing/2014/chart" uri="{C3380CC4-5D6E-409C-BE32-E72D297353CC}">
                <c16:uniqueId val="{00000001-B514-4297-BDE3-E32F221A731D}"/>
              </c:ext>
            </c:extLst>
          </c:dPt>
          <c:dPt>
            <c:idx val="10"/>
            <c:invertIfNegative val="0"/>
            <c:bubble3D val="0"/>
            <c:spPr>
              <a:solidFill>
                <a:srgbClr val="DDAAB6"/>
              </a:solidFill>
            </c:spPr>
            <c:extLst>
              <c:ext xmlns:c16="http://schemas.microsoft.com/office/drawing/2014/chart" uri="{C3380CC4-5D6E-409C-BE32-E72D297353CC}">
                <c16:uniqueId val="{00000003-5397-4D2D-BBEF-85592538CC16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Assumptions!$F$5:$R$5</c:f>
              <c:strCache>
                <c:ptCount val="11"/>
                <c:pt idx="0">
                  <c:v>FY22</c:v>
                </c:pt>
                <c:pt idx="1">
                  <c:v>FY23</c:v>
                </c:pt>
                <c:pt idx="2">
                  <c:v>1H24</c:v>
                </c:pt>
                <c:pt idx="3">
                  <c:v>2H24</c:v>
                </c:pt>
                <c:pt idx="4">
                  <c:v>FY24</c:v>
                </c:pt>
                <c:pt idx="5">
                  <c:v>1H25</c:v>
                </c:pt>
                <c:pt idx="6">
                  <c:v>2H25</c:v>
                </c:pt>
                <c:pt idx="7">
                  <c:v>FY25</c:v>
                </c:pt>
                <c:pt idx="8">
                  <c:v>1H26e</c:v>
                </c:pt>
                <c:pt idx="9">
                  <c:v>2H26e</c:v>
                </c:pt>
                <c:pt idx="10">
                  <c:v>FY26e</c:v>
                </c:pt>
              </c:strCache>
            </c:strRef>
          </c:cat>
          <c:val>
            <c:numRef>
              <c:f>Assumptions!$F$44:$R$44</c:f>
              <c:numCache>
                <c:formatCode>0.0%</c:formatCode>
                <c:ptCount val="11"/>
                <c:pt idx="0">
                  <c:v>0.182</c:v>
                </c:pt>
                <c:pt idx="1">
                  <c:v>0.15</c:v>
                </c:pt>
                <c:pt idx="2">
                  <c:v>0.10100000000000001</c:v>
                </c:pt>
                <c:pt idx="3">
                  <c:v>6.0999999999999999E-2</c:v>
                </c:pt>
                <c:pt idx="4">
                  <c:v>8.1000000000000003E-2</c:v>
                </c:pt>
                <c:pt idx="5">
                  <c:v>9.4E-2</c:v>
                </c:pt>
                <c:pt idx="6">
                  <c:v>9.8000000000000004E-2</c:v>
                </c:pt>
                <c:pt idx="7">
                  <c:v>9.6000000000000002E-2</c:v>
                </c:pt>
                <c:pt idx="8">
                  <c:v>0.06</c:v>
                </c:pt>
                <c:pt idx="9">
                  <c:v>0.06</c:v>
                </c:pt>
                <c:pt idx="10">
                  <c:v>0.06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86-40E6-AB69-0F3E6B25B2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3332096"/>
        <c:axId val="253618432"/>
      </c:barChart>
      <c:catAx>
        <c:axId val="23333209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15875">
            <a:solidFill>
              <a:srgbClr val="808080"/>
            </a:solidFill>
          </a:ln>
        </c:spPr>
        <c:crossAx val="253618432"/>
        <c:crosses val="autoZero"/>
        <c:auto val="1"/>
        <c:lblAlgn val="ctr"/>
        <c:lblOffset val="100"/>
        <c:noMultiLvlLbl val="0"/>
      </c:catAx>
      <c:valAx>
        <c:axId val="253618432"/>
        <c:scaling>
          <c:orientation val="minMax"/>
        </c:scaling>
        <c:delete val="0"/>
        <c:axPos val="l"/>
        <c:majorGridlines>
          <c:spPr>
            <a:ln>
              <a:solidFill>
                <a:srgbClr val="C0C0C0"/>
              </a:solidFill>
            </a:ln>
          </c:spPr>
        </c:majorGridlines>
        <c:numFmt formatCode="0.0%" sourceLinked="1"/>
        <c:majorTickMark val="out"/>
        <c:minorTickMark val="none"/>
        <c:tickLblPos val="nextTo"/>
        <c:spPr>
          <a:ln>
            <a:noFill/>
          </a:ln>
        </c:spPr>
        <c:crossAx val="233332096"/>
        <c:crosses val="autoZero"/>
        <c:crossBetween val="between"/>
      </c:valAx>
      <c:spPr>
        <a:noFill/>
        <a:extLst>
          <a:ext uri="{909E8E84-426E-40DD-AFC4-6F175D3DCCD1}">
            <a14:hiddenFill xmlns:a14="http://schemas.microsoft.com/office/drawing/2010/main">
              <a:solidFill>
                <a:sysClr val="window" lastClr="FFFFFF"/>
              </a:solidFill>
            </a14:hiddenFill>
          </a:ext>
        </a:extLst>
      </c:spPr>
    </c:plotArea>
    <c:plotVisOnly val="1"/>
    <c:dispBlanksAs val="gap"/>
    <c:showDLblsOverMax val="0"/>
    <c:extLst/>
  </c:chart>
  <c:spPr>
    <a:solidFill>
      <a:srgbClr val="FFFFFF"/>
    </a:solidFill>
    <a:ln>
      <a:noFill/>
    </a:ln>
  </c:spPr>
  <c:txPr>
    <a:bodyPr/>
    <a:lstStyle/>
    <a:p>
      <a:pPr>
        <a:defRPr sz="900">
          <a:latin typeface="Roboto Condensed" panose="02000000000000000000" pitchFamily="2" charset="0"/>
          <a:ea typeface="Roboto Condensed" panose="02000000000000000000" pitchFamily="2" charset="0"/>
          <a:cs typeface="Arial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100" b="1">
                <a:solidFill>
                  <a:srgbClr val="000000"/>
                </a:solidFill>
                <a:latin typeface="Roboto Condensed" panose="02000000000000000000" pitchFamily="2" charset="0"/>
              </a:defRPr>
            </a:pPr>
            <a:r>
              <a:rPr lang="en-US" sz="1100" b="1">
                <a:solidFill>
                  <a:srgbClr val="000000"/>
                </a:solidFill>
                <a:latin typeface="Roboto Condensed" panose="02000000000000000000" pitchFamily="2" charset="0"/>
              </a:rPr>
              <a:t>Aust Corporate</a:t>
            </a:r>
            <a:r>
              <a:rPr lang="en-US" sz="1100" b="1" baseline="0">
                <a:solidFill>
                  <a:srgbClr val="000000"/>
                </a:solidFill>
                <a:latin typeface="Roboto Condensed" panose="02000000000000000000" pitchFamily="2" charset="0"/>
              </a:rPr>
              <a:t> restaurant margin</a:t>
            </a:r>
            <a:endParaRPr lang="en-US" sz="1100" b="1">
              <a:solidFill>
                <a:srgbClr val="000000"/>
              </a:solidFill>
              <a:latin typeface="Roboto Condensed" panose="02000000000000000000" pitchFamily="2" charset="0"/>
            </a:endParaRPr>
          </a:p>
        </c:rich>
      </c:tx>
      <c:overlay val="0"/>
    </c:title>
    <c:autoTitleDeleted val="0"/>
    <c:plotArea>
      <c:layout>
        <c:manualLayout>
          <c:xMode val="edge"/>
          <c:yMode val="edge"/>
          <c:x val="1.7094017094017096E-2"/>
          <c:y val="8.0337552742616031E-2"/>
          <c:w val="0.98290598290598286"/>
          <c:h val="0.85400843881856536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dPt>
            <c:idx val="8"/>
            <c:invertIfNegative val="0"/>
            <c:bubble3D val="0"/>
            <c:spPr>
              <a:solidFill>
                <a:srgbClr val="DDAAB6"/>
              </a:solidFill>
            </c:spPr>
            <c:extLst>
              <c:ext xmlns:c16="http://schemas.microsoft.com/office/drawing/2014/chart" uri="{C3380CC4-5D6E-409C-BE32-E72D297353CC}">
                <c16:uniqueId val="{00000001-FBFD-43DC-9F5D-09EE0EE97503}"/>
              </c:ext>
            </c:extLst>
          </c:dPt>
          <c:dPt>
            <c:idx val="9"/>
            <c:invertIfNegative val="0"/>
            <c:bubble3D val="0"/>
            <c:spPr>
              <a:solidFill>
                <a:srgbClr val="DDAAB6"/>
              </a:solidFill>
            </c:spPr>
            <c:extLst>
              <c:ext xmlns:c16="http://schemas.microsoft.com/office/drawing/2014/chart" uri="{C3380CC4-5D6E-409C-BE32-E72D297353CC}">
                <c16:uniqueId val="{00000003-00D3-4EA9-B8D1-7C9B4E67076C}"/>
              </c:ext>
            </c:extLst>
          </c:dPt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Assumptions!$G$5:$S$5</c:f>
              <c:strCache>
                <c:ptCount val="11"/>
                <c:pt idx="0">
                  <c:v>FY23</c:v>
                </c:pt>
                <c:pt idx="1">
                  <c:v>1H24</c:v>
                </c:pt>
                <c:pt idx="2">
                  <c:v>2H24</c:v>
                </c:pt>
                <c:pt idx="3">
                  <c:v>FY24</c:v>
                </c:pt>
                <c:pt idx="4">
                  <c:v>1H25</c:v>
                </c:pt>
                <c:pt idx="5">
                  <c:v>2H25</c:v>
                </c:pt>
                <c:pt idx="6">
                  <c:v>FY25</c:v>
                </c:pt>
                <c:pt idx="7">
                  <c:v>1H26e</c:v>
                </c:pt>
                <c:pt idx="8">
                  <c:v>2H26e</c:v>
                </c:pt>
                <c:pt idx="9">
                  <c:v>FY26e</c:v>
                </c:pt>
                <c:pt idx="10">
                  <c:v>1H27e</c:v>
                </c:pt>
              </c:strCache>
            </c:strRef>
          </c:cat>
          <c:val>
            <c:numRef>
              <c:f>Assumptions!$G$74:$S$74</c:f>
              <c:numCache>
                <c:formatCode>0.0%</c:formatCode>
                <c:ptCount val="11"/>
                <c:pt idx="0">
                  <c:v>0.14399999999999999</c:v>
                </c:pt>
                <c:pt idx="1">
                  <c:v>0.17499999999999999</c:v>
                </c:pt>
                <c:pt idx="2">
                  <c:v>0.17304005621925506</c:v>
                </c:pt>
                <c:pt idx="3">
                  <c:v>0.17399999999999999</c:v>
                </c:pt>
                <c:pt idx="4">
                  <c:v>0.18</c:v>
                </c:pt>
                <c:pt idx="5">
                  <c:v>0.17804137240061202</c:v>
                </c:pt>
                <c:pt idx="6">
                  <c:v>0.17899999999999999</c:v>
                </c:pt>
                <c:pt idx="7">
                  <c:v>0.186</c:v>
                </c:pt>
                <c:pt idx="8">
                  <c:v>0.18122759265352115</c:v>
                </c:pt>
                <c:pt idx="9">
                  <c:v>0.1835</c:v>
                </c:pt>
                <c:pt idx="10">
                  <c:v>0.18913749999999996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8A3-412D-AF8A-485B039D352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233332096"/>
        <c:axId val="253618432"/>
      </c:barChart>
      <c:catAx>
        <c:axId val="23333209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15875">
            <a:solidFill>
              <a:srgbClr val="808080"/>
            </a:solidFill>
          </a:ln>
        </c:spPr>
        <c:crossAx val="253618432"/>
        <c:crosses val="autoZero"/>
        <c:auto val="1"/>
        <c:lblAlgn val="ctr"/>
        <c:lblOffset val="100"/>
        <c:noMultiLvlLbl val="0"/>
      </c:catAx>
      <c:valAx>
        <c:axId val="253618432"/>
        <c:scaling>
          <c:orientation val="minMax"/>
          <c:min val="0.12000000000000001"/>
        </c:scaling>
        <c:delete val="0"/>
        <c:axPos val="l"/>
        <c:majorGridlines>
          <c:spPr>
            <a:ln>
              <a:solidFill>
                <a:srgbClr val="C0C0C0"/>
              </a:solidFill>
            </a:ln>
          </c:spPr>
        </c:majorGridlines>
        <c:numFmt formatCode="0.0%" sourceLinked="1"/>
        <c:majorTickMark val="out"/>
        <c:minorTickMark val="none"/>
        <c:tickLblPos val="nextTo"/>
        <c:spPr>
          <a:ln>
            <a:noFill/>
          </a:ln>
        </c:spPr>
        <c:crossAx val="233332096"/>
        <c:crosses val="autoZero"/>
        <c:crossBetween val="between"/>
      </c:valAx>
      <c:spPr>
        <a:noFill/>
        <a:extLst>
          <a:ext uri="{909E8E84-426E-40DD-AFC4-6F175D3DCCD1}">
            <a14:hiddenFill xmlns:a14="http://schemas.microsoft.com/office/drawing/2010/main">
              <a:solidFill>
                <a:sysClr val="window" lastClr="FFFFFF"/>
              </a:solidFill>
            </a14:hiddenFill>
          </a:ext>
        </a:extLst>
      </c:spPr>
    </c:plotArea>
    <c:plotVisOnly val="1"/>
    <c:dispBlanksAs val="gap"/>
    <c:showDLblsOverMax val="0"/>
    <c:extLst/>
  </c:chart>
  <c:spPr>
    <a:solidFill>
      <a:srgbClr val="FFFFFF"/>
    </a:solidFill>
    <a:ln>
      <a:noFill/>
    </a:ln>
  </c:spPr>
  <c:txPr>
    <a:bodyPr/>
    <a:lstStyle/>
    <a:p>
      <a:pPr>
        <a:defRPr sz="900">
          <a:latin typeface="Roboto Condensed" panose="02000000000000000000" pitchFamily="2" charset="0"/>
          <a:ea typeface="Roboto Condensed" panose="02000000000000000000" pitchFamily="2" charset="0"/>
          <a:cs typeface="Arial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2911492374727668"/>
          <c:y val="7.5890522875817004E-2"/>
          <c:w val="0.87088507625272327"/>
          <c:h val="0.77693102240896361"/>
        </c:manualLayout>
      </c:layout>
      <c:barChart>
        <c:barDir val="col"/>
        <c:grouping val="clustered"/>
        <c:varyColors val="0"/>
        <c:ser>
          <c:idx val="0"/>
          <c:order val="0"/>
          <c:tx>
            <c:v>Aust segment underlying EBITDA margin</c:v>
          </c:tx>
          <c:spPr>
            <a:solidFill>
              <a:srgbClr val="005AA4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Assumptions!$I$5:$X$5</c:f>
              <c:strCache>
                <c:ptCount val="14"/>
                <c:pt idx="0">
                  <c:v>FY23</c:v>
                </c:pt>
                <c:pt idx="1">
                  <c:v>1H24</c:v>
                </c:pt>
                <c:pt idx="2">
                  <c:v>2H24</c:v>
                </c:pt>
                <c:pt idx="3">
                  <c:v>FY24</c:v>
                </c:pt>
                <c:pt idx="4">
                  <c:v>1H25</c:v>
                </c:pt>
                <c:pt idx="5">
                  <c:v>2H25</c:v>
                </c:pt>
                <c:pt idx="6">
                  <c:v>FY25</c:v>
                </c:pt>
                <c:pt idx="7">
                  <c:v>1H26e</c:v>
                </c:pt>
                <c:pt idx="8">
                  <c:v>2H26e</c:v>
                </c:pt>
                <c:pt idx="9">
                  <c:v>FY26e</c:v>
                </c:pt>
                <c:pt idx="10">
                  <c:v>1H27e</c:v>
                </c:pt>
                <c:pt idx="11">
                  <c:v>2H27e</c:v>
                </c:pt>
                <c:pt idx="12">
                  <c:v>FY27e</c:v>
                </c:pt>
                <c:pt idx="13">
                  <c:v>FY28e</c:v>
                </c:pt>
              </c:strCache>
            </c:strRef>
          </c:cat>
          <c:val>
            <c:numRef>
              <c:f>Assumptions!$I$270:$X$270</c:f>
              <c:numCache>
                <c:formatCode>0.0%</c:formatCode>
                <c:ptCount val="14"/>
                <c:pt idx="0">
                  <c:v>4.0807436918990699E-2</c:v>
                </c:pt>
                <c:pt idx="1">
                  <c:v>5.2678978568171442E-2</c:v>
                </c:pt>
                <c:pt idx="2">
                  <c:v>4.9174561403508732E-2</c:v>
                </c:pt>
                <c:pt idx="3">
                  <c:v>4.7980398355991133E-2</c:v>
                </c:pt>
                <c:pt idx="4">
                  <c:v>5.9065737643998514E-2</c:v>
                </c:pt>
                <c:pt idx="5">
                  <c:v>6.2043709561466591E-2</c:v>
                </c:pt>
                <c:pt idx="6">
                  <c:v>5.6753081136597071E-2</c:v>
                </c:pt>
                <c:pt idx="7">
                  <c:v>6.024098158695388E-2</c:v>
                </c:pt>
                <c:pt idx="8">
                  <c:v>6.2467747304291672E-2</c:v>
                </c:pt>
                <c:pt idx="9">
                  <c:v>6.1392269891323632E-2</c:v>
                </c:pt>
                <c:pt idx="10">
                  <c:v>6.7569733566505197E-2</c:v>
                </c:pt>
                <c:pt idx="11">
                  <c:v>7.2702037155617391E-2</c:v>
                </c:pt>
                <c:pt idx="12">
                  <c:v>7.0257293160840339E-2</c:v>
                </c:pt>
                <c:pt idx="13">
                  <c:v>7.8942626885935646E-2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86-40E6-AB69-0F3E6B25B2A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233332096"/>
        <c:axId val="253618432"/>
      </c:barChart>
      <c:catAx>
        <c:axId val="23333209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15875">
            <a:solidFill>
              <a:srgbClr val="808080"/>
            </a:solidFill>
          </a:ln>
        </c:spPr>
        <c:crossAx val="253618432"/>
        <c:crosses val="autoZero"/>
        <c:auto val="1"/>
        <c:lblAlgn val="ctr"/>
        <c:lblOffset val="100"/>
        <c:noMultiLvlLbl val="0"/>
      </c:catAx>
      <c:valAx>
        <c:axId val="253618432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numFmt formatCode="0.0%" sourceLinked="1"/>
        <c:majorTickMark val="out"/>
        <c:minorTickMark val="none"/>
        <c:tickLblPos val="nextTo"/>
        <c:spPr>
          <a:ln>
            <a:noFill/>
          </a:ln>
        </c:spPr>
        <c:crossAx val="233332096"/>
        <c:crosses val="autoZero"/>
        <c:crossBetween val="between"/>
      </c:valAx>
      <c:spPr>
        <a:noFill/>
        <a:extLst>
          <a:ext uri="{909E8E84-426E-40DD-AFC4-6F175D3DCCD1}">
            <a14:hiddenFill xmlns:a14="http://schemas.microsoft.com/office/drawing/2010/main">
              <a:solidFill>
                <a:sysClr val="window" lastClr="FFFFFF"/>
              </a:solidFill>
            </a14:hiddenFill>
          </a:ext>
        </a:extLst>
      </c:spPr>
    </c:plotArea>
    <c:plotVisOnly val="1"/>
    <c:dispBlanksAs val="gap"/>
    <c:showDLblsOverMax val="0"/>
    <c:extLst/>
  </c:chart>
  <c:spPr>
    <a:solidFill>
      <a:srgbClr val="FFFFFF"/>
    </a:solidFill>
    <a:ln>
      <a:noFill/>
    </a:ln>
  </c:spPr>
  <c:txPr>
    <a:bodyPr/>
    <a:lstStyle/>
    <a:p>
      <a:pPr>
        <a:defRPr sz="900">
          <a:latin typeface="Roboto Condensed" panose="02000000000000000000" pitchFamily="2" charset="0"/>
          <a:ea typeface="Roboto Condensed" panose="02000000000000000000" pitchFamily="2" charset="0"/>
          <a:cs typeface="Arial" pitchFamily="34" charset="0"/>
        </a:defRPr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Network -</a:t>
            </a:r>
            <a:r>
              <a:rPr lang="en-AU" baseline="0"/>
              <a:t> Drive thru vs Strip/Other</a:t>
            </a:r>
            <a:endParaRPr lang="en-A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U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'GYG network model'!$E$41</c:f>
              <c:strCache>
                <c:ptCount val="1"/>
                <c:pt idx="0">
                  <c:v>Drive thru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'GYG network model'!$O$23:$AH$23</c:f>
              <c:strCache>
                <c:ptCount val="20"/>
                <c:pt idx="0">
                  <c:v>FY24</c:v>
                </c:pt>
                <c:pt idx="1">
                  <c:v>FY25</c:v>
                </c:pt>
                <c:pt idx="2">
                  <c:v>FY26</c:v>
                </c:pt>
                <c:pt idx="3">
                  <c:v>FY27</c:v>
                </c:pt>
                <c:pt idx="4">
                  <c:v>FY28</c:v>
                </c:pt>
                <c:pt idx="5">
                  <c:v>FY29</c:v>
                </c:pt>
                <c:pt idx="6">
                  <c:v>FY30</c:v>
                </c:pt>
                <c:pt idx="7">
                  <c:v>FY31</c:v>
                </c:pt>
                <c:pt idx="8">
                  <c:v>FY32</c:v>
                </c:pt>
                <c:pt idx="9">
                  <c:v>FY33</c:v>
                </c:pt>
                <c:pt idx="10">
                  <c:v>FY34</c:v>
                </c:pt>
                <c:pt idx="11">
                  <c:v>FY35</c:v>
                </c:pt>
                <c:pt idx="12">
                  <c:v>FY36</c:v>
                </c:pt>
                <c:pt idx="13">
                  <c:v>FY37</c:v>
                </c:pt>
                <c:pt idx="14">
                  <c:v>FY38</c:v>
                </c:pt>
                <c:pt idx="15">
                  <c:v>FY39</c:v>
                </c:pt>
                <c:pt idx="16">
                  <c:v>FY40</c:v>
                </c:pt>
                <c:pt idx="17">
                  <c:v>FY41</c:v>
                </c:pt>
                <c:pt idx="18">
                  <c:v>FY42</c:v>
                </c:pt>
                <c:pt idx="19">
                  <c:v>FY43</c:v>
                </c:pt>
              </c:strCache>
            </c:strRef>
          </c:cat>
          <c:val>
            <c:numRef>
              <c:f>'GYG network model'!$O$41:$AH$41</c:f>
              <c:numCache>
                <c:formatCode>0%</c:formatCode>
                <c:ptCount val="20"/>
                <c:pt idx="0">
                  <c:v>0.47692307692307695</c:v>
                </c:pt>
                <c:pt idx="1">
                  <c:v>0.50222222222222224</c:v>
                </c:pt>
                <c:pt idx="2">
                  <c:v>0.53307392996108949</c:v>
                </c:pt>
                <c:pt idx="3">
                  <c:v>0.56849315068493156</c:v>
                </c:pt>
                <c:pt idx="4">
                  <c:v>0.60240963855421692</c:v>
                </c:pt>
                <c:pt idx="5">
                  <c:v>0.62903225806451613</c:v>
                </c:pt>
                <c:pt idx="6">
                  <c:v>0.64619164619164615</c:v>
                </c:pt>
                <c:pt idx="7">
                  <c:v>0.66063348416289591</c:v>
                </c:pt>
                <c:pt idx="8">
                  <c:v>0.67295597484276726</c:v>
                </c:pt>
                <c:pt idx="9">
                  <c:v>0.68359375</c:v>
                </c:pt>
                <c:pt idx="10">
                  <c:v>0.69188191881918815</c:v>
                </c:pt>
                <c:pt idx="11">
                  <c:v>0.69930069930069927</c:v>
                </c:pt>
                <c:pt idx="12">
                  <c:v>0.70598006644518274</c:v>
                </c:pt>
                <c:pt idx="13">
                  <c:v>0.71132376395534291</c:v>
                </c:pt>
                <c:pt idx="14">
                  <c:v>0.71625766871165641</c:v>
                </c:pt>
                <c:pt idx="15">
                  <c:v>0.72082717872968982</c:v>
                </c:pt>
                <c:pt idx="16">
                  <c:v>0.72453371592539451</c:v>
                </c:pt>
                <c:pt idx="17">
                  <c:v>0.72803347280334729</c:v>
                </c:pt>
                <c:pt idx="18">
                  <c:v>0.73134328358208955</c:v>
                </c:pt>
                <c:pt idx="19">
                  <c:v>0.73271276595744683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46-46C2-87B3-5B0DCD5A0521}"/>
            </c:ext>
          </c:extLst>
        </c:ser>
        <c:ser>
          <c:idx val="1"/>
          <c:order val="1"/>
          <c:tx>
            <c:strRef>
              <c:f>'GYG network model'!$E$42</c:f>
              <c:strCache>
                <c:ptCount val="1"/>
                <c:pt idx="0">
                  <c:v>Strip/Other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'GYG network model'!$O$23:$AH$23</c:f>
              <c:strCache>
                <c:ptCount val="20"/>
                <c:pt idx="0">
                  <c:v>FY24</c:v>
                </c:pt>
                <c:pt idx="1">
                  <c:v>FY25</c:v>
                </c:pt>
                <c:pt idx="2">
                  <c:v>FY26</c:v>
                </c:pt>
                <c:pt idx="3">
                  <c:v>FY27</c:v>
                </c:pt>
                <c:pt idx="4">
                  <c:v>FY28</c:v>
                </c:pt>
                <c:pt idx="5">
                  <c:v>FY29</c:v>
                </c:pt>
                <c:pt idx="6">
                  <c:v>FY30</c:v>
                </c:pt>
                <c:pt idx="7">
                  <c:v>FY31</c:v>
                </c:pt>
                <c:pt idx="8">
                  <c:v>FY32</c:v>
                </c:pt>
                <c:pt idx="9">
                  <c:v>FY33</c:v>
                </c:pt>
                <c:pt idx="10">
                  <c:v>FY34</c:v>
                </c:pt>
                <c:pt idx="11">
                  <c:v>FY35</c:v>
                </c:pt>
                <c:pt idx="12">
                  <c:v>FY36</c:v>
                </c:pt>
                <c:pt idx="13">
                  <c:v>FY37</c:v>
                </c:pt>
                <c:pt idx="14">
                  <c:v>FY38</c:v>
                </c:pt>
                <c:pt idx="15">
                  <c:v>FY39</c:v>
                </c:pt>
                <c:pt idx="16">
                  <c:v>FY40</c:v>
                </c:pt>
                <c:pt idx="17">
                  <c:v>FY41</c:v>
                </c:pt>
                <c:pt idx="18">
                  <c:v>FY42</c:v>
                </c:pt>
                <c:pt idx="19">
                  <c:v>FY43</c:v>
                </c:pt>
              </c:strCache>
            </c:strRef>
          </c:cat>
          <c:val>
            <c:numRef>
              <c:f>'GYG network model'!$O$42:$AH$42</c:f>
              <c:numCache>
                <c:formatCode>0%</c:formatCode>
                <c:ptCount val="20"/>
                <c:pt idx="0">
                  <c:v>0.52307692307692299</c:v>
                </c:pt>
                <c:pt idx="1">
                  <c:v>0.49777777777777776</c:v>
                </c:pt>
                <c:pt idx="2">
                  <c:v>0.46692607003891051</c:v>
                </c:pt>
                <c:pt idx="3">
                  <c:v>0.43150684931506844</c:v>
                </c:pt>
                <c:pt idx="4">
                  <c:v>0.39759036144578308</c:v>
                </c:pt>
                <c:pt idx="5">
                  <c:v>0.37096774193548387</c:v>
                </c:pt>
                <c:pt idx="6">
                  <c:v>0.35380835380835385</c:v>
                </c:pt>
                <c:pt idx="7">
                  <c:v>0.33936651583710409</c:v>
                </c:pt>
                <c:pt idx="8">
                  <c:v>0.32704402515723274</c:v>
                </c:pt>
                <c:pt idx="9">
                  <c:v>0.31640625</c:v>
                </c:pt>
                <c:pt idx="10">
                  <c:v>0.30811808118081185</c:v>
                </c:pt>
                <c:pt idx="11">
                  <c:v>0.30069930069930073</c:v>
                </c:pt>
                <c:pt idx="12">
                  <c:v>0.29401993355481726</c:v>
                </c:pt>
                <c:pt idx="13">
                  <c:v>0.28867623604465709</c:v>
                </c:pt>
                <c:pt idx="14">
                  <c:v>0.28374233128834359</c:v>
                </c:pt>
                <c:pt idx="15">
                  <c:v>0.27917282127031018</c:v>
                </c:pt>
                <c:pt idx="16">
                  <c:v>0.27546628407460549</c:v>
                </c:pt>
                <c:pt idx="17">
                  <c:v>0.27196652719665271</c:v>
                </c:pt>
                <c:pt idx="18">
                  <c:v>0.26865671641791045</c:v>
                </c:pt>
                <c:pt idx="19">
                  <c:v>0.26728723404255317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146-46C2-87B3-5B0DCD5A05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75672983"/>
        <c:axId val="475673343"/>
      </c:barChart>
      <c:catAx>
        <c:axId val="475672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5673343"/>
        <c:crosses val="autoZero"/>
        <c:auto val="1"/>
        <c:lblAlgn val="ctr"/>
        <c:lblOffset val="100"/>
        <c:noMultiLvlLbl val="0"/>
      </c:catAx>
      <c:valAx>
        <c:axId val="475673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56729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Network - LT tgt 1000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'GYG network model'!$E$24</c:f>
              <c:strCache>
                <c:ptCount val="1"/>
                <c:pt idx="0">
                  <c:v>Drive thru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'GYG network model'!$O$23:$AH$23</c:f>
              <c:strCache>
                <c:ptCount val="20"/>
                <c:pt idx="0">
                  <c:v>FY24</c:v>
                </c:pt>
                <c:pt idx="1">
                  <c:v>FY25</c:v>
                </c:pt>
                <c:pt idx="2">
                  <c:v>FY26</c:v>
                </c:pt>
                <c:pt idx="3">
                  <c:v>FY27</c:v>
                </c:pt>
                <c:pt idx="4">
                  <c:v>FY28</c:v>
                </c:pt>
                <c:pt idx="5">
                  <c:v>FY29</c:v>
                </c:pt>
                <c:pt idx="6">
                  <c:v>FY30</c:v>
                </c:pt>
                <c:pt idx="7">
                  <c:v>FY31</c:v>
                </c:pt>
                <c:pt idx="8">
                  <c:v>FY32</c:v>
                </c:pt>
                <c:pt idx="9">
                  <c:v>FY33</c:v>
                </c:pt>
                <c:pt idx="10">
                  <c:v>FY34</c:v>
                </c:pt>
                <c:pt idx="11">
                  <c:v>FY35</c:v>
                </c:pt>
                <c:pt idx="12">
                  <c:v>FY36</c:v>
                </c:pt>
                <c:pt idx="13">
                  <c:v>FY37</c:v>
                </c:pt>
                <c:pt idx="14">
                  <c:v>FY38</c:v>
                </c:pt>
                <c:pt idx="15">
                  <c:v>FY39</c:v>
                </c:pt>
                <c:pt idx="16">
                  <c:v>FY40</c:v>
                </c:pt>
                <c:pt idx="17">
                  <c:v>FY41</c:v>
                </c:pt>
                <c:pt idx="18">
                  <c:v>FY42</c:v>
                </c:pt>
                <c:pt idx="19">
                  <c:v>FY43</c:v>
                </c:pt>
              </c:strCache>
            </c:strRef>
          </c:cat>
          <c:val>
            <c:numRef>
              <c:f>'GYG network model'!$O$24:$AH$24</c:f>
              <c:numCache>
                <c:formatCode>General</c:formatCode>
                <c:ptCount val="20"/>
                <c:pt idx="0">
                  <c:v>93</c:v>
                </c:pt>
                <c:pt idx="1">
                  <c:v>113</c:v>
                </c:pt>
                <c:pt idx="2">
                  <c:v>137</c:v>
                </c:pt>
                <c:pt idx="3">
                  <c:v>166</c:v>
                </c:pt>
                <c:pt idx="4">
                  <c:v>200</c:v>
                </c:pt>
                <c:pt idx="5">
                  <c:v>234</c:v>
                </c:pt>
                <c:pt idx="6">
                  <c:v>263</c:v>
                </c:pt>
                <c:pt idx="7">
                  <c:v>292</c:v>
                </c:pt>
                <c:pt idx="8">
                  <c:v>321</c:v>
                </c:pt>
                <c:pt idx="9">
                  <c:v>350</c:v>
                </c:pt>
                <c:pt idx="10">
                  <c:v>375</c:v>
                </c:pt>
                <c:pt idx="11">
                  <c:v>400</c:v>
                </c:pt>
                <c:pt idx="12">
                  <c:v>425</c:v>
                </c:pt>
                <c:pt idx="13">
                  <c:v>446</c:v>
                </c:pt>
                <c:pt idx="14">
                  <c:v>467</c:v>
                </c:pt>
                <c:pt idx="15">
                  <c:v>488</c:v>
                </c:pt>
                <c:pt idx="16">
                  <c:v>505</c:v>
                </c:pt>
                <c:pt idx="17">
                  <c:v>522</c:v>
                </c:pt>
                <c:pt idx="18">
                  <c:v>539</c:v>
                </c:pt>
                <c:pt idx="19">
                  <c:v>551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51-4E51-9D2F-37282FD50742}"/>
            </c:ext>
          </c:extLst>
        </c:ser>
        <c:ser>
          <c:idx val="1"/>
          <c:order val="1"/>
          <c:tx>
            <c:strRef>
              <c:f>'GYG network model'!$E$28</c:f>
              <c:strCache>
                <c:ptCount val="1"/>
                <c:pt idx="0">
                  <c:v>Strip/other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'GYG network model'!$O$23:$AH$23</c:f>
              <c:strCache>
                <c:ptCount val="20"/>
                <c:pt idx="0">
                  <c:v>FY24</c:v>
                </c:pt>
                <c:pt idx="1">
                  <c:v>FY25</c:v>
                </c:pt>
                <c:pt idx="2">
                  <c:v>FY26</c:v>
                </c:pt>
                <c:pt idx="3">
                  <c:v>FY27</c:v>
                </c:pt>
                <c:pt idx="4">
                  <c:v>FY28</c:v>
                </c:pt>
                <c:pt idx="5">
                  <c:v>FY29</c:v>
                </c:pt>
                <c:pt idx="6">
                  <c:v>FY30</c:v>
                </c:pt>
                <c:pt idx="7">
                  <c:v>FY31</c:v>
                </c:pt>
                <c:pt idx="8">
                  <c:v>FY32</c:v>
                </c:pt>
                <c:pt idx="9">
                  <c:v>FY33</c:v>
                </c:pt>
                <c:pt idx="10">
                  <c:v>FY34</c:v>
                </c:pt>
                <c:pt idx="11">
                  <c:v>FY35</c:v>
                </c:pt>
                <c:pt idx="12">
                  <c:v>FY36</c:v>
                </c:pt>
                <c:pt idx="13">
                  <c:v>FY37</c:v>
                </c:pt>
                <c:pt idx="14">
                  <c:v>FY38</c:v>
                </c:pt>
                <c:pt idx="15">
                  <c:v>FY39</c:v>
                </c:pt>
                <c:pt idx="16">
                  <c:v>FY40</c:v>
                </c:pt>
                <c:pt idx="17">
                  <c:v>FY41</c:v>
                </c:pt>
                <c:pt idx="18">
                  <c:v>FY42</c:v>
                </c:pt>
                <c:pt idx="19">
                  <c:v>FY43</c:v>
                </c:pt>
              </c:strCache>
            </c:strRef>
          </c:cat>
          <c:val>
            <c:numRef>
              <c:f>'GYG network model'!$O$28:$AH$28</c:f>
              <c:numCache>
                <c:formatCode>General</c:formatCode>
                <c:ptCount val="20"/>
                <c:pt idx="0">
                  <c:v>102</c:v>
                </c:pt>
                <c:pt idx="1">
                  <c:v>112</c:v>
                </c:pt>
                <c:pt idx="2">
                  <c:v>120</c:v>
                </c:pt>
                <c:pt idx="3">
                  <c:v>126</c:v>
                </c:pt>
                <c:pt idx="4">
                  <c:v>132</c:v>
                </c:pt>
                <c:pt idx="5">
                  <c:v>138</c:v>
                </c:pt>
                <c:pt idx="6">
                  <c:v>144</c:v>
                </c:pt>
                <c:pt idx="7">
                  <c:v>150</c:v>
                </c:pt>
                <c:pt idx="8">
                  <c:v>156</c:v>
                </c:pt>
                <c:pt idx="9">
                  <c:v>162</c:v>
                </c:pt>
                <c:pt idx="10">
                  <c:v>167</c:v>
                </c:pt>
                <c:pt idx="11">
                  <c:v>172</c:v>
                </c:pt>
                <c:pt idx="12">
                  <c:v>177</c:v>
                </c:pt>
                <c:pt idx="13">
                  <c:v>181</c:v>
                </c:pt>
                <c:pt idx="14">
                  <c:v>185</c:v>
                </c:pt>
                <c:pt idx="15">
                  <c:v>189</c:v>
                </c:pt>
                <c:pt idx="16">
                  <c:v>192</c:v>
                </c:pt>
                <c:pt idx="17">
                  <c:v>195</c:v>
                </c:pt>
                <c:pt idx="18">
                  <c:v>198</c:v>
                </c:pt>
                <c:pt idx="19">
                  <c:v>201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251-4E51-9D2F-37282FD507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20863743"/>
        <c:axId val="320862303"/>
      </c:barChart>
      <c:catAx>
        <c:axId val="320863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0862303"/>
        <c:crosses val="autoZero"/>
        <c:auto val="1"/>
        <c:lblAlgn val="ctr"/>
        <c:lblOffset val="100"/>
        <c:noMultiLvlLbl val="0"/>
      </c:catAx>
      <c:valAx>
        <c:axId val="320862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0863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Network</a:t>
            </a:r>
            <a:r>
              <a:rPr lang="en-AU" baseline="0"/>
              <a:t> Franchised vs Corporate breakdown</a:t>
            </a:r>
            <a:endParaRPr lang="en-A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U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'GYG network model'!$E$7</c:f>
              <c:strCache>
                <c:ptCount val="1"/>
                <c:pt idx="0">
                  <c:v>Franchised EOP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'GYG network model'!$O$4:$AH$4</c:f>
              <c:strCache>
                <c:ptCount val="20"/>
                <c:pt idx="0">
                  <c:v>FY24</c:v>
                </c:pt>
                <c:pt idx="1">
                  <c:v>FY25</c:v>
                </c:pt>
                <c:pt idx="2">
                  <c:v>FY26</c:v>
                </c:pt>
                <c:pt idx="3">
                  <c:v>FY27</c:v>
                </c:pt>
                <c:pt idx="4">
                  <c:v>FY28</c:v>
                </c:pt>
                <c:pt idx="5">
                  <c:v>FY29</c:v>
                </c:pt>
                <c:pt idx="6">
                  <c:v>FY30</c:v>
                </c:pt>
                <c:pt idx="7">
                  <c:v>FY31</c:v>
                </c:pt>
                <c:pt idx="8">
                  <c:v>FY32</c:v>
                </c:pt>
                <c:pt idx="9">
                  <c:v>FY33</c:v>
                </c:pt>
                <c:pt idx="10">
                  <c:v>FY34</c:v>
                </c:pt>
                <c:pt idx="11">
                  <c:v>FY35</c:v>
                </c:pt>
                <c:pt idx="12">
                  <c:v>FY36</c:v>
                </c:pt>
                <c:pt idx="13">
                  <c:v>FY37</c:v>
                </c:pt>
                <c:pt idx="14">
                  <c:v>FY38</c:v>
                </c:pt>
                <c:pt idx="15">
                  <c:v>FY39</c:v>
                </c:pt>
                <c:pt idx="16">
                  <c:v>FY40</c:v>
                </c:pt>
                <c:pt idx="17">
                  <c:v>FY41</c:v>
                </c:pt>
                <c:pt idx="18">
                  <c:v>FY42</c:v>
                </c:pt>
                <c:pt idx="19">
                  <c:v>FY43</c:v>
                </c:pt>
              </c:strCache>
            </c:strRef>
          </c:cat>
          <c:val>
            <c:numRef>
              <c:f>'GYG network model'!$O$7:$AH$7</c:f>
              <c:numCache>
                <c:formatCode>General</c:formatCode>
                <c:ptCount val="20"/>
                <c:pt idx="0">
                  <c:v>131</c:v>
                </c:pt>
                <c:pt idx="1">
                  <c:v>144</c:v>
                </c:pt>
                <c:pt idx="2">
                  <c:v>164</c:v>
                </c:pt>
                <c:pt idx="3">
                  <c:v>185</c:v>
                </c:pt>
                <c:pt idx="4">
                  <c:v>209</c:v>
                </c:pt>
                <c:pt idx="5">
                  <c:v>233</c:v>
                </c:pt>
                <c:pt idx="6">
                  <c:v>254</c:v>
                </c:pt>
                <c:pt idx="7">
                  <c:v>275</c:v>
                </c:pt>
                <c:pt idx="8">
                  <c:v>296</c:v>
                </c:pt>
                <c:pt idx="9">
                  <c:v>317</c:v>
                </c:pt>
                <c:pt idx="10">
                  <c:v>335</c:v>
                </c:pt>
                <c:pt idx="11">
                  <c:v>353</c:v>
                </c:pt>
                <c:pt idx="12">
                  <c:v>371</c:v>
                </c:pt>
                <c:pt idx="13">
                  <c:v>386</c:v>
                </c:pt>
                <c:pt idx="14">
                  <c:v>401</c:v>
                </c:pt>
                <c:pt idx="15">
                  <c:v>416</c:v>
                </c:pt>
                <c:pt idx="16">
                  <c:v>428</c:v>
                </c:pt>
                <c:pt idx="17">
                  <c:v>440</c:v>
                </c:pt>
                <c:pt idx="18">
                  <c:v>452</c:v>
                </c:pt>
                <c:pt idx="19">
                  <c:v>461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C0-40EA-9744-0A24E9C155D5}"/>
            </c:ext>
          </c:extLst>
        </c:ser>
        <c:ser>
          <c:idx val="1"/>
          <c:order val="1"/>
          <c:tx>
            <c:strRef>
              <c:f>'GYG network model'!$E$13</c:f>
              <c:strCache>
                <c:ptCount val="1"/>
                <c:pt idx="0">
                  <c:v>Corporate EOP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'GYG network model'!$O$4:$AH$4</c:f>
              <c:strCache>
                <c:ptCount val="20"/>
                <c:pt idx="0">
                  <c:v>FY24</c:v>
                </c:pt>
                <c:pt idx="1">
                  <c:v>FY25</c:v>
                </c:pt>
                <c:pt idx="2">
                  <c:v>FY26</c:v>
                </c:pt>
                <c:pt idx="3">
                  <c:v>FY27</c:v>
                </c:pt>
                <c:pt idx="4">
                  <c:v>FY28</c:v>
                </c:pt>
                <c:pt idx="5">
                  <c:v>FY29</c:v>
                </c:pt>
                <c:pt idx="6">
                  <c:v>FY30</c:v>
                </c:pt>
                <c:pt idx="7">
                  <c:v>FY31</c:v>
                </c:pt>
                <c:pt idx="8">
                  <c:v>FY32</c:v>
                </c:pt>
                <c:pt idx="9">
                  <c:v>FY33</c:v>
                </c:pt>
                <c:pt idx="10">
                  <c:v>FY34</c:v>
                </c:pt>
                <c:pt idx="11">
                  <c:v>FY35</c:v>
                </c:pt>
                <c:pt idx="12">
                  <c:v>FY36</c:v>
                </c:pt>
                <c:pt idx="13">
                  <c:v>FY37</c:v>
                </c:pt>
                <c:pt idx="14">
                  <c:v>FY38</c:v>
                </c:pt>
                <c:pt idx="15">
                  <c:v>FY39</c:v>
                </c:pt>
                <c:pt idx="16">
                  <c:v>FY40</c:v>
                </c:pt>
                <c:pt idx="17">
                  <c:v>FY41</c:v>
                </c:pt>
                <c:pt idx="18">
                  <c:v>FY42</c:v>
                </c:pt>
                <c:pt idx="19">
                  <c:v>FY43</c:v>
                </c:pt>
              </c:strCache>
            </c:strRef>
          </c:cat>
          <c:val>
            <c:numRef>
              <c:f>'GYG network model'!$O$13:$AH$13</c:f>
              <c:numCache>
                <c:formatCode>General</c:formatCode>
                <c:ptCount val="20"/>
                <c:pt idx="0">
                  <c:v>64</c:v>
                </c:pt>
                <c:pt idx="1">
                  <c:v>81</c:v>
                </c:pt>
                <c:pt idx="2">
                  <c:v>93</c:v>
                </c:pt>
                <c:pt idx="3">
                  <c:v>107</c:v>
                </c:pt>
                <c:pt idx="4">
                  <c:v>123</c:v>
                </c:pt>
                <c:pt idx="5">
                  <c:v>139</c:v>
                </c:pt>
                <c:pt idx="6">
                  <c:v>153</c:v>
                </c:pt>
                <c:pt idx="7">
                  <c:v>167</c:v>
                </c:pt>
                <c:pt idx="8">
                  <c:v>181</c:v>
                </c:pt>
                <c:pt idx="9">
                  <c:v>195</c:v>
                </c:pt>
                <c:pt idx="10">
                  <c:v>207</c:v>
                </c:pt>
                <c:pt idx="11">
                  <c:v>219</c:v>
                </c:pt>
                <c:pt idx="12">
                  <c:v>231</c:v>
                </c:pt>
                <c:pt idx="13">
                  <c:v>241</c:v>
                </c:pt>
                <c:pt idx="14">
                  <c:v>251</c:v>
                </c:pt>
                <c:pt idx="15">
                  <c:v>261</c:v>
                </c:pt>
                <c:pt idx="16">
                  <c:v>269</c:v>
                </c:pt>
                <c:pt idx="17">
                  <c:v>277</c:v>
                </c:pt>
                <c:pt idx="18">
                  <c:v>285</c:v>
                </c:pt>
                <c:pt idx="19">
                  <c:v>291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2C0-40EA-9744-0A24E9C155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05310391"/>
        <c:axId val="705304271"/>
      </c:barChart>
      <c:catAx>
        <c:axId val="7053103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5304271"/>
        <c:crosses val="autoZero"/>
        <c:auto val="1"/>
        <c:lblAlgn val="ctr"/>
        <c:lblOffset val="100"/>
        <c:noMultiLvlLbl val="0"/>
      </c:catAx>
      <c:valAx>
        <c:axId val="705304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53103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Network -</a:t>
            </a:r>
            <a:r>
              <a:rPr lang="en-AU" baseline="0"/>
              <a:t> Franchised v Corporate</a:t>
            </a:r>
            <a:endParaRPr lang="en-A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U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'GYG network model'!$E$44</c:f>
              <c:strCache>
                <c:ptCount val="1"/>
                <c:pt idx="0">
                  <c:v>Franchised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'GYG network model'!$O$23:$AH$23</c:f>
              <c:strCache>
                <c:ptCount val="20"/>
                <c:pt idx="0">
                  <c:v>FY24</c:v>
                </c:pt>
                <c:pt idx="1">
                  <c:v>FY25</c:v>
                </c:pt>
                <c:pt idx="2">
                  <c:v>FY26</c:v>
                </c:pt>
                <c:pt idx="3">
                  <c:v>FY27</c:v>
                </c:pt>
                <c:pt idx="4">
                  <c:v>FY28</c:v>
                </c:pt>
                <c:pt idx="5">
                  <c:v>FY29</c:v>
                </c:pt>
                <c:pt idx="6">
                  <c:v>FY30</c:v>
                </c:pt>
                <c:pt idx="7">
                  <c:v>FY31</c:v>
                </c:pt>
                <c:pt idx="8">
                  <c:v>FY32</c:v>
                </c:pt>
                <c:pt idx="9">
                  <c:v>FY33</c:v>
                </c:pt>
                <c:pt idx="10">
                  <c:v>FY34</c:v>
                </c:pt>
                <c:pt idx="11">
                  <c:v>FY35</c:v>
                </c:pt>
                <c:pt idx="12">
                  <c:v>FY36</c:v>
                </c:pt>
                <c:pt idx="13">
                  <c:v>FY37</c:v>
                </c:pt>
                <c:pt idx="14">
                  <c:v>FY38</c:v>
                </c:pt>
                <c:pt idx="15">
                  <c:v>FY39</c:v>
                </c:pt>
                <c:pt idx="16">
                  <c:v>FY40</c:v>
                </c:pt>
                <c:pt idx="17">
                  <c:v>FY41</c:v>
                </c:pt>
                <c:pt idx="18">
                  <c:v>FY42</c:v>
                </c:pt>
                <c:pt idx="19">
                  <c:v>FY43</c:v>
                </c:pt>
              </c:strCache>
            </c:strRef>
          </c:cat>
          <c:val>
            <c:numRef>
              <c:f>'GYG network model'!$O$44:$AH$44</c:f>
              <c:numCache>
                <c:formatCode>0%</c:formatCode>
                <c:ptCount val="20"/>
                <c:pt idx="0">
                  <c:v>0.67179487179487174</c:v>
                </c:pt>
                <c:pt idx="1">
                  <c:v>0.64</c:v>
                </c:pt>
                <c:pt idx="2">
                  <c:v>0.63813229571984431</c:v>
                </c:pt>
                <c:pt idx="3">
                  <c:v>0.63356164383561642</c:v>
                </c:pt>
                <c:pt idx="4">
                  <c:v>0.62951807228915657</c:v>
                </c:pt>
                <c:pt idx="5">
                  <c:v>0.62634408602150538</c:v>
                </c:pt>
                <c:pt idx="6">
                  <c:v>0.62407862407862413</c:v>
                </c:pt>
                <c:pt idx="7">
                  <c:v>0.62217194570135748</c:v>
                </c:pt>
                <c:pt idx="8">
                  <c:v>0.6205450733752621</c:v>
                </c:pt>
                <c:pt idx="9">
                  <c:v>0.619140625</c:v>
                </c:pt>
                <c:pt idx="10">
                  <c:v>0.61808118081180807</c:v>
                </c:pt>
                <c:pt idx="11">
                  <c:v>0.61713286713286708</c:v>
                </c:pt>
                <c:pt idx="12">
                  <c:v>0.61627906976744184</c:v>
                </c:pt>
                <c:pt idx="13">
                  <c:v>0.61562998405103664</c:v>
                </c:pt>
                <c:pt idx="14">
                  <c:v>0.61503067484662577</c:v>
                </c:pt>
                <c:pt idx="15">
                  <c:v>0.61447562776957165</c:v>
                </c:pt>
                <c:pt idx="16">
                  <c:v>0.61406025824964128</c:v>
                </c:pt>
                <c:pt idx="17">
                  <c:v>0.61366806136680618</c:v>
                </c:pt>
                <c:pt idx="18">
                  <c:v>0.61329715061058343</c:v>
                </c:pt>
                <c:pt idx="19">
                  <c:v>0.61303191489361697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7A-43CF-9FFB-215233CC2891}"/>
            </c:ext>
          </c:extLst>
        </c:ser>
        <c:ser>
          <c:idx val="1"/>
          <c:order val="1"/>
          <c:tx>
            <c:strRef>
              <c:f>'GYG network model'!$E$45</c:f>
              <c:strCache>
                <c:ptCount val="1"/>
                <c:pt idx="0">
                  <c:v>Corporate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'GYG network model'!$O$23:$AH$23</c:f>
              <c:strCache>
                <c:ptCount val="20"/>
                <c:pt idx="0">
                  <c:v>FY24</c:v>
                </c:pt>
                <c:pt idx="1">
                  <c:v>FY25</c:v>
                </c:pt>
                <c:pt idx="2">
                  <c:v>FY26</c:v>
                </c:pt>
                <c:pt idx="3">
                  <c:v>FY27</c:v>
                </c:pt>
                <c:pt idx="4">
                  <c:v>FY28</c:v>
                </c:pt>
                <c:pt idx="5">
                  <c:v>FY29</c:v>
                </c:pt>
                <c:pt idx="6">
                  <c:v>FY30</c:v>
                </c:pt>
                <c:pt idx="7">
                  <c:v>FY31</c:v>
                </c:pt>
                <c:pt idx="8">
                  <c:v>FY32</c:v>
                </c:pt>
                <c:pt idx="9">
                  <c:v>FY33</c:v>
                </c:pt>
                <c:pt idx="10">
                  <c:v>FY34</c:v>
                </c:pt>
                <c:pt idx="11">
                  <c:v>FY35</c:v>
                </c:pt>
                <c:pt idx="12">
                  <c:v>FY36</c:v>
                </c:pt>
                <c:pt idx="13">
                  <c:v>FY37</c:v>
                </c:pt>
                <c:pt idx="14">
                  <c:v>FY38</c:v>
                </c:pt>
                <c:pt idx="15">
                  <c:v>FY39</c:v>
                </c:pt>
                <c:pt idx="16">
                  <c:v>FY40</c:v>
                </c:pt>
                <c:pt idx="17">
                  <c:v>FY41</c:v>
                </c:pt>
                <c:pt idx="18">
                  <c:v>FY42</c:v>
                </c:pt>
                <c:pt idx="19">
                  <c:v>FY43</c:v>
                </c:pt>
              </c:strCache>
            </c:strRef>
          </c:cat>
          <c:val>
            <c:numRef>
              <c:f>'GYG network model'!$O$45:$AH$45</c:f>
              <c:numCache>
                <c:formatCode>0%</c:formatCode>
                <c:ptCount val="20"/>
                <c:pt idx="0">
                  <c:v>0.3282051282051282</c:v>
                </c:pt>
                <c:pt idx="1">
                  <c:v>0.36</c:v>
                </c:pt>
                <c:pt idx="2">
                  <c:v>0.36186770428015563</c:v>
                </c:pt>
                <c:pt idx="3">
                  <c:v>0.36643835616438358</c:v>
                </c:pt>
                <c:pt idx="4">
                  <c:v>0.37048192771084337</c:v>
                </c:pt>
                <c:pt idx="5">
                  <c:v>0.37365591397849462</c:v>
                </c:pt>
                <c:pt idx="6">
                  <c:v>0.37592137592137592</c:v>
                </c:pt>
                <c:pt idx="7">
                  <c:v>0.37782805429864252</c:v>
                </c:pt>
                <c:pt idx="8">
                  <c:v>0.37945492662473795</c:v>
                </c:pt>
                <c:pt idx="9">
                  <c:v>0.380859375</c:v>
                </c:pt>
                <c:pt idx="10">
                  <c:v>0.38191881918819187</c:v>
                </c:pt>
                <c:pt idx="11">
                  <c:v>0.38286713286713286</c:v>
                </c:pt>
                <c:pt idx="12">
                  <c:v>0.38372093023255816</c:v>
                </c:pt>
                <c:pt idx="13">
                  <c:v>0.38437001594896331</c:v>
                </c:pt>
                <c:pt idx="14">
                  <c:v>0.38496932515337423</c:v>
                </c:pt>
                <c:pt idx="15">
                  <c:v>0.38552437223042835</c:v>
                </c:pt>
                <c:pt idx="16">
                  <c:v>0.38593974175035867</c:v>
                </c:pt>
                <c:pt idx="17">
                  <c:v>0.38633193863319387</c:v>
                </c:pt>
                <c:pt idx="18">
                  <c:v>0.38670284938941657</c:v>
                </c:pt>
                <c:pt idx="19">
                  <c:v>0.38696808510638298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7A-43CF-9FFB-215233CC28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75672983"/>
        <c:axId val="475673343"/>
      </c:barChart>
      <c:catAx>
        <c:axId val="475672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5673343"/>
        <c:crosses val="autoZero"/>
        <c:auto val="1"/>
        <c:lblAlgn val="ctr"/>
        <c:lblOffset val="100"/>
        <c:noMultiLvlLbl val="0"/>
      </c:catAx>
      <c:valAx>
        <c:axId val="475673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56729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705088947214931"/>
          <c:y val="0.10291957255343082"/>
          <c:w val="0.87709864391951009"/>
          <c:h val="0.68849606299212596"/>
        </c:manualLayout>
      </c:layout>
      <c:barChart>
        <c:barDir val="col"/>
        <c:grouping val="clustered"/>
        <c:varyColors val="0"/>
        <c:ser>
          <c:idx val="0"/>
          <c:order val="0"/>
          <c:tx>
            <c:v>MSe underlying</c:v>
          </c:tx>
          <c:spPr>
            <a:solidFill>
              <a:srgbClr val="005AA4"/>
            </a:solidFill>
          </c:spPr>
          <c:invertIfNegative val="0"/>
          <c:cat>
            <c:strRef>
              <c:f>'GYG network model'!$P$4:$AI$4</c:f>
              <c:strCache>
                <c:ptCount val="20"/>
                <c:pt idx="0">
                  <c:v>FY25</c:v>
                </c:pt>
                <c:pt idx="1">
                  <c:v>FY26</c:v>
                </c:pt>
                <c:pt idx="2">
                  <c:v>FY27</c:v>
                </c:pt>
                <c:pt idx="3">
                  <c:v>FY28</c:v>
                </c:pt>
                <c:pt idx="4">
                  <c:v>FY29</c:v>
                </c:pt>
                <c:pt idx="5">
                  <c:v>FY30</c:v>
                </c:pt>
                <c:pt idx="6">
                  <c:v>FY31</c:v>
                </c:pt>
                <c:pt idx="7">
                  <c:v>FY32</c:v>
                </c:pt>
                <c:pt idx="8">
                  <c:v>FY33</c:v>
                </c:pt>
                <c:pt idx="9">
                  <c:v>FY34</c:v>
                </c:pt>
                <c:pt idx="10">
                  <c:v>FY35</c:v>
                </c:pt>
                <c:pt idx="11">
                  <c:v>FY36</c:v>
                </c:pt>
                <c:pt idx="12">
                  <c:v>FY37</c:v>
                </c:pt>
                <c:pt idx="13">
                  <c:v>FY38</c:v>
                </c:pt>
                <c:pt idx="14">
                  <c:v>FY39</c:v>
                </c:pt>
                <c:pt idx="15">
                  <c:v>FY40</c:v>
                </c:pt>
                <c:pt idx="16">
                  <c:v>FY41</c:v>
                </c:pt>
                <c:pt idx="17">
                  <c:v>FY42</c:v>
                </c:pt>
                <c:pt idx="18">
                  <c:v>FY43</c:v>
                </c:pt>
                <c:pt idx="19">
                  <c:v>FY44</c:v>
                </c:pt>
              </c:strCache>
            </c:strRef>
          </c:cat>
          <c:val>
            <c:numRef>
              <c:f>'GYG network model'!$P$19:$AI$19</c:f>
              <c:numCache>
                <c:formatCode>General</c:formatCode>
                <c:ptCount val="20"/>
                <c:pt idx="0">
                  <c:v>225</c:v>
                </c:pt>
                <c:pt idx="1">
                  <c:v>257</c:v>
                </c:pt>
                <c:pt idx="2">
                  <c:v>292</c:v>
                </c:pt>
                <c:pt idx="3">
                  <c:v>332</c:v>
                </c:pt>
                <c:pt idx="4">
                  <c:v>372</c:v>
                </c:pt>
                <c:pt idx="5">
                  <c:v>407</c:v>
                </c:pt>
                <c:pt idx="6">
                  <c:v>442</c:v>
                </c:pt>
                <c:pt idx="7">
                  <c:v>477</c:v>
                </c:pt>
                <c:pt idx="8">
                  <c:v>512</c:v>
                </c:pt>
                <c:pt idx="9">
                  <c:v>542</c:v>
                </c:pt>
                <c:pt idx="10">
                  <c:v>572</c:v>
                </c:pt>
                <c:pt idx="11">
                  <c:v>602</c:v>
                </c:pt>
                <c:pt idx="12">
                  <c:v>627</c:v>
                </c:pt>
                <c:pt idx="13">
                  <c:v>652</c:v>
                </c:pt>
                <c:pt idx="14">
                  <c:v>677</c:v>
                </c:pt>
                <c:pt idx="15">
                  <c:v>697</c:v>
                </c:pt>
                <c:pt idx="16">
                  <c:v>717</c:v>
                </c:pt>
                <c:pt idx="17">
                  <c:v>737</c:v>
                </c:pt>
                <c:pt idx="18">
                  <c:v>752</c:v>
                </c:pt>
                <c:pt idx="19">
                  <c:v>767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86-40E6-AB69-0F3E6B25B2A9}"/>
            </c:ext>
          </c:extLst>
        </c:ser>
        <c:ser>
          <c:idx val="1"/>
          <c:order val="1"/>
          <c:tx>
            <c:v>Scenerio where Tgt achieved in 20 years</c:v>
          </c:tx>
          <c:invertIfNegative val="0"/>
          <c:cat>
            <c:strRef>
              <c:f>'GYG network model'!$P$4:$AI$4</c:f>
              <c:strCache>
                <c:ptCount val="20"/>
                <c:pt idx="0">
                  <c:v>FY25</c:v>
                </c:pt>
                <c:pt idx="1">
                  <c:v>FY26</c:v>
                </c:pt>
                <c:pt idx="2">
                  <c:v>FY27</c:v>
                </c:pt>
                <c:pt idx="3">
                  <c:v>FY28</c:v>
                </c:pt>
                <c:pt idx="4">
                  <c:v>FY29</c:v>
                </c:pt>
                <c:pt idx="5">
                  <c:v>FY30</c:v>
                </c:pt>
                <c:pt idx="6">
                  <c:v>FY31</c:v>
                </c:pt>
                <c:pt idx="7">
                  <c:v>FY32</c:v>
                </c:pt>
                <c:pt idx="8">
                  <c:v>FY33</c:v>
                </c:pt>
                <c:pt idx="9">
                  <c:v>FY34</c:v>
                </c:pt>
                <c:pt idx="10">
                  <c:v>FY35</c:v>
                </c:pt>
                <c:pt idx="11">
                  <c:v>FY36</c:v>
                </c:pt>
                <c:pt idx="12">
                  <c:v>FY37</c:v>
                </c:pt>
                <c:pt idx="13">
                  <c:v>FY38</c:v>
                </c:pt>
                <c:pt idx="14">
                  <c:v>FY39</c:v>
                </c:pt>
                <c:pt idx="15">
                  <c:v>FY40</c:v>
                </c:pt>
                <c:pt idx="16">
                  <c:v>FY41</c:v>
                </c:pt>
                <c:pt idx="17">
                  <c:v>FY42</c:v>
                </c:pt>
                <c:pt idx="18">
                  <c:v>FY43</c:v>
                </c:pt>
                <c:pt idx="19">
                  <c:v>FY44</c:v>
                </c:pt>
              </c:strCache>
            </c:strRef>
          </c:cat>
          <c:val>
            <c:numRef>
              <c:f>'GYG network model'!$AM$5:$BF$5</c:f>
              <c:numCache>
                <c:formatCode>General</c:formatCode>
                <c:ptCount val="20"/>
                <c:pt idx="0">
                  <c:v>225</c:v>
                </c:pt>
                <c:pt idx="1">
                  <c:v>257</c:v>
                </c:pt>
                <c:pt idx="2">
                  <c:v>292</c:v>
                </c:pt>
                <c:pt idx="3">
                  <c:v>332</c:v>
                </c:pt>
                <c:pt idx="4">
                  <c:v>372</c:v>
                </c:pt>
                <c:pt idx="5">
                  <c:v>417</c:v>
                </c:pt>
                <c:pt idx="6">
                  <c:v>462</c:v>
                </c:pt>
                <c:pt idx="7">
                  <c:v>507</c:v>
                </c:pt>
                <c:pt idx="8">
                  <c:v>552</c:v>
                </c:pt>
                <c:pt idx="9">
                  <c:v>597</c:v>
                </c:pt>
                <c:pt idx="10">
                  <c:v>642</c:v>
                </c:pt>
                <c:pt idx="11">
                  <c:v>687</c:v>
                </c:pt>
                <c:pt idx="12">
                  <c:v>727</c:v>
                </c:pt>
                <c:pt idx="13">
                  <c:v>767</c:v>
                </c:pt>
                <c:pt idx="14">
                  <c:v>807</c:v>
                </c:pt>
                <c:pt idx="15">
                  <c:v>847</c:v>
                </c:pt>
                <c:pt idx="16">
                  <c:v>887</c:v>
                </c:pt>
                <c:pt idx="17">
                  <c:v>927</c:v>
                </c:pt>
                <c:pt idx="18">
                  <c:v>967</c:v>
                </c:pt>
                <c:pt idx="19">
                  <c:v>1007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3610-4326-8396-054407316C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3332096"/>
        <c:axId val="253618432"/>
      </c:barChart>
      <c:dateAx>
        <c:axId val="233332096"/>
        <c:scaling>
          <c:orientation val="minMax"/>
        </c:scaling>
        <c:delete val="0"/>
        <c:axPos val="b"/>
        <c:numFmt formatCode="yyyy" sourceLinked="0"/>
        <c:majorTickMark val="none"/>
        <c:minorTickMark val="none"/>
        <c:tickLblPos val="nextTo"/>
        <c:spPr>
          <a:ln w="15875">
            <a:solidFill>
              <a:srgbClr val="808080"/>
            </a:solidFill>
          </a:ln>
        </c:spPr>
        <c:txPr>
          <a:bodyPr/>
          <a:lstStyle/>
          <a:p>
            <a:pPr>
              <a:defRPr sz="700"/>
            </a:pPr>
            <a:endParaRPr lang="en-US"/>
          </a:p>
        </c:txPr>
        <c:crossAx val="253618432"/>
        <c:crosses val="autoZero"/>
        <c:auto val="0"/>
        <c:lblOffset val="100"/>
        <c:baseTimeUnit val="days"/>
      </c:dateAx>
      <c:valAx>
        <c:axId val="253618432"/>
        <c:scaling>
          <c:orientation val="minMax"/>
          <c:max val="1000"/>
        </c:scaling>
        <c:delete val="0"/>
        <c:axPos val="l"/>
        <c:majorGridlines>
          <c:spPr>
            <a:ln>
              <a:noFill/>
            </a:ln>
          </c:spPr>
        </c:majorGridlines>
        <c:numFmt formatCode="General" sourceLinked="1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700"/>
            </a:pPr>
            <a:endParaRPr lang="en-US"/>
          </a:p>
        </c:txPr>
        <c:crossAx val="233332096"/>
        <c:crosses val="autoZero"/>
        <c:crossBetween val="between"/>
      </c:valAx>
      <c:spPr>
        <a:noFill/>
        <a:extLst>
          <a:ext uri="{909E8E84-426E-40DD-AFC4-6F175D3DCCD1}">
            <a14:hiddenFill xmlns:a14="http://schemas.microsoft.com/office/drawing/2010/main">
              <a:solidFill>
                <a:sysClr val="window" lastClr="FFFFFF"/>
              </a:solidFill>
            </a14:hiddenFill>
          </a:ext>
        </a:extLst>
      </c:spPr>
    </c:plotArea>
    <c:legend>
      <c:legendPos val="t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  <c:extLst/>
  </c:chart>
  <c:spPr>
    <a:solidFill>
      <a:srgbClr val="FFFFFF"/>
    </a:solidFill>
    <a:ln>
      <a:noFill/>
    </a:ln>
  </c:spPr>
  <c:txPr>
    <a:bodyPr/>
    <a:lstStyle/>
    <a:p>
      <a:pPr>
        <a:defRPr sz="900">
          <a:latin typeface="Roboto Condensed" panose="02000000000000000000" pitchFamily="2" charset="0"/>
          <a:ea typeface="Roboto Condensed" panose="02000000000000000000" pitchFamily="2" charset="0"/>
          <a:cs typeface="Arial" pitchFamily="34" charset="0"/>
        </a:defRPr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xMode val="edge"/>
          <c:yMode val="edge"/>
          <c:x val="1.7094017094017096E-2"/>
          <c:y val="8.0337552742616031E-2"/>
          <c:w val="0.98290598290598286"/>
          <c:h val="0.85400843881856536"/>
        </c:manualLayout>
      </c:layout>
      <c:barChart>
        <c:barDir val="col"/>
        <c:grouping val="stacked"/>
        <c:varyColors val="0"/>
        <c:ser>
          <c:idx val="0"/>
          <c:order val="0"/>
          <c:tx>
            <c:v>Drive thru</c:v>
          </c:tx>
          <c:spPr>
            <a:solidFill>
              <a:srgbClr val="005AA4"/>
            </a:solidFill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D9F63B05-09B8-4EF1-AAC1-8E50104F530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8AB9-4E29-BBA1-5F10BBA414C3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8F21CD29-BA93-4C66-B286-D0AFBE931D8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8AB9-4E29-BBA1-5F10BBA414C3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4E2E2733-94E4-47E6-BB71-DBABFB553D8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8AB9-4E29-BBA1-5F10BBA414C3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A1F47D28-0948-4A08-B6F3-F7C632C0DB6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8AB9-4E29-BBA1-5F10BBA414C3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347942F4-EA2F-44CC-AAAC-D8C3C77B838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8AB9-4E29-BBA1-5F10BBA414C3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9BCA2775-B266-4A06-83AE-612C67C52B0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8AB9-4E29-BBA1-5F10BBA414C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cat>
            <c:strRef>
              <c:f>'GYG network model'!$O$1:$T$1</c:f>
              <c:strCache>
                <c:ptCount val="6"/>
                <c:pt idx="0">
                  <c:v>FY24</c:v>
                </c:pt>
                <c:pt idx="1">
                  <c:v>FY25e</c:v>
                </c:pt>
                <c:pt idx="2">
                  <c:v>FY26e</c:v>
                </c:pt>
                <c:pt idx="3">
                  <c:v>FY27e</c:v>
                </c:pt>
                <c:pt idx="4">
                  <c:v>FY28e</c:v>
                </c:pt>
                <c:pt idx="5">
                  <c:v>FY29e</c:v>
                </c:pt>
              </c:strCache>
            </c:strRef>
          </c:cat>
          <c:val>
            <c:numRef>
              <c:f>'GYG network model'!$O$24:$T$24</c:f>
              <c:numCache>
                <c:formatCode>General</c:formatCode>
                <c:ptCount val="6"/>
                <c:pt idx="0">
                  <c:v>93</c:v>
                </c:pt>
                <c:pt idx="1">
                  <c:v>113</c:v>
                </c:pt>
                <c:pt idx="2">
                  <c:v>137</c:v>
                </c:pt>
                <c:pt idx="3">
                  <c:v>166</c:v>
                </c:pt>
                <c:pt idx="4">
                  <c:v>200</c:v>
                </c:pt>
                <c:pt idx="5">
                  <c:v>234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'GYG network model'!$O$41:$T$41</c15:f>
                <c15:dlblRangeCache>
                  <c:ptCount val="6"/>
                  <c:pt idx="0">
                    <c:v>48%</c:v>
                  </c:pt>
                  <c:pt idx="1">
                    <c:v>50%</c:v>
                  </c:pt>
                  <c:pt idx="2">
                    <c:v>53%</c:v>
                  </c:pt>
                  <c:pt idx="3">
                    <c:v>57%</c:v>
                  </c:pt>
                  <c:pt idx="4">
                    <c:v>60%</c:v>
                  </c:pt>
                  <c:pt idx="5">
                    <c:v>63%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DD45-4B38-AAC4-33A7C1A45B0B}"/>
            </c:ext>
          </c:extLst>
        </c:ser>
        <c:ser>
          <c:idx val="1"/>
          <c:order val="1"/>
          <c:tx>
            <c:v>Strip/other</c:v>
          </c:tx>
          <c:spPr>
            <a:solidFill>
              <a:srgbClr val="D0B86A"/>
            </a:solidFill>
          </c:spPr>
          <c:invertIfNegative val="0"/>
          <c:cat>
            <c:strRef>
              <c:f>'GYG network model'!$O$1:$T$1</c:f>
              <c:strCache>
                <c:ptCount val="6"/>
                <c:pt idx="0">
                  <c:v>FY24</c:v>
                </c:pt>
                <c:pt idx="1">
                  <c:v>FY25e</c:v>
                </c:pt>
                <c:pt idx="2">
                  <c:v>FY26e</c:v>
                </c:pt>
                <c:pt idx="3">
                  <c:v>FY27e</c:v>
                </c:pt>
                <c:pt idx="4">
                  <c:v>FY28e</c:v>
                </c:pt>
                <c:pt idx="5">
                  <c:v>FY29e</c:v>
                </c:pt>
              </c:strCache>
            </c:strRef>
          </c:cat>
          <c:val>
            <c:numRef>
              <c:f>'GYG network model'!$O$28:$T$28</c:f>
              <c:numCache>
                <c:formatCode>General</c:formatCode>
                <c:ptCount val="6"/>
                <c:pt idx="0">
                  <c:v>102</c:v>
                </c:pt>
                <c:pt idx="1">
                  <c:v>112</c:v>
                </c:pt>
                <c:pt idx="2">
                  <c:v>120</c:v>
                </c:pt>
                <c:pt idx="3">
                  <c:v>126</c:v>
                </c:pt>
                <c:pt idx="4">
                  <c:v>132</c:v>
                </c:pt>
                <c:pt idx="5">
                  <c:v>138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D45-4B38-AAC4-33A7C1A45B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6755072"/>
        <c:axId val="96760960"/>
      </c:barChart>
      <c:catAx>
        <c:axId val="9675507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15875" cap="rnd" cmpd="sng" algn="ctr">
            <a:solidFill>
              <a:srgbClr val="808080"/>
            </a:solidFill>
            <a:prstDash val="solid"/>
            <a:round/>
            <a:headEnd type="none" w="med" len="med"/>
            <a:tailEnd type="none" w="med" len="med"/>
          </a:ln>
        </c:spPr>
        <c:crossAx val="96760960"/>
        <c:crosses val="autoZero"/>
        <c:auto val="1"/>
        <c:lblAlgn val="ctr"/>
        <c:lblOffset val="100"/>
        <c:noMultiLvlLbl val="0"/>
      </c:catAx>
      <c:valAx>
        <c:axId val="96760960"/>
        <c:scaling>
          <c:orientation val="minMax"/>
        </c:scaling>
        <c:delete val="0"/>
        <c:axPos val="l"/>
        <c:majorGridlines>
          <c:spPr>
            <a:ln w="6350" cap="rnd" cmpd="sng" algn="ctr">
              <a:noFill/>
              <a:prstDash val="solid"/>
              <a:round/>
              <a:headEnd type="none" w="med" len="med"/>
              <a:tailEnd type="none" w="med" len="med"/>
            </a:ln>
          </c:spPr>
        </c:majorGridlines>
        <c:numFmt formatCode="General" sourceLinked="1"/>
        <c:majorTickMark val="out"/>
        <c:minorTickMark val="none"/>
        <c:tickLblPos val="nextTo"/>
        <c:spPr>
          <a:ln>
            <a:noFill/>
          </a:ln>
        </c:spPr>
        <c:crossAx val="96755072"/>
        <c:crosses val="autoZero"/>
        <c:crossBetween val="between"/>
      </c:valAx>
      <c:spPr>
        <a:noFill/>
        <a:extLst>
          <a:ext uri="{909E8E84-426E-40DD-AFC4-6F175D3DCCD1}">
            <a14:hiddenFill xmlns:a14="http://schemas.microsoft.com/office/drawing/2010/main">
              <a:solidFill>
                <a:sysClr val="window" lastClr="FFFFFF"/>
              </a:solidFill>
            </a14:hiddenFill>
          </a:ext>
        </a:extLst>
      </c:spPr>
    </c:plotArea>
    <c:legend>
      <c:legendPos val="t"/>
      <c:overlay val="0"/>
    </c:legend>
    <c:plotVisOnly val="1"/>
    <c:dispBlanksAs val="gap"/>
    <c:showDLblsOverMax val="0"/>
    <c:extLst/>
  </c:chart>
  <c:spPr>
    <a:solidFill>
      <a:srgbClr val="FFFFFF"/>
    </a:solidFill>
    <a:ln>
      <a:noFill/>
    </a:ln>
  </c:spPr>
  <c:txPr>
    <a:bodyPr/>
    <a:lstStyle/>
    <a:p>
      <a:pPr>
        <a:defRPr sz="900">
          <a:latin typeface="Roboto Condensed" panose="02000000000000000000" pitchFamily="2" charset="0"/>
          <a:ea typeface="Roboto Condensed" panose="02000000000000000000" pitchFamily="2" charset="0"/>
          <a:cs typeface="Arial" pitchFamily="34" charset="0"/>
        </a:defRPr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xMode val="edge"/>
          <c:yMode val="edge"/>
          <c:x val="1.7094017094017096E-2"/>
          <c:y val="8.0337552742616031E-2"/>
          <c:w val="0.98290598290598286"/>
          <c:h val="0.85400843881856536"/>
        </c:manualLayout>
      </c:layout>
      <c:barChart>
        <c:barDir val="col"/>
        <c:grouping val="stacked"/>
        <c:varyColors val="0"/>
        <c:ser>
          <c:idx val="1"/>
          <c:order val="0"/>
          <c:tx>
            <c:v>Franchised EoP</c:v>
          </c:tx>
          <c:spPr>
            <a:solidFill>
              <a:srgbClr val="005AA4"/>
            </a:solidFill>
          </c:spPr>
          <c:invertIfNegative val="0"/>
          <c:cat>
            <c:strRef>
              <c:f>'GYG network model'!$O$1:$T$1</c:f>
              <c:strCache>
                <c:ptCount val="6"/>
                <c:pt idx="0">
                  <c:v>FY24</c:v>
                </c:pt>
                <c:pt idx="1">
                  <c:v>FY25e</c:v>
                </c:pt>
                <c:pt idx="2">
                  <c:v>FY26e</c:v>
                </c:pt>
                <c:pt idx="3">
                  <c:v>FY27e</c:v>
                </c:pt>
                <c:pt idx="4">
                  <c:v>FY28e</c:v>
                </c:pt>
                <c:pt idx="5">
                  <c:v>FY29e</c:v>
                </c:pt>
              </c:strCache>
            </c:strRef>
          </c:cat>
          <c:val>
            <c:numRef>
              <c:f>'GYG network model'!$O$7:$T$7</c:f>
              <c:numCache>
                <c:formatCode>General</c:formatCode>
                <c:ptCount val="6"/>
                <c:pt idx="0">
                  <c:v>131</c:v>
                </c:pt>
                <c:pt idx="1">
                  <c:v>144</c:v>
                </c:pt>
                <c:pt idx="2">
                  <c:v>164</c:v>
                </c:pt>
                <c:pt idx="3">
                  <c:v>185</c:v>
                </c:pt>
                <c:pt idx="4">
                  <c:v>209</c:v>
                </c:pt>
                <c:pt idx="5">
                  <c:v>233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10-4176-ABC7-C2519C24D540}"/>
            </c:ext>
          </c:extLst>
        </c:ser>
        <c:ser>
          <c:idx val="0"/>
          <c:order val="1"/>
          <c:tx>
            <c:v>Corporate EoP</c:v>
          </c:tx>
          <c:spPr>
            <a:solidFill>
              <a:srgbClr val="D0B86A"/>
            </a:solidFill>
          </c:spPr>
          <c:invertIfNegative val="0"/>
          <c:cat>
            <c:strRef>
              <c:f>'GYG network model'!$O$1:$T$1</c:f>
              <c:strCache>
                <c:ptCount val="6"/>
                <c:pt idx="0">
                  <c:v>FY24</c:v>
                </c:pt>
                <c:pt idx="1">
                  <c:v>FY25e</c:v>
                </c:pt>
                <c:pt idx="2">
                  <c:v>FY26e</c:v>
                </c:pt>
                <c:pt idx="3">
                  <c:v>FY27e</c:v>
                </c:pt>
                <c:pt idx="4">
                  <c:v>FY28e</c:v>
                </c:pt>
                <c:pt idx="5">
                  <c:v>FY29e</c:v>
                </c:pt>
              </c:strCache>
            </c:strRef>
          </c:cat>
          <c:val>
            <c:numRef>
              <c:f>'GYG network model'!$O$13:$T$13</c:f>
              <c:numCache>
                <c:formatCode>General</c:formatCode>
                <c:ptCount val="6"/>
                <c:pt idx="0">
                  <c:v>64</c:v>
                </c:pt>
                <c:pt idx="1">
                  <c:v>81</c:v>
                </c:pt>
                <c:pt idx="2">
                  <c:v>93</c:v>
                </c:pt>
                <c:pt idx="3">
                  <c:v>107</c:v>
                </c:pt>
                <c:pt idx="4">
                  <c:v>123</c:v>
                </c:pt>
                <c:pt idx="5">
                  <c:v>139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74-4F70-AD10-4A4154A884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6755072"/>
        <c:axId val="96760960"/>
      </c:barChart>
      <c:lineChart>
        <c:grouping val="standard"/>
        <c:varyColors val="0"/>
        <c:ser>
          <c:idx val="2"/>
          <c:order val="2"/>
          <c:tx>
            <c:v>YoY gth</c:v>
          </c:tx>
          <c:spPr>
            <a:ln>
              <a:solidFill>
                <a:srgbClr val="873246"/>
              </a:solidFill>
            </a:ln>
          </c:spPr>
          <c:marker>
            <c:symbol val="none"/>
          </c:marker>
          <c:cat>
            <c:strRef>
              <c:f>'GYG network model'!$O$1:$T$1</c:f>
              <c:strCache>
                <c:ptCount val="6"/>
                <c:pt idx="0">
                  <c:v>FY24</c:v>
                </c:pt>
                <c:pt idx="1">
                  <c:v>FY25e</c:v>
                </c:pt>
                <c:pt idx="2">
                  <c:v>FY26e</c:v>
                </c:pt>
                <c:pt idx="3">
                  <c:v>FY27e</c:v>
                </c:pt>
                <c:pt idx="4">
                  <c:v>FY28e</c:v>
                </c:pt>
                <c:pt idx="5">
                  <c:v>FY29e</c:v>
                </c:pt>
              </c:strCache>
            </c:strRef>
          </c:cat>
          <c:val>
            <c:numRef>
              <c:f>'GYG network model'!$O$20:$T$20</c:f>
              <c:numCache>
                <c:formatCode>0.0%</c:formatCode>
                <c:ptCount val="6"/>
                <c:pt idx="0">
                  <c:v>0.14035087719298245</c:v>
                </c:pt>
                <c:pt idx="1">
                  <c:v>0.15384615384615374</c:v>
                </c:pt>
                <c:pt idx="2">
                  <c:v>0.14222222222222225</c:v>
                </c:pt>
                <c:pt idx="3">
                  <c:v>0.13618677042801552</c:v>
                </c:pt>
                <c:pt idx="4">
                  <c:v>0.13698630136986312</c:v>
                </c:pt>
                <c:pt idx="5">
                  <c:v>0.12048192771084332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CC-4ECA-ACC9-BB2EE13854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166799"/>
        <c:axId val="486173999"/>
      </c:lineChart>
      <c:catAx>
        <c:axId val="9675507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15875" cap="rnd" cmpd="sng" algn="ctr">
            <a:solidFill>
              <a:srgbClr val="808080"/>
            </a:solidFill>
            <a:prstDash val="solid"/>
            <a:round/>
            <a:headEnd type="none" w="med" len="med"/>
            <a:tailEnd type="none" w="med" len="med"/>
          </a:ln>
        </c:spPr>
        <c:crossAx val="96760960"/>
        <c:crosses val="autoZero"/>
        <c:auto val="1"/>
        <c:lblAlgn val="ctr"/>
        <c:lblOffset val="100"/>
        <c:noMultiLvlLbl val="0"/>
      </c:catAx>
      <c:valAx>
        <c:axId val="96760960"/>
        <c:scaling>
          <c:orientation val="minMax"/>
        </c:scaling>
        <c:delete val="0"/>
        <c:axPos val="l"/>
        <c:majorGridlines>
          <c:spPr>
            <a:ln w="6350" cap="rnd" cmpd="sng" algn="ctr">
              <a:noFill/>
              <a:prstDash val="solid"/>
              <a:round/>
              <a:headEnd type="none" w="med" len="med"/>
              <a:tailEnd type="none" w="med" len="med"/>
            </a:ln>
          </c:spPr>
        </c:majorGridlines>
        <c:numFmt formatCode="General" sourceLinked="1"/>
        <c:majorTickMark val="out"/>
        <c:minorTickMark val="none"/>
        <c:tickLblPos val="nextTo"/>
        <c:spPr>
          <a:ln>
            <a:noFill/>
          </a:ln>
        </c:spPr>
        <c:crossAx val="96755072"/>
        <c:crosses val="autoZero"/>
        <c:crossBetween val="between"/>
      </c:valAx>
      <c:valAx>
        <c:axId val="486173999"/>
        <c:scaling>
          <c:orientation val="minMax"/>
          <c:max val="0.18000000000000002"/>
        </c:scaling>
        <c:delete val="0"/>
        <c:axPos val="r"/>
        <c:numFmt formatCode="0.0%" sourceLinked="1"/>
        <c:majorTickMark val="out"/>
        <c:minorTickMark val="none"/>
        <c:tickLblPos val="nextTo"/>
        <c:crossAx val="486166799"/>
        <c:crosses val="max"/>
        <c:crossBetween val="between"/>
      </c:valAx>
      <c:catAx>
        <c:axId val="48616679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86173999"/>
        <c:crosses val="autoZero"/>
        <c:auto val="1"/>
        <c:lblAlgn val="ctr"/>
        <c:lblOffset val="100"/>
        <c:noMultiLvlLbl val="0"/>
      </c:catAx>
      <c:spPr>
        <a:noFill/>
        <a:extLst>
          <a:ext uri="{909E8E84-426E-40DD-AFC4-6F175D3DCCD1}">
            <a14:hiddenFill xmlns:a14="http://schemas.microsoft.com/office/drawing/2010/main">
              <a:solidFill>
                <a:sysClr val="window" lastClr="FFFFFF"/>
              </a:solidFill>
            </a14:hiddenFill>
          </a:ext>
        </a:extLst>
      </c:spPr>
    </c:plotArea>
    <c:legend>
      <c:legendPos val="t"/>
      <c:layout>
        <c:manualLayout>
          <c:xMode val="edge"/>
          <c:yMode val="edge"/>
          <c:x val="4.9999852870640925E-2"/>
          <c:y val="4.5434300034522916E-2"/>
          <c:w val="0.85141788563340659"/>
          <c:h val="7.3391300822170033E-2"/>
        </c:manualLayout>
      </c:layout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  <c:extLst/>
  </c:chart>
  <c:spPr>
    <a:solidFill>
      <a:srgbClr val="FFFFFF"/>
    </a:solidFill>
    <a:ln>
      <a:noFill/>
    </a:ln>
  </c:spPr>
  <c:txPr>
    <a:bodyPr/>
    <a:lstStyle/>
    <a:p>
      <a:pPr>
        <a:defRPr sz="900">
          <a:latin typeface="Roboto Condensed" panose="02000000000000000000" pitchFamily="2" charset="0"/>
          <a:ea typeface="Roboto Condensed" panose="02000000000000000000" pitchFamily="2" charset="0"/>
          <a:cs typeface="Arial" pitchFamily="34" charset="0"/>
        </a:defRPr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xMode val="edge"/>
          <c:yMode val="edge"/>
          <c:x val="1.7094017094017096E-2"/>
          <c:y val="8.0337552742616031E-2"/>
          <c:w val="0.98290598290598286"/>
          <c:h val="0.85400843881856536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'GYG network model'!$O$146</c:f>
              <c:strCache>
                <c:ptCount val="1"/>
                <c:pt idx="0">
                  <c:v>Aust restaurant CapEx</c:v>
                </c:pt>
              </c:strCache>
            </c:strRef>
          </c:tx>
          <c:spPr>
            <a:solidFill>
              <a:srgbClr val="005AA4"/>
            </a:solidFill>
          </c:spPr>
          <c:invertIfNegative val="0"/>
          <c:cat>
            <c:strRef>
              <c:f>'GYG network model'!$P$141:$T$141</c:f>
              <c:strCache>
                <c:ptCount val="5"/>
                <c:pt idx="0">
                  <c:v>Fy25</c:v>
                </c:pt>
                <c:pt idx="1">
                  <c:v>FY26e</c:v>
                </c:pt>
                <c:pt idx="2">
                  <c:v>FY27e</c:v>
                </c:pt>
                <c:pt idx="3">
                  <c:v>FY28e</c:v>
                </c:pt>
                <c:pt idx="4">
                  <c:v>FY29e</c:v>
                </c:pt>
              </c:strCache>
            </c:strRef>
          </c:cat>
          <c:val>
            <c:numRef>
              <c:f>'GYG network model'!$P$146:$T$146</c:f>
              <c:numCache>
                <c:formatCode>0</c:formatCode>
                <c:ptCount val="5"/>
                <c:pt idx="0">
                  <c:v>35.200000000000003</c:v>
                </c:pt>
                <c:pt idx="1">
                  <c:v>31.973248409569376</c:v>
                </c:pt>
                <c:pt idx="2">
                  <c:v>38.703659868564685</c:v>
                </c:pt>
                <c:pt idx="3">
                  <c:v>45.898268985169913</c:v>
                </c:pt>
                <c:pt idx="4">
                  <c:v>49.024723369651312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45-4B38-AAC4-33A7C1A45B0B}"/>
            </c:ext>
          </c:extLst>
        </c:ser>
        <c:ser>
          <c:idx val="1"/>
          <c:order val="1"/>
          <c:tx>
            <c:strRef>
              <c:f>'GYG network model'!$O$147</c:f>
              <c:strCache>
                <c:ptCount val="1"/>
                <c:pt idx="0">
                  <c:v>US restaurant CapEx</c:v>
                </c:pt>
              </c:strCache>
            </c:strRef>
          </c:tx>
          <c:spPr>
            <a:solidFill>
              <a:srgbClr val="D0B86A"/>
            </a:solidFill>
          </c:spPr>
          <c:invertIfNegative val="0"/>
          <c:cat>
            <c:strRef>
              <c:f>'GYG network model'!$P$141:$T$141</c:f>
              <c:strCache>
                <c:ptCount val="5"/>
                <c:pt idx="0">
                  <c:v>Fy25</c:v>
                </c:pt>
                <c:pt idx="1">
                  <c:v>FY26e</c:v>
                </c:pt>
                <c:pt idx="2">
                  <c:v>FY27e</c:v>
                </c:pt>
                <c:pt idx="3">
                  <c:v>FY28e</c:v>
                </c:pt>
                <c:pt idx="4">
                  <c:v>FY29e</c:v>
                </c:pt>
              </c:strCache>
            </c:strRef>
          </c:cat>
          <c:val>
            <c:numRef>
              <c:f>'GYG network model'!$P$147:$T$147</c:f>
              <c:numCache>
                <c:formatCode>0</c:formatCode>
                <c:ptCount val="5"/>
                <c:pt idx="0">
                  <c:v>13.9</c:v>
                </c:pt>
                <c:pt idx="1">
                  <c:v>8.6</c:v>
                </c:pt>
                <c:pt idx="2">
                  <c:v>17.2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D45-4B38-AAC4-33A7C1A45B0B}"/>
            </c:ext>
          </c:extLst>
        </c:ser>
        <c:ser>
          <c:idx val="2"/>
          <c:order val="2"/>
          <c:tx>
            <c:strRef>
              <c:f>'GYG network model'!$O$148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226B5A"/>
            </a:solidFill>
          </c:spPr>
          <c:invertIfNegative val="0"/>
          <c:cat>
            <c:strRef>
              <c:f>'GYG network model'!$P$141:$T$141</c:f>
              <c:strCache>
                <c:ptCount val="5"/>
                <c:pt idx="0">
                  <c:v>Fy25</c:v>
                </c:pt>
                <c:pt idx="1">
                  <c:v>FY26e</c:v>
                </c:pt>
                <c:pt idx="2">
                  <c:v>FY27e</c:v>
                </c:pt>
                <c:pt idx="3">
                  <c:v>FY28e</c:v>
                </c:pt>
                <c:pt idx="4">
                  <c:v>FY29e</c:v>
                </c:pt>
              </c:strCache>
            </c:strRef>
          </c:cat>
          <c:val>
            <c:numRef>
              <c:f>'GYG network model'!$P$148:$T$148</c:f>
              <c:numCache>
                <c:formatCode>0</c:formatCode>
                <c:ptCount val="5"/>
                <c:pt idx="0">
                  <c:v>10.699999999999996</c:v>
                </c:pt>
                <c:pt idx="1">
                  <c:v>14.175816139818794</c:v>
                </c:pt>
                <c:pt idx="2">
                  <c:v>17.118042306670752</c:v>
                </c:pt>
                <c:pt idx="3">
                  <c:v>20.668682206556941</c:v>
                </c:pt>
                <c:pt idx="4">
                  <c:v>24.758248292197894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D45-4B38-AAC4-33A7C1A45B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6755072"/>
        <c:axId val="96760960"/>
      </c:barChart>
      <c:catAx>
        <c:axId val="9675507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15875" cap="rnd" cmpd="sng" algn="ctr">
            <a:solidFill>
              <a:srgbClr val="808080"/>
            </a:solidFill>
            <a:prstDash val="solid"/>
            <a:round/>
            <a:headEnd type="none" w="med" len="med"/>
            <a:tailEnd type="none" w="med" len="med"/>
          </a:ln>
        </c:spPr>
        <c:crossAx val="96760960"/>
        <c:crosses val="autoZero"/>
        <c:auto val="1"/>
        <c:lblAlgn val="ctr"/>
        <c:lblOffset val="100"/>
        <c:noMultiLvlLbl val="0"/>
      </c:catAx>
      <c:valAx>
        <c:axId val="96760960"/>
        <c:scaling>
          <c:orientation val="minMax"/>
        </c:scaling>
        <c:delete val="0"/>
        <c:axPos val="l"/>
        <c:majorGridlines>
          <c:spPr>
            <a:ln w="6350" cap="rnd" cmpd="sng" algn="ctr">
              <a:noFill/>
              <a:prstDash val="solid"/>
              <a:round/>
              <a:headEnd type="none" w="med" len="med"/>
              <a:tailEnd type="none" w="med" len="med"/>
            </a:ln>
          </c:spPr>
        </c:majorGridlines>
        <c:numFmt formatCode="0" sourceLinked="1"/>
        <c:majorTickMark val="out"/>
        <c:minorTickMark val="none"/>
        <c:tickLblPos val="nextTo"/>
        <c:spPr>
          <a:ln>
            <a:noFill/>
          </a:ln>
        </c:spPr>
        <c:crossAx val="96755072"/>
        <c:crosses val="autoZero"/>
        <c:crossBetween val="between"/>
      </c:valAx>
      <c:spPr>
        <a:noFill/>
        <a:extLst>
          <a:ext uri="{909E8E84-426E-40DD-AFC4-6F175D3DCCD1}">
            <a14:hiddenFill xmlns:a14="http://schemas.microsoft.com/office/drawing/2010/main">
              <a:solidFill>
                <a:sysClr val="window" lastClr="FFFFFF"/>
              </a:solidFill>
            </a14:hiddenFill>
          </a:ext>
        </a:extLst>
      </c:spPr>
    </c:plotArea>
    <c:legend>
      <c:legendPos val="t"/>
      <c:layout>
        <c:manualLayout>
          <c:xMode val="edge"/>
          <c:yMode val="edge"/>
          <c:x val="9.6367851622874812E-2"/>
          <c:y val="4.3739284018916955E-2"/>
          <c:w val="0.8536321483771252"/>
          <c:h val="0.12168245853808618"/>
        </c:manualLayout>
      </c:layout>
      <c:overlay val="0"/>
      <c:spPr>
        <a:solidFill>
          <a:srgbClr val="FFFFFF"/>
        </a:solidFill>
      </c:spPr>
    </c:legend>
    <c:plotVisOnly val="1"/>
    <c:dispBlanksAs val="gap"/>
    <c:showDLblsOverMax val="0"/>
    <c:extLst/>
  </c:chart>
  <c:spPr>
    <a:solidFill>
      <a:srgbClr val="FFFFFF"/>
    </a:solidFill>
    <a:ln>
      <a:noFill/>
    </a:ln>
  </c:spPr>
  <c:txPr>
    <a:bodyPr/>
    <a:lstStyle/>
    <a:p>
      <a:pPr>
        <a:defRPr sz="900">
          <a:latin typeface="Roboto Condensed" panose="02000000000000000000" pitchFamily="2" charset="0"/>
          <a:ea typeface="Roboto Condensed" panose="02000000000000000000" pitchFamily="2" charset="0"/>
          <a:cs typeface="Arial" pitchFamily="34" charset="0"/>
        </a:defRPr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gif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.xml"/><Relationship Id="rId3" Type="http://schemas.openxmlformats.org/officeDocument/2006/relationships/image" Target="../media/image6.png"/><Relationship Id="rId7" Type="http://schemas.openxmlformats.org/officeDocument/2006/relationships/image" Target="../media/image10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6" Type="http://schemas.openxmlformats.org/officeDocument/2006/relationships/image" Target="../media/image9.png"/><Relationship Id="rId11" Type="http://schemas.openxmlformats.org/officeDocument/2006/relationships/chart" Target="../charts/chart4.xml"/><Relationship Id="rId5" Type="http://schemas.openxmlformats.org/officeDocument/2006/relationships/image" Target="../media/image8.png"/><Relationship Id="rId10" Type="http://schemas.openxmlformats.org/officeDocument/2006/relationships/chart" Target="../charts/chart3.xml"/><Relationship Id="rId4" Type="http://schemas.openxmlformats.org/officeDocument/2006/relationships/image" Target="../media/image7.png"/><Relationship Id="rId9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1.xml"/><Relationship Id="rId3" Type="http://schemas.openxmlformats.org/officeDocument/2006/relationships/chart" Target="../charts/chart6.xml"/><Relationship Id="rId7" Type="http://schemas.openxmlformats.org/officeDocument/2006/relationships/chart" Target="../charts/chart10.xml"/><Relationship Id="rId2" Type="http://schemas.openxmlformats.org/officeDocument/2006/relationships/chart" Target="../charts/chart5.xml"/><Relationship Id="rId1" Type="http://schemas.openxmlformats.org/officeDocument/2006/relationships/image" Target="../media/image11.png"/><Relationship Id="rId6" Type="http://schemas.openxmlformats.org/officeDocument/2006/relationships/chart" Target="../charts/chart9.xml"/><Relationship Id="rId5" Type="http://schemas.openxmlformats.org/officeDocument/2006/relationships/chart" Target="../charts/chart8.xml"/><Relationship Id="rId4" Type="http://schemas.openxmlformats.org/officeDocument/2006/relationships/chart" Target="../charts/chart7.xml"/><Relationship Id="rId9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63500</xdr:colOff>
      <xdr:row>0</xdr:row>
      <xdr:rowOff>0</xdr:rowOff>
    </xdr:from>
    <xdr:to>
      <xdr:col>2</xdr:col>
      <xdr:colOff>330418</xdr:colOff>
      <xdr:row>1</xdr:row>
      <xdr:rowOff>41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3A3E770-5BEE-4ECE-2E70-A5534B36DAD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0"/>
          <a:ext cx="1562318" cy="295316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127000</xdr:colOff>
      <xdr:row>187</xdr:row>
      <xdr:rowOff>0</xdr:rowOff>
    </xdr:from>
    <xdr:to>
      <xdr:col>10</xdr:col>
      <xdr:colOff>146050</xdr:colOff>
      <xdr:row>207</xdr:row>
      <xdr:rowOff>95250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779AB58-2455-DA02-0436-3DBCF2A9306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0" y="34109025"/>
          <a:ext cx="6496050" cy="37147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15572</xdr:colOff>
      <xdr:row>6</xdr:row>
      <xdr:rowOff>62011</xdr:rowOff>
    </xdr:from>
    <xdr:to>
      <xdr:col>2</xdr:col>
      <xdr:colOff>703880</xdr:colOff>
      <xdr:row>13</xdr:row>
      <xdr:rowOff>81016</xdr:rowOff>
    </xdr:to>
    <xdr:pic>
      <xdr:nvPicPr>
        <xdr:cNvPr id="3" name="Picture 2" descr="undefined">
          <a:extLst>
            <a:ext uri="{FF2B5EF4-FFF2-40B4-BE49-F238E27FC236}">
              <a16:creationId xmlns:a16="http://schemas.microsoft.com/office/drawing/2014/main" id="{69DA7A47-BE8B-9292-6F75-75880B0A45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172" y="1281211"/>
          <a:ext cx="1296394" cy="1317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74</xdr:col>
      <xdr:colOff>412375</xdr:colOff>
      <xdr:row>60</xdr:row>
      <xdr:rowOff>100404</xdr:rowOff>
    </xdr:from>
    <xdr:to>
      <xdr:col>85</xdr:col>
      <xdr:colOff>412097</xdr:colOff>
      <xdr:row>76</xdr:row>
      <xdr:rowOff>55218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B8B9E90-85E7-211D-B0CA-BCB2274792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814615" y="11256084"/>
          <a:ext cx="6705322" cy="2952611"/>
        </a:xfrm>
        <a:prstGeom prst="rect">
          <a:avLst/>
        </a:prstGeom>
      </xdr:spPr>
    </xdr:pic>
    <xdr:clientData/>
  </xdr:twoCellAnchor>
  <xdr:twoCellAnchor editAs="oneCell">
    <xdr:from>
      <xdr:col>65</xdr:col>
      <xdr:colOff>450029</xdr:colOff>
      <xdr:row>81</xdr:row>
      <xdr:rowOff>17930</xdr:rowOff>
    </xdr:from>
    <xdr:to>
      <xdr:col>79</xdr:col>
      <xdr:colOff>30475</xdr:colOff>
      <xdr:row>89</xdr:row>
      <xdr:rowOff>129786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30365DB-D429-F70F-C48D-DB1B283136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3365869" y="15014090"/>
          <a:ext cx="8114845" cy="1632270"/>
        </a:xfrm>
        <a:prstGeom prst="rect">
          <a:avLst/>
        </a:prstGeom>
      </xdr:spPr>
    </xdr:pic>
    <xdr:clientData/>
  </xdr:twoCellAnchor>
  <xdr:twoCellAnchor editAs="oneCell">
    <xdr:from>
      <xdr:col>66</xdr:col>
      <xdr:colOff>310179</xdr:colOff>
      <xdr:row>146</xdr:row>
      <xdr:rowOff>138056</xdr:rowOff>
    </xdr:from>
    <xdr:to>
      <xdr:col>77</xdr:col>
      <xdr:colOff>462279</xdr:colOff>
      <xdr:row>156</xdr:row>
      <xdr:rowOff>28497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44DD2CB-43D0-B363-3D8A-8CFF8132FA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3835619" y="27417656"/>
          <a:ext cx="6857702" cy="1572220"/>
        </a:xfrm>
        <a:prstGeom prst="rect">
          <a:avLst/>
        </a:prstGeom>
      </xdr:spPr>
    </xdr:pic>
    <xdr:clientData/>
  </xdr:twoCellAnchor>
  <xdr:twoCellAnchor editAs="oneCell">
    <xdr:from>
      <xdr:col>68</xdr:col>
      <xdr:colOff>522561</xdr:colOff>
      <xdr:row>275</xdr:row>
      <xdr:rowOff>180109</xdr:rowOff>
    </xdr:from>
    <xdr:to>
      <xdr:col>81</xdr:col>
      <xdr:colOff>245126</xdr:colOff>
      <xdr:row>322</xdr:row>
      <xdr:rowOff>23976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8F181C2-3B8D-F384-2931-B691CDF3BA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5267201" y="49313869"/>
          <a:ext cx="7647364" cy="8531564"/>
        </a:xfrm>
        <a:prstGeom prst="rect">
          <a:avLst/>
        </a:prstGeom>
      </xdr:spPr>
    </xdr:pic>
    <xdr:clientData/>
  </xdr:twoCellAnchor>
  <xdr:twoCellAnchor editAs="oneCell">
    <xdr:from>
      <xdr:col>69</xdr:col>
      <xdr:colOff>385483</xdr:colOff>
      <xdr:row>90</xdr:row>
      <xdr:rowOff>118333</xdr:rowOff>
    </xdr:from>
    <xdr:to>
      <xdr:col>84</xdr:col>
      <xdr:colOff>327195</xdr:colOff>
      <xdr:row>130</xdr:row>
      <xdr:rowOff>59389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0478B9E-B84C-2CCA-E8F0-276B3CB8D2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5739723" y="16760413"/>
          <a:ext cx="9085713" cy="7327974"/>
        </a:xfrm>
        <a:prstGeom prst="rect">
          <a:avLst/>
        </a:prstGeom>
      </xdr:spPr>
    </xdr:pic>
    <xdr:clientData/>
  </xdr:twoCellAnchor>
  <xdr:twoCellAnchor editAs="oneCell">
    <xdr:from>
      <xdr:col>79</xdr:col>
      <xdr:colOff>131887</xdr:colOff>
      <xdr:row>398</xdr:row>
      <xdr:rowOff>62754</xdr:rowOff>
    </xdr:from>
    <xdr:to>
      <xdr:col>93</xdr:col>
      <xdr:colOff>402635</xdr:colOff>
      <xdr:row>443</xdr:row>
      <xdr:rowOff>22202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207D71B-9E65-676B-79DE-9FAFD25A62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1582127" y="70867794"/>
          <a:ext cx="8805148" cy="8199357"/>
        </a:xfrm>
        <a:prstGeom prst="rect">
          <a:avLst/>
        </a:prstGeom>
      </xdr:spPr>
    </xdr:pic>
    <xdr:clientData/>
  </xdr:twoCellAnchor>
  <xdr:twoCellAnchor editAs="oneCell">
    <xdr:from>
      <xdr:col>85</xdr:col>
      <xdr:colOff>236220</xdr:colOff>
      <xdr:row>357</xdr:row>
      <xdr:rowOff>53340</xdr:rowOff>
    </xdr:from>
    <xdr:to>
      <xdr:col>97</xdr:col>
      <xdr:colOff>254355</xdr:colOff>
      <xdr:row>382</xdr:row>
      <xdr:rowOff>12655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D401D09-F23A-7255-93BB-2325AE4E95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5344060" y="63908940"/>
          <a:ext cx="7333334" cy="4514283"/>
        </a:xfrm>
        <a:prstGeom prst="rect">
          <a:avLst/>
        </a:prstGeom>
      </xdr:spPr>
    </xdr:pic>
    <xdr:clientData/>
  </xdr:twoCellAnchor>
  <xdr:twoCellAnchor editAs="oneCell">
    <xdr:from>
      <xdr:col>55</xdr:col>
      <xdr:colOff>259977</xdr:colOff>
      <xdr:row>117</xdr:row>
      <xdr:rowOff>53787</xdr:rowOff>
    </xdr:from>
    <xdr:to>
      <xdr:col>60</xdr:col>
      <xdr:colOff>513977</xdr:colOff>
      <xdr:row>126</xdr:row>
      <xdr:rowOff>117287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579F0F31-D980-4322-B62D-0600D64419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48</xdr:col>
      <xdr:colOff>188259</xdr:colOff>
      <xdr:row>37</xdr:row>
      <xdr:rowOff>44825</xdr:rowOff>
    </xdr:from>
    <xdr:to>
      <xdr:col>61</xdr:col>
      <xdr:colOff>549088</xdr:colOff>
      <xdr:row>52</xdr:row>
      <xdr:rowOff>98613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EE20C2D8-92A9-4641-BE00-ADB567B0B1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49</xdr:col>
      <xdr:colOff>0</xdr:colOff>
      <xdr:row>54</xdr:row>
      <xdr:rowOff>0</xdr:rowOff>
    </xdr:from>
    <xdr:to>
      <xdr:col>62</xdr:col>
      <xdr:colOff>372036</xdr:colOff>
      <xdr:row>69</xdr:row>
      <xdr:rowOff>53788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91B08E00-B8CA-45CA-BA77-8ED04E72C6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 editAs="oneCell">
    <xdr:from>
      <xdr:col>48</xdr:col>
      <xdr:colOff>259977</xdr:colOff>
      <xdr:row>261</xdr:row>
      <xdr:rowOff>80683</xdr:rowOff>
    </xdr:from>
    <xdr:to>
      <xdr:col>59</xdr:col>
      <xdr:colOff>516777</xdr:colOff>
      <xdr:row>271</xdr:row>
      <xdr:rowOff>1341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35A26B66-DF77-92A4-C6C9-D7C8E7E8E3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35</xdr:col>
      <xdr:colOff>317483</xdr:colOff>
      <xdr:row>23</xdr:row>
      <xdr:rowOff>117350</xdr:rowOff>
    </xdr:from>
    <xdr:to>
      <xdr:col>44</xdr:col>
      <xdr:colOff>563398</xdr:colOff>
      <xdr:row>39</xdr:row>
      <xdr:rowOff>2536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F1EE0C8-F1CD-4E8A-8E4A-FB41E0D741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278336" y="4498850"/>
          <a:ext cx="5691974" cy="2716688"/>
        </a:xfrm>
        <a:prstGeom prst="rect">
          <a:avLst/>
        </a:prstGeom>
      </xdr:spPr>
    </xdr:pic>
    <xdr:clientData/>
  </xdr:twoCellAnchor>
  <xdr:twoCellAnchor>
    <xdr:from>
      <xdr:col>17</xdr:col>
      <xdr:colOff>489758</xdr:colOff>
      <xdr:row>46</xdr:row>
      <xdr:rowOff>112222</xdr:rowOff>
    </xdr:from>
    <xdr:to>
      <xdr:col>25</xdr:col>
      <xdr:colOff>184958</xdr:colOff>
      <xdr:row>61</xdr:row>
      <xdr:rowOff>153785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B0D249B-4BC1-4117-9109-E09E27345A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25</xdr:col>
      <xdr:colOff>495300</xdr:colOff>
      <xdr:row>46</xdr:row>
      <xdr:rowOff>57150</xdr:rowOff>
    </xdr:from>
    <xdr:to>
      <xdr:col>33</xdr:col>
      <xdr:colOff>190500</xdr:colOff>
      <xdr:row>61</xdr:row>
      <xdr:rowOff>57150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3A422E9-6D4A-4EE9-B240-285B812845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25</xdr:col>
      <xdr:colOff>525780</xdr:colOff>
      <xdr:row>62</xdr:row>
      <xdr:rowOff>110490</xdr:rowOff>
    </xdr:from>
    <xdr:to>
      <xdr:col>33</xdr:col>
      <xdr:colOff>220980</xdr:colOff>
      <xdr:row>77</xdr:row>
      <xdr:rowOff>110490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7167785-E80C-43EE-B12A-9BD01BCA07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411480</xdr:colOff>
      <xdr:row>62</xdr:row>
      <xdr:rowOff>160020</xdr:rowOff>
    </xdr:from>
    <xdr:to>
      <xdr:col>25</xdr:col>
      <xdr:colOff>106680</xdr:colOff>
      <xdr:row>78</xdr:row>
      <xdr:rowOff>18703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E594176-0BC7-4A05-9A4A-A823CB8A21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46</xdr:col>
      <xdr:colOff>336175</xdr:colOff>
      <xdr:row>17</xdr:row>
      <xdr:rowOff>134471</xdr:rowOff>
    </xdr:from>
    <xdr:to>
      <xdr:col>51</xdr:col>
      <xdr:colOff>590175</xdr:colOff>
      <xdr:row>27</xdr:row>
      <xdr:rowOff>117289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408F93C-D908-E3B8-2FF0-6EEA6CE8F9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12</xdr:col>
      <xdr:colOff>744071</xdr:colOff>
      <xdr:row>51</xdr:row>
      <xdr:rowOff>53788</xdr:rowOff>
    </xdr:from>
    <xdr:to>
      <xdr:col>16</xdr:col>
      <xdr:colOff>396091</xdr:colOff>
      <xdr:row>61</xdr:row>
      <xdr:rowOff>2988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A482EB91-BBD7-4E61-977C-8341162D04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8</xdr:col>
      <xdr:colOff>65554</xdr:colOff>
      <xdr:row>34</xdr:row>
      <xdr:rowOff>11206</xdr:rowOff>
    </xdr:from>
    <xdr:to>
      <xdr:col>13</xdr:col>
      <xdr:colOff>2986</xdr:colOff>
      <xdr:row>43</xdr:row>
      <xdr:rowOff>74706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29C95750-ABDD-4ECF-B644-FFB8E8C557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4</xdr:col>
      <xdr:colOff>1940858</xdr:colOff>
      <xdr:row>135</xdr:row>
      <xdr:rowOff>161365</xdr:rowOff>
    </xdr:from>
    <xdr:to>
      <xdr:col>10</xdr:col>
      <xdr:colOff>503218</xdr:colOff>
      <xdr:row>145</xdr:row>
      <xdr:rowOff>110565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FE33FABA-4D42-E916-4E9C-C1CD132734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Ross, Mac (Research)" id="{67A82C1C-E682-44A5-B8C9-EFAEE7C12827}" userId="S::Mac.Ross@morganstanley.com::07c43cdc-988d-433d-957a-cbd611737696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_NewOffice365">
    <a:dk1>
      <a:sysClr val="windowText" lastClr="000000"/>
    </a:dk1>
    <a:lt1>
      <a:sysClr val="window" lastClr="FFFFFF"/>
    </a:lt1>
    <a:dk2>
      <a:srgbClr val="003366"/>
    </a:dk2>
    <a:lt2>
      <a:srgbClr val="C6D9E2"/>
    </a:lt2>
    <a:accent1>
      <a:srgbClr val="005AA4"/>
    </a:accent1>
    <a:accent2>
      <a:srgbClr val="D0B86A"/>
    </a:accent2>
    <a:accent3>
      <a:srgbClr val="226B5A"/>
    </a:accent3>
    <a:accent4>
      <a:srgbClr val="00A1E2"/>
    </a:accent4>
    <a:accent5>
      <a:srgbClr val="873246"/>
    </a:accent5>
    <a:accent6>
      <a:srgbClr val="6769E2"/>
    </a:accent6>
    <a:hlink>
      <a:srgbClr val="0000FF"/>
    </a:hlink>
    <a:folHlink>
      <a:srgbClr val="800080"/>
    </a:folHlink>
  </a:clrScheme>
  <a:fontScheme name="Rothschild">
    <a:majorFont>
      <a:latin typeface="Georg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Arial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Rothschild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47500"/>
              <a:satMod val="137000"/>
            </a:schemeClr>
          </a:gs>
          <a:gs pos="55000">
            <a:schemeClr val="phClr">
              <a:shade val="69000"/>
              <a:satMod val="137000"/>
            </a:schemeClr>
          </a:gs>
          <a:gs pos="100000">
            <a:schemeClr val="phClr">
              <a:shade val="98000"/>
              <a:satMod val="137000"/>
            </a:schemeClr>
          </a:gs>
        </a:gsLst>
        <a:lin ang="16200000" scaled="0"/>
      </a:gradFill>
    </a:fillStyleLst>
    <a:lnStyleLst>
      <a:ln w="6350" cap="rnd" cmpd="sng" algn="ctr">
        <a:solidFill>
          <a:schemeClr val="phClr">
            <a:shade val="95000"/>
            <a:satMod val="105000"/>
          </a:schemeClr>
        </a:solidFill>
        <a:prstDash val="solid"/>
      </a:ln>
      <a:ln w="48000" cap="flat" cmpd="thickThin" algn="ctr">
        <a:solidFill>
          <a:schemeClr val="phClr"/>
        </a:solidFill>
        <a:prstDash val="solid"/>
      </a:ln>
      <a:ln w="48500" cap="flat" cmpd="thickThin" algn="ctr">
        <a:solidFill>
          <a:schemeClr val="phClr"/>
        </a:solidFill>
        <a:prstDash val="solid"/>
      </a:ln>
    </a:lnStyleLst>
    <a:effectStyleLst>
      <a:effectStyle>
        <a:effectLst>
          <a:outerShdw blurRad="45000" dist="25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39000" dist="254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39000" dist="25400" dir="5400000" rotWithShape="0">
            <a:srgbClr val="000000">
              <a:alpha val="38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800000"/>
          </a:lightRig>
        </a:scene3d>
        <a:sp3d prstMaterial="matte">
          <a:bevelT h="200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8000"/>
              <a:satMod val="300000"/>
            </a:schemeClr>
          </a:gs>
          <a:gs pos="12000">
            <a:schemeClr val="phClr">
              <a:tint val="48000"/>
              <a:satMod val="300000"/>
            </a:schemeClr>
          </a:gs>
          <a:gs pos="20000">
            <a:schemeClr val="phClr">
              <a:tint val="49000"/>
              <a:satMod val="300000"/>
            </a:schemeClr>
          </a:gs>
          <a:gs pos="100000">
            <a:schemeClr val="phClr">
              <a:shade val="30000"/>
            </a:schemeClr>
          </a:gs>
        </a:gsLst>
        <a:path path="circle">
          <a:fillToRect l="10000" t="-25000" r="10000" b="125000"/>
        </a:path>
      </a:gradFill>
      <a:blipFill>
        <a:blip xmlns:r="http://schemas.openxmlformats.org/officeDocument/2006/relationships">
          <a:duotone>
            <a:schemeClr val="phClr">
              <a:shade val="75000"/>
              <a:satMod val="105000"/>
            </a:schemeClr>
            <a:schemeClr val="phClr">
              <a:tint val="95000"/>
              <a:satMod val="105000"/>
            </a:schemeClr>
          </a:duotone>
        </a:blip>
        <a:tile tx="0" ty="0" sx="38000" sy="38000" flip="none" algn="tl"/>
      </a:blipFill>
    </a:bgFillStyleLst>
  </a:fmtScheme>
</a:themeOverride>
</file>

<file path=xl/theme/themeOverride2.xml><?xml version="1.0" encoding="utf-8"?>
<a:themeOverride xmlns:a="http://schemas.openxmlformats.org/drawingml/2006/main">
  <a:clrScheme name="_NewOffice365">
    <a:dk1>
      <a:sysClr val="windowText" lastClr="000000"/>
    </a:dk1>
    <a:lt1>
      <a:sysClr val="window" lastClr="FFFFFF"/>
    </a:lt1>
    <a:dk2>
      <a:srgbClr val="003366"/>
    </a:dk2>
    <a:lt2>
      <a:srgbClr val="C6D9E2"/>
    </a:lt2>
    <a:accent1>
      <a:srgbClr val="005AA4"/>
    </a:accent1>
    <a:accent2>
      <a:srgbClr val="D0B86A"/>
    </a:accent2>
    <a:accent3>
      <a:srgbClr val="226B5A"/>
    </a:accent3>
    <a:accent4>
      <a:srgbClr val="00A1E2"/>
    </a:accent4>
    <a:accent5>
      <a:srgbClr val="873246"/>
    </a:accent5>
    <a:accent6>
      <a:srgbClr val="6769E2"/>
    </a:accent6>
    <a:hlink>
      <a:srgbClr val="0000FF"/>
    </a:hlink>
    <a:folHlink>
      <a:srgbClr val="800080"/>
    </a:folHlink>
  </a:clrScheme>
  <a:fontScheme name="Rothschild">
    <a:majorFont>
      <a:latin typeface="Georg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Arial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Rothschild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47500"/>
              <a:satMod val="137000"/>
            </a:schemeClr>
          </a:gs>
          <a:gs pos="55000">
            <a:schemeClr val="phClr">
              <a:shade val="69000"/>
              <a:satMod val="137000"/>
            </a:schemeClr>
          </a:gs>
          <a:gs pos="100000">
            <a:schemeClr val="phClr">
              <a:shade val="98000"/>
              <a:satMod val="137000"/>
            </a:schemeClr>
          </a:gs>
        </a:gsLst>
        <a:lin ang="16200000" scaled="0"/>
      </a:gradFill>
    </a:fillStyleLst>
    <a:lnStyleLst>
      <a:ln w="6350" cap="rnd" cmpd="sng" algn="ctr">
        <a:solidFill>
          <a:schemeClr val="phClr">
            <a:shade val="95000"/>
            <a:satMod val="105000"/>
          </a:schemeClr>
        </a:solidFill>
        <a:prstDash val="solid"/>
      </a:ln>
      <a:ln w="48000" cap="flat" cmpd="thickThin" algn="ctr">
        <a:solidFill>
          <a:schemeClr val="phClr"/>
        </a:solidFill>
        <a:prstDash val="solid"/>
      </a:ln>
      <a:ln w="48500" cap="flat" cmpd="thickThin" algn="ctr">
        <a:solidFill>
          <a:schemeClr val="phClr"/>
        </a:solidFill>
        <a:prstDash val="solid"/>
      </a:ln>
    </a:lnStyleLst>
    <a:effectStyleLst>
      <a:effectStyle>
        <a:effectLst>
          <a:outerShdw blurRad="45000" dist="25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39000" dist="254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39000" dist="25400" dir="5400000" rotWithShape="0">
            <a:srgbClr val="000000">
              <a:alpha val="38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800000"/>
          </a:lightRig>
        </a:scene3d>
        <a:sp3d prstMaterial="matte">
          <a:bevelT h="200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8000"/>
              <a:satMod val="300000"/>
            </a:schemeClr>
          </a:gs>
          <a:gs pos="12000">
            <a:schemeClr val="phClr">
              <a:tint val="48000"/>
              <a:satMod val="300000"/>
            </a:schemeClr>
          </a:gs>
          <a:gs pos="20000">
            <a:schemeClr val="phClr">
              <a:tint val="49000"/>
              <a:satMod val="300000"/>
            </a:schemeClr>
          </a:gs>
          <a:gs pos="100000">
            <a:schemeClr val="phClr">
              <a:shade val="30000"/>
            </a:schemeClr>
          </a:gs>
        </a:gsLst>
        <a:path path="circle">
          <a:fillToRect l="10000" t="-25000" r="10000" b="125000"/>
        </a:path>
      </a:gradFill>
      <a:blipFill>
        <a:blip xmlns:r="http://schemas.openxmlformats.org/officeDocument/2006/relationships">
          <a:duotone>
            <a:schemeClr val="phClr">
              <a:shade val="75000"/>
              <a:satMod val="105000"/>
            </a:schemeClr>
            <a:schemeClr val="phClr">
              <a:tint val="95000"/>
              <a:satMod val="105000"/>
            </a:schemeClr>
          </a:duotone>
        </a:blip>
        <a:tile tx="0" ty="0" sx="38000" sy="38000" flip="none" algn="tl"/>
      </a:blipFill>
    </a:bgFillStyleLst>
  </a:fmtScheme>
</a:themeOverride>
</file>

<file path=xl/theme/themeOverride3.xml><?xml version="1.0" encoding="utf-8"?>
<a:themeOverride xmlns:a="http://schemas.openxmlformats.org/drawingml/2006/main">
  <a:clrScheme name="_NewOffice365">
    <a:dk1>
      <a:sysClr val="windowText" lastClr="000000"/>
    </a:dk1>
    <a:lt1>
      <a:sysClr val="window" lastClr="FFFFFF"/>
    </a:lt1>
    <a:dk2>
      <a:srgbClr val="003366"/>
    </a:dk2>
    <a:lt2>
      <a:srgbClr val="C6D9E2"/>
    </a:lt2>
    <a:accent1>
      <a:srgbClr val="005AA4"/>
    </a:accent1>
    <a:accent2>
      <a:srgbClr val="D0B86A"/>
    </a:accent2>
    <a:accent3>
      <a:srgbClr val="226B5A"/>
    </a:accent3>
    <a:accent4>
      <a:srgbClr val="00A1E2"/>
    </a:accent4>
    <a:accent5>
      <a:srgbClr val="873246"/>
    </a:accent5>
    <a:accent6>
      <a:srgbClr val="6769E2"/>
    </a:accent6>
    <a:hlink>
      <a:srgbClr val="0000FF"/>
    </a:hlink>
    <a:folHlink>
      <a:srgbClr val="800080"/>
    </a:folHlink>
  </a:clrScheme>
  <a:fontScheme name="Rothschild">
    <a:majorFont>
      <a:latin typeface="Georg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Arial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Rothschild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47500"/>
              <a:satMod val="137000"/>
            </a:schemeClr>
          </a:gs>
          <a:gs pos="55000">
            <a:schemeClr val="phClr">
              <a:shade val="69000"/>
              <a:satMod val="137000"/>
            </a:schemeClr>
          </a:gs>
          <a:gs pos="100000">
            <a:schemeClr val="phClr">
              <a:shade val="98000"/>
              <a:satMod val="137000"/>
            </a:schemeClr>
          </a:gs>
        </a:gsLst>
        <a:lin ang="16200000" scaled="0"/>
      </a:gradFill>
    </a:fillStyleLst>
    <a:lnStyleLst>
      <a:ln w="6350" cap="rnd" cmpd="sng" algn="ctr">
        <a:solidFill>
          <a:schemeClr val="phClr">
            <a:shade val="95000"/>
            <a:satMod val="105000"/>
          </a:schemeClr>
        </a:solidFill>
        <a:prstDash val="solid"/>
      </a:ln>
      <a:ln w="48000" cap="flat" cmpd="thickThin" algn="ctr">
        <a:solidFill>
          <a:schemeClr val="phClr"/>
        </a:solidFill>
        <a:prstDash val="solid"/>
      </a:ln>
      <a:ln w="48500" cap="flat" cmpd="thickThin" algn="ctr">
        <a:solidFill>
          <a:schemeClr val="phClr"/>
        </a:solidFill>
        <a:prstDash val="solid"/>
      </a:ln>
    </a:lnStyleLst>
    <a:effectStyleLst>
      <a:effectStyle>
        <a:effectLst>
          <a:outerShdw blurRad="45000" dist="25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39000" dist="254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39000" dist="25400" dir="5400000" rotWithShape="0">
            <a:srgbClr val="000000">
              <a:alpha val="38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800000"/>
          </a:lightRig>
        </a:scene3d>
        <a:sp3d prstMaterial="matte">
          <a:bevelT h="200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8000"/>
              <a:satMod val="300000"/>
            </a:schemeClr>
          </a:gs>
          <a:gs pos="12000">
            <a:schemeClr val="phClr">
              <a:tint val="48000"/>
              <a:satMod val="300000"/>
            </a:schemeClr>
          </a:gs>
          <a:gs pos="20000">
            <a:schemeClr val="phClr">
              <a:tint val="49000"/>
              <a:satMod val="300000"/>
            </a:schemeClr>
          </a:gs>
          <a:gs pos="100000">
            <a:schemeClr val="phClr">
              <a:shade val="30000"/>
            </a:schemeClr>
          </a:gs>
        </a:gsLst>
        <a:path path="circle">
          <a:fillToRect l="10000" t="-25000" r="10000" b="125000"/>
        </a:path>
      </a:gradFill>
      <a:blipFill>
        <a:blip xmlns:r="http://schemas.openxmlformats.org/officeDocument/2006/relationships">
          <a:duotone>
            <a:schemeClr val="phClr">
              <a:shade val="75000"/>
              <a:satMod val="105000"/>
            </a:schemeClr>
            <a:schemeClr val="phClr">
              <a:tint val="95000"/>
              <a:satMod val="105000"/>
            </a:schemeClr>
          </a:duotone>
        </a:blip>
        <a:tile tx="0" ty="0" sx="38000" sy="38000" flip="none" algn="tl"/>
      </a:blipFill>
    </a:bgFillStyleLst>
  </a:fmtScheme>
</a:themeOverride>
</file>

<file path=xl/theme/themeOverride4.xml><?xml version="1.0" encoding="utf-8"?>
<a:themeOverride xmlns:a="http://schemas.openxmlformats.org/drawingml/2006/main">
  <a:clrScheme name="_NewOffice365">
    <a:dk1>
      <a:sysClr val="windowText" lastClr="000000"/>
    </a:dk1>
    <a:lt1>
      <a:sysClr val="window" lastClr="FFFFFF"/>
    </a:lt1>
    <a:dk2>
      <a:srgbClr val="003366"/>
    </a:dk2>
    <a:lt2>
      <a:srgbClr val="C6D9E2"/>
    </a:lt2>
    <a:accent1>
      <a:srgbClr val="005AA4"/>
    </a:accent1>
    <a:accent2>
      <a:srgbClr val="D0B86A"/>
    </a:accent2>
    <a:accent3>
      <a:srgbClr val="226B5A"/>
    </a:accent3>
    <a:accent4>
      <a:srgbClr val="00A1E2"/>
    </a:accent4>
    <a:accent5>
      <a:srgbClr val="873246"/>
    </a:accent5>
    <a:accent6>
      <a:srgbClr val="6769E2"/>
    </a:accent6>
    <a:hlink>
      <a:srgbClr val="0000FF"/>
    </a:hlink>
    <a:folHlink>
      <a:srgbClr val="800080"/>
    </a:folHlink>
  </a:clrScheme>
  <a:fontScheme name="Rothschild">
    <a:majorFont>
      <a:latin typeface="Georg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Arial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Rothschild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47500"/>
              <a:satMod val="137000"/>
            </a:schemeClr>
          </a:gs>
          <a:gs pos="55000">
            <a:schemeClr val="phClr">
              <a:shade val="69000"/>
              <a:satMod val="137000"/>
            </a:schemeClr>
          </a:gs>
          <a:gs pos="100000">
            <a:schemeClr val="phClr">
              <a:shade val="98000"/>
              <a:satMod val="137000"/>
            </a:schemeClr>
          </a:gs>
        </a:gsLst>
        <a:lin ang="16200000" scaled="0"/>
      </a:gradFill>
    </a:fillStyleLst>
    <a:lnStyleLst>
      <a:ln w="6350" cap="rnd" cmpd="sng" algn="ctr">
        <a:solidFill>
          <a:schemeClr val="phClr">
            <a:shade val="95000"/>
            <a:satMod val="105000"/>
          </a:schemeClr>
        </a:solidFill>
        <a:prstDash val="solid"/>
      </a:ln>
      <a:ln w="48000" cap="flat" cmpd="thickThin" algn="ctr">
        <a:solidFill>
          <a:schemeClr val="phClr"/>
        </a:solidFill>
        <a:prstDash val="solid"/>
      </a:ln>
      <a:ln w="48500" cap="flat" cmpd="thickThin" algn="ctr">
        <a:solidFill>
          <a:schemeClr val="phClr"/>
        </a:solidFill>
        <a:prstDash val="solid"/>
      </a:ln>
    </a:lnStyleLst>
    <a:effectStyleLst>
      <a:effectStyle>
        <a:effectLst>
          <a:outerShdw blurRad="45000" dist="25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39000" dist="254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39000" dist="25400" dir="5400000" rotWithShape="0">
            <a:srgbClr val="000000">
              <a:alpha val="38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800000"/>
          </a:lightRig>
        </a:scene3d>
        <a:sp3d prstMaterial="matte">
          <a:bevelT h="200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8000"/>
              <a:satMod val="300000"/>
            </a:schemeClr>
          </a:gs>
          <a:gs pos="12000">
            <a:schemeClr val="phClr">
              <a:tint val="48000"/>
              <a:satMod val="300000"/>
            </a:schemeClr>
          </a:gs>
          <a:gs pos="20000">
            <a:schemeClr val="phClr">
              <a:tint val="49000"/>
              <a:satMod val="300000"/>
            </a:schemeClr>
          </a:gs>
          <a:gs pos="100000">
            <a:schemeClr val="phClr">
              <a:shade val="30000"/>
            </a:schemeClr>
          </a:gs>
        </a:gsLst>
        <a:path path="circle">
          <a:fillToRect l="10000" t="-25000" r="10000" b="125000"/>
        </a:path>
      </a:gradFill>
      <a:blipFill>
        <a:blip xmlns:r="http://schemas.openxmlformats.org/officeDocument/2006/relationships">
          <a:duotone>
            <a:schemeClr val="phClr">
              <a:shade val="75000"/>
              <a:satMod val="105000"/>
            </a:schemeClr>
            <a:schemeClr val="phClr">
              <a:tint val="95000"/>
              <a:satMod val="105000"/>
            </a:schemeClr>
          </a:duotone>
        </a:blip>
        <a:tile tx="0" ty="0" sx="38000" sy="38000" flip="none" algn="tl"/>
      </a:blipFill>
    </a:bgFillStyleLst>
  </a:fmtScheme>
</a:themeOverride>
</file>

<file path=xl/theme/themeOverride5.xml><?xml version="1.0" encoding="utf-8"?>
<a:themeOverride xmlns:a="http://schemas.openxmlformats.org/drawingml/2006/main">
  <a:clrScheme name="_NewOffice365">
    <a:dk1>
      <a:sysClr val="windowText" lastClr="000000"/>
    </a:dk1>
    <a:lt1>
      <a:sysClr val="window" lastClr="FFFFFF"/>
    </a:lt1>
    <a:dk2>
      <a:srgbClr val="003366"/>
    </a:dk2>
    <a:lt2>
      <a:srgbClr val="C6D9E2"/>
    </a:lt2>
    <a:accent1>
      <a:srgbClr val="005AA4"/>
    </a:accent1>
    <a:accent2>
      <a:srgbClr val="D0B86A"/>
    </a:accent2>
    <a:accent3>
      <a:srgbClr val="226B5A"/>
    </a:accent3>
    <a:accent4>
      <a:srgbClr val="00A1E2"/>
    </a:accent4>
    <a:accent5>
      <a:srgbClr val="873246"/>
    </a:accent5>
    <a:accent6>
      <a:srgbClr val="6769E2"/>
    </a:accent6>
    <a:hlink>
      <a:srgbClr val="0000FF"/>
    </a:hlink>
    <a:folHlink>
      <a:srgbClr val="800080"/>
    </a:folHlink>
  </a:clrScheme>
  <a:fontScheme name="Rothschild">
    <a:majorFont>
      <a:latin typeface="Georg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Arial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Rothschild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47500"/>
              <a:satMod val="137000"/>
            </a:schemeClr>
          </a:gs>
          <a:gs pos="55000">
            <a:schemeClr val="phClr">
              <a:shade val="69000"/>
              <a:satMod val="137000"/>
            </a:schemeClr>
          </a:gs>
          <a:gs pos="100000">
            <a:schemeClr val="phClr">
              <a:shade val="98000"/>
              <a:satMod val="137000"/>
            </a:schemeClr>
          </a:gs>
        </a:gsLst>
        <a:lin ang="16200000" scaled="0"/>
      </a:gradFill>
    </a:fillStyleLst>
    <a:lnStyleLst>
      <a:ln w="6350" cap="rnd" cmpd="sng" algn="ctr">
        <a:solidFill>
          <a:schemeClr val="phClr">
            <a:shade val="95000"/>
            <a:satMod val="105000"/>
          </a:schemeClr>
        </a:solidFill>
        <a:prstDash val="solid"/>
      </a:ln>
      <a:ln w="48000" cap="flat" cmpd="thickThin" algn="ctr">
        <a:solidFill>
          <a:schemeClr val="phClr"/>
        </a:solidFill>
        <a:prstDash val="solid"/>
      </a:ln>
      <a:ln w="48500" cap="flat" cmpd="thickThin" algn="ctr">
        <a:solidFill>
          <a:schemeClr val="phClr"/>
        </a:solidFill>
        <a:prstDash val="solid"/>
      </a:ln>
    </a:lnStyleLst>
    <a:effectStyleLst>
      <a:effectStyle>
        <a:effectLst>
          <a:outerShdw blurRad="45000" dist="25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39000" dist="254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39000" dist="25400" dir="5400000" rotWithShape="0">
            <a:srgbClr val="000000">
              <a:alpha val="38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800000"/>
          </a:lightRig>
        </a:scene3d>
        <a:sp3d prstMaterial="matte">
          <a:bevelT h="200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8000"/>
              <a:satMod val="300000"/>
            </a:schemeClr>
          </a:gs>
          <a:gs pos="12000">
            <a:schemeClr val="phClr">
              <a:tint val="48000"/>
              <a:satMod val="300000"/>
            </a:schemeClr>
          </a:gs>
          <a:gs pos="20000">
            <a:schemeClr val="phClr">
              <a:tint val="49000"/>
              <a:satMod val="300000"/>
            </a:schemeClr>
          </a:gs>
          <a:gs pos="100000">
            <a:schemeClr val="phClr">
              <a:shade val="30000"/>
            </a:schemeClr>
          </a:gs>
        </a:gsLst>
        <a:path path="circle">
          <a:fillToRect l="10000" t="-25000" r="10000" b="125000"/>
        </a:path>
      </a:gradFill>
      <a:blipFill>
        <a:blip xmlns:r="http://schemas.openxmlformats.org/officeDocument/2006/relationships">
          <a:duotone>
            <a:schemeClr val="phClr">
              <a:shade val="75000"/>
              <a:satMod val="105000"/>
            </a:schemeClr>
            <a:schemeClr val="phClr">
              <a:tint val="95000"/>
              <a:satMod val="105000"/>
            </a:schemeClr>
          </a:duotone>
        </a:blip>
        <a:tile tx="0" ty="0" sx="38000" sy="38000" flip="none" algn="tl"/>
      </a:blipFill>
    </a:bgFillStyleLst>
  </a:fmtScheme>
</a:themeOverride>
</file>

<file path=xl/theme/themeOverride6.xml><?xml version="1.0" encoding="utf-8"?>
<a:themeOverride xmlns:a="http://schemas.openxmlformats.org/drawingml/2006/main">
  <a:clrScheme name="_NewOffice365">
    <a:dk1>
      <a:sysClr val="windowText" lastClr="000000"/>
    </a:dk1>
    <a:lt1>
      <a:sysClr val="window" lastClr="FFFFFF"/>
    </a:lt1>
    <a:dk2>
      <a:srgbClr val="003366"/>
    </a:dk2>
    <a:lt2>
      <a:srgbClr val="C6D9E2"/>
    </a:lt2>
    <a:accent1>
      <a:srgbClr val="005AA4"/>
    </a:accent1>
    <a:accent2>
      <a:srgbClr val="D0B86A"/>
    </a:accent2>
    <a:accent3>
      <a:srgbClr val="226B5A"/>
    </a:accent3>
    <a:accent4>
      <a:srgbClr val="00A1E2"/>
    </a:accent4>
    <a:accent5>
      <a:srgbClr val="873246"/>
    </a:accent5>
    <a:accent6>
      <a:srgbClr val="6769E2"/>
    </a:accent6>
    <a:hlink>
      <a:srgbClr val="0000FF"/>
    </a:hlink>
    <a:folHlink>
      <a:srgbClr val="800080"/>
    </a:folHlink>
  </a:clrScheme>
  <a:fontScheme name="Rothschild">
    <a:majorFont>
      <a:latin typeface="Georg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Arial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Rothschild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47500"/>
              <a:satMod val="137000"/>
            </a:schemeClr>
          </a:gs>
          <a:gs pos="55000">
            <a:schemeClr val="phClr">
              <a:shade val="69000"/>
              <a:satMod val="137000"/>
            </a:schemeClr>
          </a:gs>
          <a:gs pos="100000">
            <a:schemeClr val="phClr">
              <a:shade val="98000"/>
              <a:satMod val="137000"/>
            </a:schemeClr>
          </a:gs>
        </a:gsLst>
        <a:lin ang="16200000" scaled="0"/>
      </a:gradFill>
    </a:fillStyleLst>
    <a:lnStyleLst>
      <a:ln w="6350" cap="rnd" cmpd="sng" algn="ctr">
        <a:solidFill>
          <a:schemeClr val="phClr">
            <a:shade val="95000"/>
            <a:satMod val="105000"/>
          </a:schemeClr>
        </a:solidFill>
        <a:prstDash val="solid"/>
      </a:ln>
      <a:ln w="48000" cap="flat" cmpd="thickThin" algn="ctr">
        <a:solidFill>
          <a:schemeClr val="phClr"/>
        </a:solidFill>
        <a:prstDash val="solid"/>
      </a:ln>
      <a:ln w="48500" cap="flat" cmpd="thickThin" algn="ctr">
        <a:solidFill>
          <a:schemeClr val="phClr"/>
        </a:solidFill>
        <a:prstDash val="solid"/>
      </a:ln>
    </a:lnStyleLst>
    <a:effectStyleLst>
      <a:effectStyle>
        <a:effectLst>
          <a:outerShdw blurRad="45000" dist="25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39000" dist="254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39000" dist="25400" dir="5400000" rotWithShape="0">
            <a:srgbClr val="000000">
              <a:alpha val="38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800000"/>
          </a:lightRig>
        </a:scene3d>
        <a:sp3d prstMaterial="matte">
          <a:bevelT h="200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8000"/>
              <a:satMod val="300000"/>
            </a:schemeClr>
          </a:gs>
          <a:gs pos="12000">
            <a:schemeClr val="phClr">
              <a:tint val="48000"/>
              <a:satMod val="300000"/>
            </a:schemeClr>
          </a:gs>
          <a:gs pos="20000">
            <a:schemeClr val="phClr">
              <a:tint val="49000"/>
              <a:satMod val="300000"/>
            </a:schemeClr>
          </a:gs>
          <a:gs pos="100000">
            <a:schemeClr val="phClr">
              <a:shade val="30000"/>
            </a:schemeClr>
          </a:gs>
        </a:gsLst>
        <a:path path="circle">
          <a:fillToRect l="10000" t="-25000" r="10000" b="125000"/>
        </a:path>
      </a:gradFill>
      <a:blipFill>
        <a:blip xmlns:r="http://schemas.openxmlformats.org/officeDocument/2006/relationships">
          <a:duotone>
            <a:schemeClr val="phClr">
              <a:shade val="75000"/>
              <a:satMod val="105000"/>
            </a:schemeClr>
            <a:schemeClr val="phClr">
              <a:tint val="95000"/>
              <a:satMod val="105000"/>
            </a:schemeClr>
          </a:duotone>
        </a:blip>
        <a:tile tx="0" ty="0" sx="38000" sy="38000" flip="none" algn="tl"/>
      </a:blipFill>
    </a:bgFillStyleLst>
  </a:fmtScheme>
</a:themeOverride>
</file>

<file path=xl/theme/themeOverride7.xml><?xml version="1.0" encoding="utf-8"?>
<a:themeOverride xmlns:a="http://schemas.openxmlformats.org/drawingml/2006/main">
  <a:clrScheme name="_NewOffice365">
    <a:dk1>
      <a:sysClr val="windowText" lastClr="000000"/>
    </a:dk1>
    <a:lt1>
      <a:sysClr val="window" lastClr="FFFFFF"/>
    </a:lt1>
    <a:dk2>
      <a:srgbClr val="003366"/>
    </a:dk2>
    <a:lt2>
      <a:srgbClr val="C6D9E2"/>
    </a:lt2>
    <a:accent1>
      <a:srgbClr val="005AA4"/>
    </a:accent1>
    <a:accent2>
      <a:srgbClr val="D0B86A"/>
    </a:accent2>
    <a:accent3>
      <a:srgbClr val="226B5A"/>
    </a:accent3>
    <a:accent4>
      <a:srgbClr val="00A1E2"/>
    </a:accent4>
    <a:accent5>
      <a:srgbClr val="873246"/>
    </a:accent5>
    <a:accent6>
      <a:srgbClr val="6769E2"/>
    </a:accent6>
    <a:hlink>
      <a:srgbClr val="0000FF"/>
    </a:hlink>
    <a:folHlink>
      <a:srgbClr val="800080"/>
    </a:folHlink>
  </a:clrScheme>
  <a:fontScheme name="Rothschild">
    <a:majorFont>
      <a:latin typeface="Georg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Arial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Rothschild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47500"/>
              <a:satMod val="137000"/>
            </a:schemeClr>
          </a:gs>
          <a:gs pos="55000">
            <a:schemeClr val="phClr">
              <a:shade val="69000"/>
              <a:satMod val="137000"/>
            </a:schemeClr>
          </a:gs>
          <a:gs pos="100000">
            <a:schemeClr val="phClr">
              <a:shade val="98000"/>
              <a:satMod val="137000"/>
            </a:schemeClr>
          </a:gs>
        </a:gsLst>
        <a:lin ang="16200000" scaled="0"/>
      </a:gradFill>
    </a:fillStyleLst>
    <a:lnStyleLst>
      <a:ln w="6350" cap="rnd" cmpd="sng" algn="ctr">
        <a:solidFill>
          <a:schemeClr val="phClr">
            <a:shade val="95000"/>
            <a:satMod val="105000"/>
          </a:schemeClr>
        </a:solidFill>
        <a:prstDash val="solid"/>
      </a:ln>
      <a:ln w="48000" cap="flat" cmpd="thickThin" algn="ctr">
        <a:solidFill>
          <a:schemeClr val="phClr"/>
        </a:solidFill>
        <a:prstDash val="solid"/>
      </a:ln>
      <a:ln w="48500" cap="flat" cmpd="thickThin" algn="ctr">
        <a:solidFill>
          <a:schemeClr val="phClr"/>
        </a:solidFill>
        <a:prstDash val="solid"/>
      </a:ln>
    </a:lnStyleLst>
    <a:effectStyleLst>
      <a:effectStyle>
        <a:effectLst>
          <a:outerShdw blurRad="45000" dist="25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39000" dist="254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39000" dist="25400" dir="5400000" rotWithShape="0">
            <a:srgbClr val="000000">
              <a:alpha val="38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800000"/>
          </a:lightRig>
        </a:scene3d>
        <a:sp3d prstMaterial="matte">
          <a:bevelT h="200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8000"/>
              <a:satMod val="300000"/>
            </a:schemeClr>
          </a:gs>
          <a:gs pos="12000">
            <a:schemeClr val="phClr">
              <a:tint val="48000"/>
              <a:satMod val="300000"/>
            </a:schemeClr>
          </a:gs>
          <a:gs pos="20000">
            <a:schemeClr val="phClr">
              <a:tint val="49000"/>
              <a:satMod val="300000"/>
            </a:schemeClr>
          </a:gs>
          <a:gs pos="100000">
            <a:schemeClr val="phClr">
              <a:shade val="30000"/>
            </a:schemeClr>
          </a:gs>
        </a:gsLst>
        <a:path path="circle">
          <a:fillToRect l="10000" t="-25000" r="10000" b="125000"/>
        </a:path>
      </a:gradFill>
      <a:blipFill>
        <a:blip xmlns:r="http://schemas.openxmlformats.org/officeDocument/2006/relationships">
          <a:duotone>
            <a:schemeClr val="phClr">
              <a:shade val="75000"/>
              <a:satMod val="105000"/>
            </a:schemeClr>
            <a:schemeClr val="phClr">
              <a:tint val="95000"/>
              <a:satMod val="105000"/>
            </a:schemeClr>
          </a:duotone>
        </a:blip>
        <a:tile tx="0" ty="0" sx="38000" sy="38000" flip="none" algn="tl"/>
      </a:blipFill>
    </a:bgFillStyleLst>
  </a:fmtScheme>
</a:themeOverride>
</file>

<file path=xl/theme/themeOverride8.xml><?xml version="1.0" encoding="utf-8"?>
<a:themeOverride xmlns:a="http://schemas.openxmlformats.org/drawingml/2006/main">
  <a:clrScheme name="_NewOffice365">
    <a:dk1>
      <a:sysClr val="windowText" lastClr="000000"/>
    </a:dk1>
    <a:lt1>
      <a:sysClr val="window" lastClr="FFFFFF"/>
    </a:lt1>
    <a:dk2>
      <a:srgbClr val="003366"/>
    </a:dk2>
    <a:lt2>
      <a:srgbClr val="C6D9E2"/>
    </a:lt2>
    <a:accent1>
      <a:srgbClr val="005AA4"/>
    </a:accent1>
    <a:accent2>
      <a:srgbClr val="D0B86A"/>
    </a:accent2>
    <a:accent3>
      <a:srgbClr val="226B5A"/>
    </a:accent3>
    <a:accent4>
      <a:srgbClr val="00A1E2"/>
    </a:accent4>
    <a:accent5>
      <a:srgbClr val="873246"/>
    </a:accent5>
    <a:accent6>
      <a:srgbClr val="6769E2"/>
    </a:accent6>
    <a:hlink>
      <a:srgbClr val="0000FF"/>
    </a:hlink>
    <a:folHlink>
      <a:srgbClr val="800080"/>
    </a:folHlink>
  </a:clrScheme>
  <a:fontScheme name="Rothschild">
    <a:majorFont>
      <a:latin typeface="Georg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Arial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Rothschild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47500"/>
              <a:satMod val="137000"/>
            </a:schemeClr>
          </a:gs>
          <a:gs pos="55000">
            <a:schemeClr val="phClr">
              <a:shade val="69000"/>
              <a:satMod val="137000"/>
            </a:schemeClr>
          </a:gs>
          <a:gs pos="100000">
            <a:schemeClr val="phClr">
              <a:shade val="98000"/>
              <a:satMod val="137000"/>
            </a:schemeClr>
          </a:gs>
        </a:gsLst>
        <a:lin ang="16200000" scaled="0"/>
      </a:gradFill>
    </a:fillStyleLst>
    <a:lnStyleLst>
      <a:ln w="6350" cap="rnd" cmpd="sng" algn="ctr">
        <a:solidFill>
          <a:schemeClr val="phClr">
            <a:shade val="95000"/>
            <a:satMod val="105000"/>
          </a:schemeClr>
        </a:solidFill>
        <a:prstDash val="solid"/>
      </a:ln>
      <a:ln w="48000" cap="flat" cmpd="thickThin" algn="ctr">
        <a:solidFill>
          <a:schemeClr val="phClr"/>
        </a:solidFill>
        <a:prstDash val="solid"/>
      </a:ln>
      <a:ln w="48500" cap="flat" cmpd="thickThin" algn="ctr">
        <a:solidFill>
          <a:schemeClr val="phClr"/>
        </a:solidFill>
        <a:prstDash val="solid"/>
      </a:ln>
    </a:lnStyleLst>
    <a:effectStyleLst>
      <a:effectStyle>
        <a:effectLst>
          <a:outerShdw blurRad="45000" dist="25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39000" dist="254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39000" dist="25400" dir="5400000" rotWithShape="0">
            <a:srgbClr val="000000">
              <a:alpha val="38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800000"/>
          </a:lightRig>
        </a:scene3d>
        <a:sp3d prstMaterial="matte">
          <a:bevelT h="200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8000"/>
              <a:satMod val="300000"/>
            </a:schemeClr>
          </a:gs>
          <a:gs pos="12000">
            <a:schemeClr val="phClr">
              <a:tint val="48000"/>
              <a:satMod val="300000"/>
            </a:schemeClr>
          </a:gs>
          <a:gs pos="20000">
            <a:schemeClr val="phClr">
              <a:tint val="49000"/>
              <a:satMod val="300000"/>
            </a:schemeClr>
          </a:gs>
          <a:gs pos="100000">
            <a:schemeClr val="phClr">
              <a:shade val="30000"/>
            </a:schemeClr>
          </a:gs>
        </a:gsLst>
        <a:path path="circle">
          <a:fillToRect l="10000" t="-25000" r="10000" b="125000"/>
        </a:path>
      </a:gradFill>
      <a:blipFill>
        <a:blip xmlns:r="http://schemas.openxmlformats.org/officeDocument/2006/relationships">
          <a:duotone>
            <a:schemeClr val="phClr">
              <a:shade val="75000"/>
              <a:satMod val="105000"/>
            </a:schemeClr>
            <a:schemeClr val="phClr">
              <a:tint val="95000"/>
              <a:satMod val="105000"/>
            </a:schemeClr>
          </a:duotone>
        </a:blip>
        <a:tile tx="0" ty="0" sx="38000" sy="38000" flip="none" algn="tl"/>
      </a:blipFill>
    </a:bgFillStyleLst>
  </a:fmtScheme>
</a:themeOverrid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L44" dT="2024-07-03T02:10:16.42" personId="{67A82C1C-E682-44A5-B8C9-EFAEE7C12827}" id="{140A0BB3-CA71-49A2-B486-F2EA1EEEFB92}">
    <text xml:space="preserve">proforma guidance: 7.4% Comp gth
</text>
  </threadedComment>
  <threadedComment ref="O44" dT="2024-07-03T02:10:32.73" personId="{67A82C1C-E682-44A5-B8C9-EFAEE7C12827}" id="{5EB8FD53-B09C-4F5E-B92D-3CFABFE90E8F}">
    <text>proforma guidance: 4.8% Comp gth</text>
  </threadedComment>
  <threadedComment ref="L74" dT="2024-07-03T02:04:47.08" personId="{67A82C1C-E682-44A5-B8C9-EFAEE7C12827}" id="{E9D4576D-701D-4686-A24B-2CF9BB2DCC7B}">
    <text>proforma guidance: 17.1%</text>
  </threadedComment>
  <threadedComment ref="O74" dT="2024-07-03T02:04:47.08" personId="{67A82C1C-E682-44A5-B8C9-EFAEE7C12827}" id="{7AB43ED1-E53E-489F-8322-3BE1392C7626}">
    <text>proforma guidance: 17.1%</text>
  </threadedComment>
  <threadedComment ref="L83" dT="2024-07-03T02:08:46.01" personId="{67A82C1C-E682-44A5-B8C9-EFAEE7C12827}" id="{90D15E09-22F7-451C-AEF6-82E0A1BB5105}">
    <text xml:space="preserve">proforma guidance: 131
</text>
  </threadedComment>
  <threadedComment ref="O83" dT="2024-07-03T02:08:46.01" personId="{67A82C1C-E682-44A5-B8C9-EFAEE7C12827}" id="{2E883D53-2A60-45E2-BB5E-E6F742CE9D58}">
    <text xml:space="preserve">proforma guidance: 131
</text>
  </threadedComment>
  <threadedComment ref="L128" dT="2024-07-03T03:04:46.90" personId="{67A82C1C-E682-44A5-B8C9-EFAEE7C12827}" id="{54B7ED01-10D7-449D-AFD6-F95C1187D39A}">
    <text>Pro forma guidance: 7.8</text>
  </threadedComment>
  <threadedComment ref="O128" dT="2024-07-03T03:04:46.90" personId="{67A82C1C-E682-44A5-B8C9-EFAEE7C12827}" id="{7D11B6AD-36B1-44B9-BFC4-2C0DA4CAEB91}">
    <text>Pro forma guidance: 7.8</text>
  </threadedComment>
  <threadedComment ref="L244" dT="2024-07-03T05:51:51.43" personId="{67A82C1C-E682-44A5-B8C9-EFAEE7C12827}" id="{E130807D-FEFD-405D-886B-C3324BF11ED8}">
    <text>Pro forma guidance 63.3m</text>
  </threadedComment>
  <threadedComment ref="O244" dT="2024-07-03T05:52:13.21" personId="{67A82C1C-E682-44A5-B8C9-EFAEE7C12827}" id="{B65DDE2F-AE56-424A-826C-2C95252715A0}">
    <text>Pro forma guidance 76.1m</text>
  </threadedComment>
  <threadedComment ref="L249" dT="2024-07-03T05:52:53.28" personId="{67A82C1C-E682-44A5-B8C9-EFAEE7C12827}" id="{084A5624-0E66-42E7-9F1F-C2F18D291EE7}">
    <text xml:space="preserve">Pro forma guidance 5.6
</text>
  </threadedComment>
  <threadedComment ref="O249" dT="2024-07-03T05:52:35.87" personId="{67A82C1C-E682-44A5-B8C9-EFAEE7C12827}" id="{5BBD0CE1-3211-4663-8211-950F50D752BB}">
    <text xml:space="preserve">Pro forma guidance 7.9m
</text>
  </threadedComment>
  <threadedComment ref="L347" dT="2024-08-01T22:53:50.02" personId="{67A82C1C-E682-44A5-B8C9-EFAEE7C12827}" id="{E5FD7382-940E-4DCD-A374-FE5D41707A64}">
    <text>34.5</text>
  </threadedComment>
  <threadedComment ref="O347" dT="2024-08-01T22:54:07.03" personId="{67A82C1C-E682-44A5-B8C9-EFAEE7C12827}" id="{0133854B-E5E5-4FD2-8DED-85CDA346D50A}">
    <text>59.8</text>
  </threadedComment>
  <threadedComment ref="L454" dT="2024-08-04T22:20:21.02" personId="{67A82C1C-E682-44A5-B8C9-EFAEE7C12827}" id="{1930AE81-7725-4533-B275-3668F0445A52}">
    <text>11</text>
  </threadedComment>
  <threadedComment ref="L463" dT="2024-08-04T22:33:11.62" personId="{67A82C1C-E682-44A5-B8C9-EFAEE7C12827}" id="{217F9D07-CEA6-487E-BEB2-21A83517139A}">
    <text>-13.2</text>
  </threadedComment>
  <threadedComment ref="O463" dT="2024-08-04T22:33:21.56" personId="{67A82C1C-E682-44A5-B8C9-EFAEE7C12827}" id="{A6B5474C-F7E0-4C5C-BE91-49F4A34CD823}">
    <text>-17.4</text>
  </threadedComment>
  <threadedComment ref="L466" dT="2024-08-04T22:34:11.35" personId="{67A82C1C-E682-44A5-B8C9-EFAEE7C12827}" id="{E3EDA3AF-1EF5-48CA-80C2-2257A82753CE}">
    <text>4.7</text>
  </threadedComment>
  <threadedComment ref="O466" dT="2024-08-04T22:34:06.19" personId="{67A82C1C-E682-44A5-B8C9-EFAEE7C12827}" id="{63EBB079-B3B3-423B-B1E2-58C8611FEA49}">
    <text>8.6</text>
  </threadedComment>
  <threadedComment ref="L472" dT="2024-08-04T22:24:18.57" personId="{67A82C1C-E682-44A5-B8C9-EFAEE7C12827}" id="{18C1636A-3817-41F4-801C-BCF52EE1790A}">
    <text>15.7</text>
  </threadedComment>
  <threadedComment ref="O472" dT="2024-08-04T22:24:26.81" personId="{67A82C1C-E682-44A5-B8C9-EFAEE7C12827}" id="{34458B6E-5FAD-47BB-9FFD-007F2C36AC66}">
    <text xml:space="preserve">17.2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P25" dT="2024-07-04T23:56:05.02" personId="{67A82C1C-E682-44A5-B8C9-EFAEE7C12827}" id="{D4B67988-1FC0-4502-855B-D688220F39D1}">
    <text>Guidance of 20</text>
  </threadedComment>
  <threadedComment ref="R26" dT="2024-07-05T00:24:31.13" personId="{67A82C1C-E682-44A5-B8C9-EFAEE7C12827}" id="{BC3BF2EA-6D60-4226-88FF-E74FE65608E7}">
    <text xml:space="preserve">Targeting 85% of new stores </text>
  </threadedComment>
  <threadedComment ref="Q30" dT="2024-07-05T00:24:10.34" personId="{67A82C1C-E682-44A5-B8C9-EFAEE7C12827}" id="{8C97C474-4832-4689-B38E-36BBC4339E8C}">
    <text>Near term strip to be higher vs. 15%</text>
  </threadedComment>
  <threadedComment ref="S32" dT="2024-07-05T00:25:04.65" personId="{67A82C1C-E682-44A5-B8C9-EFAEE7C12827}" id="{E53933F2-8926-4740-87ED-BF35C578CDF5}">
    <text>Targeting 40 within 5yrs</text>
  </threadedComment>
  <threadedComment ref="R33" dT="2024-07-05T00:23:40.71" personId="{67A82C1C-E682-44A5-B8C9-EFAEE7C12827}" id="{CEC3EC75-4455-4A0F-BAD7-B68B73659BBC}">
    <text>95  sites identified out to FY27</text>
  </threadedComment>
</ThreadedComment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CB1EA-92BA-4151-81C0-4CCD4577EC0A}">
  <dimension ref="B2:B9"/>
  <sheetViews>
    <sheetView showGridLines="0" showRowColHeaders="0" workbookViewId="0">
      <selection activeCell="Z1" sqref="Z1"/>
    </sheetView>
  </sheetViews>
  <sheetFormatPr defaultColWidth="9" defaultRowHeight="15" x14ac:dyDescent="0.25"/>
  <cols>
    <col min="1" max="1" width="9" style="515"/>
    <col min="2" max="2" width="101" style="515" customWidth="1"/>
    <col min="3" max="16384" width="9" style="515"/>
  </cols>
  <sheetData>
    <row r="2" spans="2:2" ht="54" x14ac:dyDescent="0.25">
      <c r="B2" s="514" t="s">
        <v>1127</v>
      </c>
    </row>
    <row r="3" spans="2:2" ht="18" x14ac:dyDescent="0.25">
      <c r="B3" s="514"/>
    </row>
    <row r="4" spans="2:2" ht="18" x14ac:dyDescent="0.25">
      <c r="B4" s="514"/>
    </row>
    <row r="5" spans="2:2" ht="18" x14ac:dyDescent="0.25">
      <c r="B5" s="514" t="s">
        <v>1128</v>
      </c>
    </row>
    <row r="6" spans="2:2" ht="18" x14ac:dyDescent="0.25">
      <c r="B6" s="514" t="s">
        <v>1129</v>
      </c>
    </row>
    <row r="7" spans="2:2" ht="18" x14ac:dyDescent="0.25">
      <c r="B7" s="514" t="s">
        <v>1130</v>
      </c>
    </row>
    <row r="8" spans="2:2" ht="18" x14ac:dyDescent="0.25">
      <c r="B8" s="514"/>
    </row>
    <row r="9" spans="2:2" ht="36" x14ac:dyDescent="0.25">
      <c r="B9" s="516" t="s">
        <v>1131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1CB59-0ADC-4A55-B1EB-DFCEB3C55EF1}">
  <dimension ref="A1:H436"/>
  <sheetViews>
    <sheetView showGridLines="0" tabSelected="1" workbookViewId="0">
      <selection activeCell="Z1" sqref="Z1"/>
    </sheetView>
  </sheetViews>
  <sheetFormatPr defaultRowHeight="15" x14ac:dyDescent="0.25"/>
  <sheetData>
    <row r="1" spans="1:8" ht="23.25" customHeight="1" x14ac:dyDescent="0.25">
      <c r="A1" s="507"/>
      <c r="B1" s="508"/>
      <c r="C1" s="508"/>
      <c r="D1" s="508"/>
      <c r="E1" s="508"/>
      <c r="F1" s="508"/>
      <c r="G1" s="508"/>
      <c r="H1" s="508"/>
    </row>
    <row r="2" spans="1:8" x14ac:dyDescent="0.25">
      <c r="A2" s="505" t="s">
        <v>705</v>
      </c>
      <c r="B2" s="508"/>
      <c r="C2" s="508"/>
      <c r="D2" s="508"/>
      <c r="E2" s="508"/>
      <c r="F2" s="508"/>
      <c r="G2" s="508"/>
      <c r="H2" s="508"/>
    </row>
    <row r="3" spans="1:8" x14ac:dyDescent="0.25">
      <c r="A3" s="505" t="s">
        <v>706</v>
      </c>
      <c r="B3" s="508"/>
      <c r="C3" s="508"/>
      <c r="D3" s="508"/>
      <c r="E3" s="508"/>
      <c r="F3" s="508"/>
      <c r="G3" s="508"/>
      <c r="H3" s="508"/>
    </row>
    <row r="4" spans="1:8" x14ac:dyDescent="0.25">
      <c r="A4" s="505" t="s">
        <v>707</v>
      </c>
      <c r="B4" s="508"/>
      <c r="C4" s="508"/>
      <c r="D4" s="508"/>
      <c r="E4" s="508"/>
      <c r="F4" s="508"/>
      <c r="G4" s="508"/>
      <c r="H4" s="508"/>
    </row>
    <row r="5" spans="1:8" x14ac:dyDescent="0.25">
      <c r="A5" s="505" t="s">
        <v>708</v>
      </c>
      <c r="B5" s="508"/>
      <c r="C5" s="508"/>
      <c r="D5" s="508"/>
      <c r="E5" s="508"/>
      <c r="F5" s="508"/>
      <c r="G5" s="508"/>
      <c r="H5" s="508"/>
    </row>
    <row r="6" spans="1:8" x14ac:dyDescent="0.25">
      <c r="A6" s="505"/>
      <c r="B6" s="508"/>
      <c r="C6" s="508"/>
      <c r="D6" s="508"/>
      <c r="E6" s="508"/>
      <c r="F6" s="508"/>
      <c r="G6" s="508"/>
      <c r="H6" s="508"/>
    </row>
    <row r="7" spans="1:8" x14ac:dyDescent="0.25">
      <c r="A7" s="505" t="s">
        <v>709</v>
      </c>
      <c r="B7" s="508"/>
      <c r="C7" s="508"/>
      <c r="D7" s="508"/>
      <c r="E7" s="508"/>
      <c r="F7" s="508"/>
      <c r="G7" s="508"/>
      <c r="H7" s="508"/>
    </row>
    <row r="8" spans="1:8" x14ac:dyDescent="0.25">
      <c r="A8" s="505" t="s">
        <v>710</v>
      </c>
      <c r="B8" s="508"/>
      <c r="C8" s="508"/>
      <c r="D8" s="508"/>
      <c r="E8" s="508"/>
      <c r="F8" s="508"/>
      <c r="G8" s="508"/>
      <c r="H8" s="508"/>
    </row>
    <row r="9" spans="1:8" x14ac:dyDescent="0.25">
      <c r="A9" s="505"/>
      <c r="B9" s="508"/>
      <c r="C9" s="508"/>
      <c r="D9" s="508"/>
      <c r="E9" s="508"/>
      <c r="F9" s="508"/>
      <c r="G9" s="508"/>
      <c r="H9" s="508"/>
    </row>
    <row r="10" spans="1:8" x14ac:dyDescent="0.25">
      <c r="A10" s="505" t="s">
        <v>711</v>
      </c>
      <c r="B10" s="508"/>
      <c r="C10" s="508"/>
      <c r="D10" s="508"/>
      <c r="E10" s="508"/>
      <c r="F10" s="508"/>
      <c r="G10" s="508"/>
      <c r="H10" s="508"/>
    </row>
    <row r="11" spans="1:8" x14ac:dyDescent="0.25">
      <c r="A11" s="505" t="s">
        <v>712</v>
      </c>
      <c r="B11" s="508"/>
      <c r="C11" s="508"/>
      <c r="D11" s="508"/>
      <c r="E11" s="508"/>
      <c r="F11" s="508"/>
      <c r="G11" s="508"/>
      <c r="H11" s="508"/>
    </row>
    <row r="12" spans="1:8" x14ac:dyDescent="0.25">
      <c r="A12" s="505" t="s">
        <v>713</v>
      </c>
      <c r="B12" s="508"/>
      <c r="C12" s="508"/>
      <c r="D12" s="508"/>
      <c r="E12" s="508"/>
      <c r="F12" s="508"/>
      <c r="G12" s="508"/>
      <c r="H12" s="508"/>
    </row>
    <row r="13" spans="1:8" x14ac:dyDescent="0.25">
      <c r="A13" s="505" t="s">
        <v>714</v>
      </c>
      <c r="B13" s="508"/>
      <c r="C13" s="508"/>
      <c r="D13" s="508"/>
      <c r="E13" s="508"/>
      <c r="F13" s="508"/>
      <c r="G13" s="508"/>
      <c r="H13" s="508"/>
    </row>
    <row r="14" spans="1:8" x14ac:dyDescent="0.25">
      <c r="A14" s="505" t="s">
        <v>1132</v>
      </c>
      <c r="B14" s="508"/>
      <c r="C14" s="508"/>
      <c r="D14" s="508"/>
      <c r="E14" s="508"/>
      <c r="F14" s="508"/>
      <c r="G14" s="508"/>
      <c r="H14" s="508"/>
    </row>
    <row r="15" spans="1:8" x14ac:dyDescent="0.25">
      <c r="A15" s="505" t="s">
        <v>715</v>
      </c>
      <c r="B15" s="508"/>
      <c r="C15" s="508"/>
      <c r="D15" s="508"/>
      <c r="E15" s="508"/>
      <c r="F15" s="508"/>
      <c r="G15" s="508"/>
      <c r="H15" s="508"/>
    </row>
    <row r="16" spans="1:8" x14ac:dyDescent="0.25">
      <c r="A16" s="505"/>
      <c r="B16" s="508"/>
      <c r="C16" s="508"/>
      <c r="D16" s="508"/>
      <c r="E16" s="508"/>
      <c r="F16" s="508"/>
      <c r="G16" s="508"/>
      <c r="H16" s="508"/>
    </row>
    <row r="17" spans="1:8" x14ac:dyDescent="0.25">
      <c r="A17" s="505" t="s">
        <v>716</v>
      </c>
      <c r="B17" s="508"/>
      <c r="C17" s="508"/>
      <c r="D17" s="508"/>
      <c r="E17" s="508"/>
      <c r="F17" s="508"/>
      <c r="G17" s="508"/>
      <c r="H17" s="508"/>
    </row>
    <row r="18" spans="1:8" x14ac:dyDescent="0.25">
      <c r="A18" s="505"/>
      <c r="B18" s="508"/>
      <c r="C18" s="508"/>
      <c r="D18" s="508"/>
      <c r="E18" s="508"/>
      <c r="F18" s="508"/>
      <c r="G18" s="508"/>
      <c r="H18" s="508"/>
    </row>
    <row r="19" spans="1:8" x14ac:dyDescent="0.25">
      <c r="A19" s="505" t="s">
        <v>717</v>
      </c>
      <c r="B19" s="508"/>
      <c r="C19" s="508"/>
      <c r="D19" s="508"/>
      <c r="E19" s="508"/>
      <c r="F19" s="508"/>
      <c r="G19" s="508"/>
      <c r="H19" s="508"/>
    </row>
    <row r="20" spans="1:8" x14ac:dyDescent="0.25">
      <c r="A20" s="505"/>
      <c r="B20" s="508"/>
      <c r="C20" s="508"/>
      <c r="D20" s="508"/>
      <c r="E20" s="508"/>
      <c r="F20" s="508"/>
      <c r="G20" s="508"/>
      <c r="H20" s="508"/>
    </row>
    <row r="21" spans="1:8" x14ac:dyDescent="0.25">
      <c r="A21" s="506" t="s">
        <v>718</v>
      </c>
      <c r="B21" s="508"/>
      <c r="C21" s="508"/>
      <c r="D21" s="508"/>
      <c r="E21" s="508"/>
      <c r="F21" s="508"/>
      <c r="G21" s="508"/>
      <c r="H21" s="508"/>
    </row>
    <row r="22" spans="1:8" x14ac:dyDescent="0.25">
      <c r="A22" s="508"/>
      <c r="B22" s="508"/>
      <c r="C22" s="508"/>
      <c r="D22" s="508"/>
      <c r="E22" s="508"/>
      <c r="F22" s="508"/>
      <c r="G22" s="508"/>
      <c r="H22" s="508"/>
    </row>
    <row r="23" spans="1:8" x14ac:dyDescent="0.25">
      <c r="A23" s="509" t="s">
        <v>719</v>
      </c>
      <c r="B23" s="508"/>
      <c r="C23" s="508"/>
      <c r="D23" s="508"/>
      <c r="E23" s="508"/>
      <c r="F23" s="508"/>
      <c r="G23" s="508"/>
      <c r="H23" s="508"/>
    </row>
    <row r="24" spans="1:8" x14ac:dyDescent="0.25">
      <c r="A24" s="509" t="s">
        <v>720</v>
      </c>
      <c r="B24" s="508"/>
      <c r="C24" s="508"/>
      <c r="D24" s="508"/>
      <c r="E24" s="508"/>
      <c r="F24" s="508"/>
      <c r="G24" s="508"/>
      <c r="H24" s="508"/>
    </row>
    <row r="25" spans="1:8" x14ac:dyDescent="0.25">
      <c r="A25" s="509" t="s">
        <v>721</v>
      </c>
      <c r="B25" s="508"/>
      <c r="C25" s="508"/>
      <c r="D25" s="508"/>
      <c r="E25" s="508"/>
      <c r="F25" s="508"/>
      <c r="G25" s="508"/>
      <c r="H25" s="508"/>
    </row>
    <row r="26" spans="1:8" x14ac:dyDescent="0.25">
      <c r="A26" s="509" t="s">
        <v>722</v>
      </c>
      <c r="B26" s="508"/>
      <c r="C26" s="508"/>
      <c r="D26" s="508"/>
      <c r="E26" s="508"/>
      <c r="F26" s="508"/>
      <c r="G26" s="508"/>
      <c r="H26" s="508"/>
    </row>
    <row r="27" spans="1:8" x14ac:dyDescent="0.25">
      <c r="A27" s="508"/>
      <c r="B27" s="508"/>
      <c r="C27" s="508"/>
      <c r="D27" s="508"/>
      <c r="E27" s="508"/>
      <c r="F27" s="508"/>
      <c r="G27" s="508"/>
      <c r="H27" s="508"/>
    </row>
    <row r="28" spans="1:8" x14ac:dyDescent="0.25">
      <c r="A28" s="509" t="s">
        <v>723</v>
      </c>
      <c r="B28" s="508"/>
      <c r="C28" s="508"/>
      <c r="D28" s="508"/>
      <c r="E28" s="508"/>
      <c r="F28" s="508"/>
      <c r="G28" s="508"/>
      <c r="H28" s="508"/>
    </row>
    <row r="29" spans="1:8" x14ac:dyDescent="0.25">
      <c r="A29" s="509" t="s">
        <v>724</v>
      </c>
      <c r="B29" s="508"/>
      <c r="C29" s="508"/>
      <c r="D29" s="508"/>
      <c r="E29" s="508"/>
      <c r="F29" s="508"/>
      <c r="G29" s="508"/>
      <c r="H29" s="508"/>
    </row>
    <row r="30" spans="1:8" x14ac:dyDescent="0.25">
      <c r="A30" s="509" t="s">
        <v>725</v>
      </c>
      <c r="B30" s="508"/>
      <c r="C30" s="508"/>
      <c r="D30" s="508"/>
      <c r="E30" s="508"/>
      <c r="F30" s="508"/>
      <c r="G30" s="508"/>
      <c r="H30" s="508"/>
    </row>
    <row r="31" spans="1:8" x14ac:dyDescent="0.25">
      <c r="A31" s="509" t="s">
        <v>726</v>
      </c>
      <c r="B31" s="508"/>
      <c r="C31" s="508"/>
      <c r="D31" s="508"/>
      <c r="E31" s="508"/>
      <c r="F31" s="508"/>
      <c r="G31" s="508"/>
      <c r="H31" s="508"/>
    </row>
    <row r="32" spans="1:8" x14ac:dyDescent="0.25">
      <c r="A32" s="509" t="s">
        <v>727</v>
      </c>
      <c r="B32" s="508"/>
      <c r="C32" s="508"/>
      <c r="D32" s="508"/>
      <c r="E32" s="508"/>
      <c r="F32" s="508"/>
      <c r="G32" s="508"/>
      <c r="H32" s="508"/>
    </row>
    <row r="33" spans="1:8" x14ac:dyDescent="0.25">
      <c r="A33" s="509" t="s">
        <v>728</v>
      </c>
      <c r="B33" s="508"/>
      <c r="C33" s="508"/>
      <c r="D33" s="508"/>
      <c r="E33" s="508"/>
      <c r="F33" s="508"/>
      <c r="G33" s="508"/>
      <c r="H33" s="508"/>
    </row>
    <row r="34" spans="1:8" x14ac:dyDescent="0.25">
      <c r="A34" s="509" t="s">
        <v>729</v>
      </c>
      <c r="B34" s="508"/>
      <c r="C34" s="508"/>
      <c r="D34" s="508"/>
      <c r="E34" s="508"/>
      <c r="F34" s="508"/>
      <c r="G34" s="508"/>
      <c r="H34" s="508"/>
    </row>
    <row r="35" spans="1:8" x14ac:dyDescent="0.25">
      <c r="A35" s="509" t="s">
        <v>730</v>
      </c>
      <c r="B35" s="508"/>
      <c r="C35" s="508"/>
      <c r="D35" s="508"/>
      <c r="E35" s="508"/>
      <c r="F35" s="508"/>
      <c r="G35" s="508"/>
      <c r="H35" s="508"/>
    </row>
    <row r="36" spans="1:8" x14ac:dyDescent="0.25">
      <c r="A36" s="509" t="s">
        <v>731</v>
      </c>
      <c r="B36" s="508"/>
      <c r="C36" s="508"/>
      <c r="D36" s="508"/>
      <c r="E36" s="508"/>
      <c r="F36" s="508"/>
      <c r="G36" s="508"/>
      <c r="H36" s="508"/>
    </row>
    <row r="37" spans="1:8" x14ac:dyDescent="0.25">
      <c r="A37" s="509" t="s">
        <v>732</v>
      </c>
      <c r="B37" s="508"/>
      <c r="C37" s="508"/>
      <c r="D37" s="508"/>
      <c r="E37" s="508"/>
      <c r="F37" s="508"/>
      <c r="G37" s="508"/>
      <c r="H37" s="508"/>
    </row>
    <row r="38" spans="1:8" x14ac:dyDescent="0.25">
      <c r="A38" s="509" t="s">
        <v>733</v>
      </c>
      <c r="B38" s="508"/>
      <c r="C38" s="508"/>
      <c r="D38" s="508"/>
      <c r="E38" s="508"/>
      <c r="F38" s="508"/>
      <c r="G38" s="508"/>
      <c r="H38" s="508"/>
    </row>
    <row r="39" spans="1:8" x14ac:dyDescent="0.25">
      <c r="A39" s="509" t="s">
        <v>734</v>
      </c>
      <c r="B39" s="508"/>
      <c r="C39" s="508"/>
      <c r="D39" s="508"/>
      <c r="E39" s="508"/>
      <c r="F39" s="508"/>
      <c r="G39" s="508"/>
      <c r="H39" s="508"/>
    </row>
    <row r="40" spans="1:8" x14ac:dyDescent="0.25">
      <c r="A40" s="509" t="s">
        <v>735</v>
      </c>
      <c r="B40" s="508"/>
      <c r="C40" s="508"/>
      <c r="D40" s="508"/>
      <c r="E40" s="508"/>
      <c r="F40" s="508"/>
      <c r="G40" s="508"/>
      <c r="H40" s="508"/>
    </row>
    <row r="41" spans="1:8" x14ac:dyDescent="0.25">
      <c r="A41" s="509" t="s">
        <v>736</v>
      </c>
      <c r="B41" s="508"/>
      <c r="C41" s="508"/>
      <c r="D41" s="508"/>
      <c r="E41" s="508"/>
      <c r="F41" s="508"/>
      <c r="G41" s="508"/>
      <c r="H41" s="508"/>
    </row>
    <row r="42" spans="1:8" x14ac:dyDescent="0.25">
      <c r="A42" s="509" t="s">
        <v>737</v>
      </c>
      <c r="B42" s="508"/>
      <c r="C42" s="508"/>
      <c r="D42" s="508"/>
      <c r="E42" s="508"/>
      <c r="F42" s="508"/>
      <c r="G42" s="508"/>
      <c r="H42" s="508"/>
    </row>
    <row r="43" spans="1:8" x14ac:dyDescent="0.25">
      <c r="A43" s="509" t="s">
        <v>738</v>
      </c>
      <c r="B43" s="508"/>
      <c r="C43" s="508"/>
      <c r="D43" s="508"/>
      <c r="E43" s="508"/>
      <c r="F43" s="508"/>
      <c r="G43" s="508"/>
      <c r="H43" s="508"/>
    </row>
    <row r="44" spans="1:8" x14ac:dyDescent="0.25">
      <c r="A44" s="509" t="s">
        <v>739</v>
      </c>
      <c r="B44" s="508"/>
      <c r="C44" s="508"/>
      <c r="D44" s="508"/>
      <c r="E44" s="508"/>
      <c r="F44" s="508"/>
      <c r="G44" s="508"/>
      <c r="H44" s="508"/>
    </row>
    <row r="45" spans="1:8" x14ac:dyDescent="0.25">
      <c r="A45" s="509" t="s">
        <v>740</v>
      </c>
      <c r="B45" s="508"/>
      <c r="C45" s="508"/>
      <c r="D45" s="508"/>
      <c r="E45" s="508"/>
      <c r="F45" s="508"/>
      <c r="G45" s="508"/>
      <c r="H45" s="508"/>
    </row>
    <row r="46" spans="1:8" x14ac:dyDescent="0.25">
      <c r="A46" s="509" t="s">
        <v>741</v>
      </c>
      <c r="B46" s="508"/>
      <c r="C46" s="508"/>
      <c r="D46" s="508"/>
      <c r="E46" s="508"/>
      <c r="F46" s="508"/>
      <c r="G46" s="508"/>
      <c r="H46" s="508"/>
    </row>
    <row r="47" spans="1:8" x14ac:dyDescent="0.25">
      <c r="A47" s="509" t="s">
        <v>742</v>
      </c>
      <c r="B47" s="508"/>
      <c r="C47" s="508"/>
      <c r="D47" s="508"/>
      <c r="E47" s="508"/>
      <c r="F47" s="508"/>
      <c r="G47" s="508"/>
      <c r="H47" s="508"/>
    </row>
    <row r="48" spans="1:8" x14ac:dyDescent="0.25">
      <c r="A48" s="509" t="s">
        <v>743</v>
      </c>
      <c r="B48" s="508"/>
      <c r="C48" s="508"/>
      <c r="D48" s="508"/>
      <c r="E48" s="508"/>
      <c r="F48" s="508"/>
      <c r="G48" s="508"/>
      <c r="H48" s="508"/>
    </row>
    <row r="49" spans="1:8" x14ac:dyDescent="0.25">
      <c r="A49" s="509" t="s">
        <v>744</v>
      </c>
      <c r="B49" s="508"/>
      <c r="C49" s="508"/>
      <c r="D49" s="508"/>
      <c r="E49" s="508"/>
      <c r="F49" s="508"/>
      <c r="G49" s="508"/>
      <c r="H49" s="508"/>
    </row>
    <row r="50" spans="1:8" x14ac:dyDescent="0.25">
      <c r="A50" s="509" t="s">
        <v>745</v>
      </c>
      <c r="B50" s="508"/>
      <c r="C50" s="508"/>
      <c r="D50" s="508"/>
      <c r="E50" s="508"/>
      <c r="F50" s="508"/>
      <c r="G50" s="508"/>
      <c r="H50" s="508"/>
    </row>
    <row r="51" spans="1:8" x14ac:dyDescent="0.25">
      <c r="A51" s="508"/>
      <c r="B51" s="508"/>
      <c r="C51" s="508"/>
      <c r="D51" s="508"/>
      <c r="E51" s="508"/>
      <c r="F51" s="508"/>
      <c r="G51" s="508"/>
      <c r="H51" s="508"/>
    </row>
    <row r="52" spans="1:8" x14ac:dyDescent="0.25">
      <c r="A52" s="509" t="s">
        <v>746</v>
      </c>
      <c r="B52" s="508"/>
      <c r="C52" s="508"/>
      <c r="D52" s="508"/>
      <c r="E52" s="508"/>
      <c r="F52" s="508"/>
      <c r="G52" s="508"/>
      <c r="H52" s="508"/>
    </row>
    <row r="53" spans="1:8" x14ac:dyDescent="0.25">
      <c r="A53" s="509" t="s">
        <v>747</v>
      </c>
      <c r="B53" s="508"/>
      <c r="C53" s="508"/>
      <c r="D53" s="508"/>
      <c r="E53" s="508"/>
      <c r="F53" s="508"/>
      <c r="G53" s="508"/>
      <c r="H53" s="508"/>
    </row>
    <row r="54" spans="1:8" x14ac:dyDescent="0.25">
      <c r="A54" s="509" t="s">
        <v>748</v>
      </c>
      <c r="B54" s="508"/>
      <c r="C54" s="508"/>
      <c r="D54" s="508"/>
      <c r="E54" s="508"/>
      <c r="F54" s="508"/>
      <c r="G54" s="508"/>
      <c r="H54" s="508"/>
    </row>
    <row r="55" spans="1:8" x14ac:dyDescent="0.25">
      <c r="A55" s="509" t="s">
        <v>749</v>
      </c>
      <c r="B55" s="508"/>
      <c r="C55" s="508"/>
      <c r="D55" s="508"/>
      <c r="E55" s="508"/>
      <c r="F55" s="508"/>
      <c r="G55" s="508"/>
      <c r="H55" s="508"/>
    </row>
    <row r="56" spans="1:8" x14ac:dyDescent="0.25">
      <c r="A56" s="508"/>
      <c r="B56" s="508"/>
      <c r="C56" s="508"/>
      <c r="D56" s="508"/>
      <c r="E56" s="508"/>
      <c r="F56" s="508"/>
      <c r="G56" s="508"/>
      <c r="H56" s="508"/>
    </row>
    <row r="57" spans="1:8" x14ac:dyDescent="0.25">
      <c r="A57" s="509" t="s">
        <v>750</v>
      </c>
      <c r="B57" s="508"/>
      <c r="C57" s="508"/>
      <c r="D57" s="508"/>
      <c r="E57" s="508"/>
      <c r="F57" s="508"/>
      <c r="G57" s="508"/>
      <c r="H57" s="508"/>
    </row>
    <row r="58" spans="1:8" x14ac:dyDescent="0.25">
      <c r="A58" s="509" t="s">
        <v>751</v>
      </c>
      <c r="B58" s="508"/>
      <c r="C58" s="508"/>
      <c r="D58" s="508"/>
      <c r="E58" s="508"/>
      <c r="F58" s="508"/>
      <c r="G58" s="508"/>
      <c r="H58" s="508"/>
    </row>
    <row r="59" spans="1:8" x14ac:dyDescent="0.25">
      <c r="A59" s="509" t="s">
        <v>752</v>
      </c>
      <c r="B59" s="508"/>
      <c r="C59" s="508"/>
      <c r="D59" s="508"/>
      <c r="E59" s="508"/>
      <c r="F59" s="508"/>
      <c r="G59" s="508"/>
      <c r="H59" s="508"/>
    </row>
    <row r="60" spans="1:8" x14ac:dyDescent="0.25">
      <c r="A60" s="509" t="s">
        <v>753</v>
      </c>
      <c r="B60" s="508"/>
      <c r="C60" s="508"/>
      <c r="D60" s="508"/>
      <c r="E60" s="508"/>
      <c r="F60" s="508"/>
      <c r="G60" s="508"/>
      <c r="H60" s="508"/>
    </row>
    <row r="61" spans="1:8" x14ac:dyDescent="0.25">
      <c r="A61" s="509" t="s">
        <v>754</v>
      </c>
      <c r="B61" s="508"/>
      <c r="C61" s="508"/>
      <c r="D61" s="508"/>
      <c r="E61" s="508"/>
      <c r="F61" s="508"/>
      <c r="G61" s="508"/>
      <c r="H61" s="508"/>
    </row>
    <row r="62" spans="1:8" x14ac:dyDescent="0.25">
      <c r="A62" s="509" t="s">
        <v>755</v>
      </c>
      <c r="B62" s="508"/>
      <c r="C62" s="508"/>
      <c r="D62" s="508"/>
      <c r="E62" s="508"/>
      <c r="F62" s="508"/>
      <c r="G62" s="508"/>
      <c r="H62" s="508"/>
    </row>
    <row r="63" spans="1:8" x14ac:dyDescent="0.25">
      <c r="A63" s="508"/>
      <c r="B63" s="508"/>
      <c r="C63" s="508"/>
      <c r="D63" s="508"/>
      <c r="E63" s="508"/>
      <c r="F63" s="508"/>
      <c r="G63" s="508"/>
      <c r="H63" s="508"/>
    </row>
    <row r="64" spans="1:8" ht="15.75" x14ac:dyDescent="0.25">
      <c r="A64" s="510" t="s">
        <v>756</v>
      </c>
      <c r="B64" s="508"/>
      <c r="C64" s="508"/>
      <c r="D64" s="508"/>
      <c r="E64" s="508"/>
      <c r="F64" s="508"/>
      <c r="G64" s="508"/>
      <c r="H64" s="508"/>
    </row>
    <row r="65" spans="1:8" x14ac:dyDescent="0.25">
      <c r="A65" s="508"/>
      <c r="B65" s="508"/>
      <c r="C65" s="508"/>
      <c r="D65" s="508"/>
      <c r="E65" s="508"/>
      <c r="F65" s="508"/>
      <c r="G65" s="508"/>
      <c r="H65" s="508"/>
    </row>
    <row r="66" spans="1:8" x14ac:dyDescent="0.25">
      <c r="A66" s="509" t="s">
        <v>757</v>
      </c>
      <c r="B66" s="508"/>
      <c r="C66" s="508"/>
      <c r="D66" s="508"/>
      <c r="E66" s="508"/>
      <c r="F66" s="508"/>
      <c r="G66" s="508"/>
      <c r="H66" s="508"/>
    </row>
    <row r="67" spans="1:8" x14ac:dyDescent="0.25">
      <c r="A67" s="509" t="s">
        <v>758</v>
      </c>
      <c r="B67" s="508"/>
      <c r="C67" s="508"/>
      <c r="D67" s="508"/>
      <c r="E67" s="508"/>
      <c r="F67" s="508"/>
      <c r="G67" s="508"/>
      <c r="H67" s="508"/>
    </row>
    <row r="68" spans="1:8" x14ac:dyDescent="0.25">
      <c r="A68" s="509" t="s">
        <v>759</v>
      </c>
      <c r="B68" s="508"/>
      <c r="C68" s="508"/>
      <c r="D68" s="508"/>
      <c r="E68" s="508"/>
      <c r="F68" s="508"/>
      <c r="G68" s="508"/>
      <c r="H68" s="508"/>
    </row>
    <row r="69" spans="1:8" x14ac:dyDescent="0.25">
      <c r="A69" s="509" t="s">
        <v>760</v>
      </c>
      <c r="B69" s="508"/>
      <c r="C69" s="508"/>
      <c r="D69" s="508"/>
      <c r="E69" s="508"/>
      <c r="F69" s="508"/>
      <c r="G69" s="508"/>
      <c r="H69" s="508"/>
    </row>
    <row r="70" spans="1:8" x14ac:dyDescent="0.25">
      <c r="A70" s="508"/>
      <c r="B70" s="508"/>
      <c r="C70" s="508"/>
      <c r="D70" s="508"/>
      <c r="E70" s="508"/>
      <c r="F70" s="508"/>
      <c r="G70" s="508"/>
      <c r="H70" s="508"/>
    </row>
    <row r="71" spans="1:8" x14ac:dyDescent="0.25">
      <c r="A71" s="509" t="s">
        <v>761</v>
      </c>
      <c r="B71" s="508"/>
      <c r="C71" s="508"/>
      <c r="D71" s="508"/>
      <c r="E71" s="508"/>
      <c r="F71" s="508"/>
      <c r="G71" s="508"/>
      <c r="H71" s="508"/>
    </row>
    <row r="72" spans="1:8" x14ac:dyDescent="0.25">
      <c r="A72" s="508"/>
      <c r="B72" s="508"/>
      <c r="C72" s="508"/>
      <c r="D72" s="508"/>
      <c r="E72" s="508"/>
      <c r="F72" s="508"/>
      <c r="G72" s="508"/>
      <c r="H72" s="508"/>
    </row>
    <row r="73" spans="1:8" ht="15.75" x14ac:dyDescent="0.25">
      <c r="A73" s="510" t="s">
        <v>762</v>
      </c>
      <c r="B73" s="508"/>
      <c r="C73" s="508"/>
      <c r="D73" s="508"/>
      <c r="E73" s="508"/>
      <c r="F73" s="508"/>
      <c r="G73" s="508"/>
      <c r="H73" s="508"/>
    </row>
    <row r="74" spans="1:8" x14ac:dyDescent="0.25">
      <c r="A74" s="508"/>
      <c r="B74" s="508"/>
      <c r="C74" s="508"/>
      <c r="D74" s="508"/>
      <c r="E74" s="508"/>
      <c r="F74" s="508"/>
      <c r="G74" s="508"/>
      <c r="H74" s="508"/>
    </row>
    <row r="75" spans="1:8" x14ac:dyDescent="0.25">
      <c r="A75" s="509" t="s">
        <v>763</v>
      </c>
      <c r="B75" s="508"/>
      <c r="C75" s="508"/>
      <c r="D75" s="508"/>
      <c r="E75" s="508"/>
      <c r="F75" s="508"/>
      <c r="G75" s="508"/>
      <c r="H75" s="508"/>
    </row>
    <row r="76" spans="1:8" x14ac:dyDescent="0.25">
      <c r="A76" s="509" t="s">
        <v>764</v>
      </c>
      <c r="B76" s="508"/>
      <c r="C76" s="508"/>
      <c r="D76" s="508"/>
      <c r="E76" s="508"/>
      <c r="F76" s="508"/>
      <c r="G76" s="508"/>
      <c r="H76" s="508"/>
    </row>
    <row r="77" spans="1:8" x14ac:dyDescent="0.25">
      <c r="A77" s="509" t="s">
        <v>765</v>
      </c>
      <c r="B77" s="508"/>
      <c r="C77" s="508"/>
      <c r="D77" s="508"/>
      <c r="E77" s="508"/>
      <c r="F77" s="508"/>
      <c r="G77" s="508"/>
      <c r="H77" s="508"/>
    </row>
    <row r="78" spans="1:8" x14ac:dyDescent="0.25">
      <c r="A78" s="508"/>
      <c r="B78" s="508"/>
      <c r="C78" s="508"/>
      <c r="D78" s="508"/>
      <c r="E78" s="508"/>
      <c r="F78" s="508"/>
      <c r="G78" s="508"/>
      <c r="H78" s="508"/>
    </row>
    <row r="79" spans="1:8" ht="15.75" x14ac:dyDescent="0.25">
      <c r="A79" s="510" t="s">
        <v>766</v>
      </c>
      <c r="B79" s="508"/>
      <c r="C79" s="508"/>
      <c r="D79" s="508"/>
      <c r="E79" s="508"/>
      <c r="F79" s="508"/>
      <c r="G79" s="508"/>
      <c r="H79" s="508"/>
    </row>
    <row r="80" spans="1:8" x14ac:dyDescent="0.25">
      <c r="A80" s="508"/>
      <c r="B80" s="508"/>
      <c r="C80" s="508"/>
      <c r="D80" s="508"/>
      <c r="E80" s="508"/>
      <c r="F80" s="508"/>
      <c r="G80" s="508"/>
      <c r="H80" s="508"/>
    </row>
    <row r="81" spans="1:8" x14ac:dyDescent="0.25">
      <c r="A81" s="509" t="s">
        <v>767</v>
      </c>
      <c r="B81" s="508"/>
      <c r="C81" s="508"/>
      <c r="D81" s="508"/>
      <c r="E81" s="508"/>
      <c r="F81" s="508"/>
      <c r="G81" s="508"/>
      <c r="H81" s="508"/>
    </row>
    <row r="82" spans="1:8" x14ac:dyDescent="0.25">
      <c r="A82" s="509" t="s">
        <v>768</v>
      </c>
      <c r="B82" s="508"/>
      <c r="C82" s="508"/>
      <c r="D82" s="508"/>
      <c r="E82" s="508"/>
      <c r="F82" s="508"/>
      <c r="G82" s="508"/>
      <c r="H82" s="508"/>
    </row>
    <row r="83" spans="1:8" x14ac:dyDescent="0.25">
      <c r="A83" s="508"/>
      <c r="B83" s="508"/>
      <c r="C83" s="508"/>
      <c r="D83" s="508"/>
      <c r="E83" s="508"/>
      <c r="F83" s="508"/>
      <c r="G83" s="508"/>
      <c r="H83" s="508"/>
    </row>
    <row r="84" spans="1:8" x14ac:dyDescent="0.25">
      <c r="A84" s="509" t="s">
        <v>769</v>
      </c>
      <c r="B84" s="508"/>
      <c r="C84" s="508"/>
      <c r="D84" s="508"/>
      <c r="E84" s="508"/>
      <c r="F84" s="508"/>
      <c r="G84" s="508"/>
      <c r="H84" s="508"/>
    </row>
    <row r="85" spans="1:8" x14ac:dyDescent="0.25">
      <c r="A85" s="509" t="s">
        <v>770</v>
      </c>
      <c r="B85" s="508"/>
      <c r="C85" s="508"/>
      <c r="D85" s="508"/>
      <c r="E85" s="508"/>
      <c r="F85" s="508"/>
      <c r="G85" s="508"/>
      <c r="H85" s="508"/>
    </row>
    <row r="86" spans="1:8" x14ac:dyDescent="0.25">
      <c r="A86" s="508"/>
      <c r="B86" s="508"/>
      <c r="C86" s="508"/>
      <c r="D86" s="508"/>
      <c r="E86" s="508"/>
      <c r="F86" s="508"/>
      <c r="G86" s="508"/>
      <c r="H86" s="508"/>
    </row>
    <row r="87" spans="1:8" x14ac:dyDescent="0.25">
      <c r="A87" s="509" t="s">
        <v>771</v>
      </c>
      <c r="B87" s="508"/>
      <c r="C87" s="508"/>
      <c r="D87" s="508"/>
      <c r="E87" s="508"/>
      <c r="F87" s="508"/>
      <c r="G87" s="508"/>
      <c r="H87" s="508"/>
    </row>
    <row r="88" spans="1:8" x14ac:dyDescent="0.25">
      <c r="A88" s="509" t="s">
        <v>772</v>
      </c>
      <c r="B88" s="508"/>
      <c r="C88" s="508"/>
      <c r="D88" s="508"/>
      <c r="E88" s="508"/>
      <c r="F88" s="508"/>
      <c r="G88" s="508"/>
      <c r="H88" s="508"/>
    </row>
    <row r="89" spans="1:8" x14ac:dyDescent="0.25">
      <c r="A89" s="509" t="s">
        <v>773</v>
      </c>
      <c r="B89" s="508"/>
      <c r="C89" s="508"/>
      <c r="D89" s="508"/>
      <c r="E89" s="508"/>
      <c r="F89" s="508"/>
      <c r="G89" s="508"/>
      <c r="H89" s="508"/>
    </row>
    <row r="90" spans="1:8" x14ac:dyDescent="0.25">
      <c r="A90" s="508"/>
      <c r="B90" s="508"/>
      <c r="C90" s="508"/>
      <c r="D90" s="508"/>
      <c r="E90" s="508"/>
      <c r="F90" s="508"/>
      <c r="G90" s="508"/>
      <c r="H90" s="508"/>
    </row>
    <row r="91" spans="1:8" x14ac:dyDescent="0.25">
      <c r="A91" s="509" t="s">
        <v>774</v>
      </c>
      <c r="B91" s="508"/>
      <c r="C91" s="508"/>
      <c r="D91" s="508"/>
      <c r="E91" s="508"/>
      <c r="F91" s="508"/>
      <c r="G91" s="508"/>
      <c r="H91" s="508"/>
    </row>
    <row r="92" spans="1:8" x14ac:dyDescent="0.25">
      <c r="A92" s="509" t="s">
        <v>775</v>
      </c>
      <c r="B92" s="508"/>
      <c r="C92" s="508"/>
      <c r="D92" s="508"/>
      <c r="E92" s="508"/>
      <c r="F92" s="508"/>
      <c r="G92" s="508"/>
      <c r="H92" s="508"/>
    </row>
    <row r="93" spans="1:8" x14ac:dyDescent="0.25">
      <c r="A93" s="509" t="s">
        <v>776</v>
      </c>
      <c r="B93" s="508"/>
      <c r="C93" s="508"/>
      <c r="D93" s="508"/>
      <c r="E93" s="508"/>
      <c r="F93" s="508"/>
      <c r="G93" s="508"/>
      <c r="H93" s="508"/>
    </row>
    <row r="94" spans="1:8" x14ac:dyDescent="0.25">
      <c r="A94" s="509" t="s">
        <v>777</v>
      </c>
      <c r="B94" s="508"/>
      <c r="C94" s="508"/>
      <c r="D94" s="508"/>
      <c r="E94" s="508"/>
      <c r="F94" s="508"/>
      <c r="G94" s="508"/>
      <c r="H94" s="508"/>
    </row>
    <row r="95" spans="1:8" x14ac:dyDescent="0.25">
      <c r="A95" s="509" t="s">
        <v>778</v>
      </c>
      <c r="B95" s="508"/>
      <c r="C95" s="508"/>
      <c r="D95" s="508"/>
      <c r="E95" s="508"/>
      <c r="F95" s="508"/>
      <c r="G95" s="508"/>
      <c r="H95" s="508"/>
    </row>
    <row r="96" spans="1:8" x14ac:dyDescent="0.25">
      <c r="A96" s="509" t="s">
        <v>779</v>
      </c>
      <c r="B96" s="508"/>
      <c r="C96" s="508"/>
      <c r="D96" s="508"/>
      <c r="E96" s="508"/>
      <c r="F96" s="508"/>
      <c r="G96" s="508"/>
      <c r="H96" s="508"/>
    </row>
    <row r="97" spans="1:8" x14ac:dyDescent="0.25">
      <c r="A97" s="508"/>
      <c r="B97" s="508"/>
      <c r="C97" s="508"/>
      <c r="D97" s="508"/>
      <c r="E97" s="508"/>
      <c r="F97" s="508"/>
      <c r="G97" s="508"/>
      <c r="H97" s="508"/>
    </row>
    <row r="98" spans="1:8" x14ac:dyDescent="0.25">
      <c r="A98" s="509" t="s">
        <v>780</v>
      </c>
      <c r="B98" s="508"/>
      <c r="C98" s="508"/>
      <c r="D98" s="508"/>
      <c r="E98" s="508"/>
      <c r="F98" s="508"/>
      <c r="G98" s="508"/>
      <c r="H98" s="508"/>
    </row>
    <row r="99" spans="1:8" x14ac:dyDescent="0.25">
      <c r="A99" s="509" t="s">
        <v>781</v>
      </c>
      <c r="B99" s="508"/>
      <c r="C99" s="508"/>
      <c r="D99" s="508"/>
      <c r="E99" s="508"/>
      <c r="F99" s="508"/>
      <c r="G99" s="508"/>
      <c r="H99" s="508"/>
    </row>
    <row r="100" spans="1:8" x14ac:dyDescent="0.25">
      <c r="A100" s="509" t="s">
        <v>782</v>
      </c>
      <c r="B100" s="508"/>
      <c r="C100" s="508"/>
      <c r="D100" s="508"/>
      <c r="E100" s="508"/>
      <c r="F100" s="508"/>
      <c r="G100" s="508"/>
      <c r="H100" s="508"/>
    </row>
    <row r="101" spans="1:8" x14ac:dyDescent="0.25">
      <c r="A101" s="509" t="s">
        <v>783</v>
      </c>
      <c r="B101" s="508"/>
      <c r="C101" s="508"/>
      <c r="D101" s="508"/>
      <c r="E101" s="508"/>
      <c r="F101" s="508"/>
      <c r="G101" s="508"/>
      <c r="H101" s="508"/>
    </row>
    <row r="102" spans="1:8" x14ac:dyDescent="0.25">
      <c r="A102" s="509" t="s">
        <v>784</v>
      </c>
      <c r="B102" s="508"/>
      <c r="C102" s="508"/>
      <c r="D102" s="508"/>
      <c r="E102" s="508"/>
      <c r="F102" s="508"/>
      <c r="G102" s="508"/>
      <c r="H102" s="508"/>
    </row>
    <row r="103" spans="1:8" x14ac:dyDescent="0.25">
      <c r="A103" s="509" t="s">
        <v>785</v>
      </c>
      <c r="B103" s="508"/>
      <c r="C103" s="508"/>
      <c r="D103" s="508"/>
      <c r="E103" s="508"/>
      <c r="F103" s="508"/>
      <c r="G103" s="508"/>
      <c r="H103" s="508"/>
    </row>
    <row r="104" spans="1:8" x14ac:dyDescent="0.25">
      <c r="A104" s="509" t="s">
        <v>786</v>
      </c>
      <c r="B104" s="508"/>
      <c r="C104" s="508"/>
      <c r="D104" s="508"/>
      <c r="E104" s="508"/>
      <c r="F104" s="508"/>
      <c r="G104" s="508"/>
      <c r="H104" s="508"/>
    </row>
    <row r="105" spans="1:8" x14ac:dyDescent="0.25">
      <c r="A105" s="508"/>
      <c r="B105" s="508"/>
      <c r="C105" s="508"/>
      <c r="D105" s="508"/>
      <c r="E105" s="508"/>
      <c r="F105" s="508"/>
      <c r="G105" s="508"/>
      <c r="H105" s="508"/>
    </row>
    <row r="106" spans="1:8" x14ac:dyDescent="0.25">
      <c r="A106" s="509" t="s">
        <v>787</v>
      </c>
      <c r="B106" s="508"/>
      <c r="C106" s="508"/>
      <c r="D106" s="508"/>
      <c r="E106" s="508"/>
      <c r="F106" s="508"/>
      <c r="G106" s="508"/>
      <c r="H106" s="508"/>
    </row>
    <row r="107" spans="1:8" x14ac:dyDescent="0.25">
      <c r="A107" s="509" t="s">
        <v>788</v>
      </c>
      <c r="B107" s="508"/>
      <c r="C107" s="508"/>
      <c r="D107" s="508"/>
      <c r="E107" s="508"/>
      <c r="F107" s="508"/>
      <c r="G107" s="508"/>
      <c r="H107" s="508"/>
    </row>
    <row r="108" spans="1:8" x14ac:dyDescent="0.25">
      <c r="A108" s="508"/>
      <c r="B108" s="508"/>
      <c r="C108" s="508"/>
      <c r="D108" s="508"/>
      <c r="E108" s="508"/>
      <c r="F108" s="508"/>
      <c r="G108" s="508"/>
      <c r="H108" s="508"/>
    </row>
    <row r="109" spans="1:8" ht="15.75" x14ac:dyDescent="0.25">
      <c r="A109" s="510" t="s">
        <v>789</v>
      </c>
      <c r="B109" s="508"/>
      <c r="C109" s="508"/>
      <c r="D109" s="508"/>
      <c r="E109" s="508"/>
      <c r="F109" s="508"/>
      <c r="G109" s="508"/>
      <c r="H109" s="508"/>
    </row>
    <row r="110" spans="1:8" x14ac:dyDescent="0.25">
      <c r="A110" s="508"/>
      <c r="B110" s="508"/>
      <c r="C110" s="508"/>
      <c r="D110" s="508"/>
      <c r="E110" s="508"/>
      <c r="F110" s="508"/>
      <c r="G110" s="508"/>
      <c r="H110" s="508"/>
    </row>
    <row r="111" spans="1:8" x14ac:dyDescent="0.25">
      <c r="A111" s="509" t="s">
        <v>790</v>
      </c>
      <c r="B111" s="508"/>
      <c r="C111" s="508"/>
      <c r="D111" s="508"/>
      <c r="E111" s="508"/>
      <c r="F111" s="508"/>
      <c r="G111" s="508"/>
      <c r="H111" s="508"/>
    </row>
    <row r="112" spans="1:8" x14ac:dyDescent="0.25">
      <c r="A112" s="509" t="s">
        <v>791</v>
      </c>
      <c r="B112" s="508"/>
      <c r="C112" s="508"/>
      <c r="D112" s="508"/>
      <c r="E112" s="508"/>
      <c r="F112" s="508"/>
      <c r="G112" s="508"/>
      <c r="H112" s="508"/>
    </row>
    <row r="113" spans="1:8" x14ac:dyDescent="0.25">
      <c r="A113" s="509" t="s">
        <v>792</v>
      </c>
      <c r="B113" s="508"/>
      <c r="C113" s="508"/>
      <c r="D113" s="508"/>
      <c r="E113" s="508"/>
      <c r="F113" s="508"/>
      <c r="G113" s="508"/>
      <c r="H113" s="508"/>
    </row>
    <row r="114" spans="1:8" x14ac:dyDescent="0.25">
      <c r="A114" s="509" t="s">
        <v>793</v>
      </c>
      <c r="B114" s="508"/>
      <c r="C114" s="508"/>
      <c r="D114" s="508"/>
      <c r="E114" s="508"/>
      <c r="F114" s="508"/>
      <c r="G114" s="508"/>
      <c r="H114" s="508"/>
    </row>
    <row r="115" spans="1:8" x14ac:dyDescent="0.25">
      <c r="A115" s="509" t="s">
        <v>794</v>
      </c>
      <c r="B115" s="508"/>
      <c r="C115" s="508"/>
      <c r="D115" s="508"/>
      <c r="E115" s="508"/>
      <c r="F115" s="508"/>
      <c r="G115" s="508"/>
      <c r="H115" s="508"/>
    </row>
    <row r="116" spans="1:8" x14ac:dyDescent="0.25">
      <c r="A116" s="509" t="s">
        <v>795</v>
      </c>
      <c r="B116" s="508"/>
      <c r="C116" s="508"/>
      <c r="D116" s="508"/>
      <c r="E116" s="508"/>
      <c r="F116" s="508"/>
      <c r="G116" s="508"/>
      <c r="H116" s="508"/>
    </row>
    <row r="117" spans="1:8" x14ac:dyDescent="0.25">
      <c r="A117" s="509" t="s">
        <v>796</v>
      </c>
      <c r="B117" s="508"/>
      <c r="C117" s="508"/>
      <c r="D117" s="508"/>
      <c r="E117" s="508"/>
      <c r="F117" s="508"/>
      <c r="G117" s="508"/>
      <c r="H117" s="508"/>
    </row>
    <row r="118" spans="1:8" x14ac:dyDescent="0.25">
      <c r="A118" s="509" t="s">
        <v>797</v>
      </c>
      <c r="B118" s="508"/>
      <c r="C118" s="508"/>
      <c r="D118" s="508"/>
      <c r="E118" s="508"/>
      <c r="F118" s="508"/>
      <c r="G118" s="508"/>
      <c r="H118" s="508"/>
    </row>
    <row r="119" spans="1:8" x14ac:dyDescent="0.25">
      <c r="A119" s="509" t="s">
        <v>798</v>
      </c>
      <c r="B119" s="508"/>
      <c r="C119" s="508"/>
      <c r="D119" s="508"/>
      <c r="E119" s="508"/>
      <c r="F119" s="508"/>
      <c r="G119" s="508"/>
      <c r="H119" s="508"/>
    </row>
    <row r="120" spans="1:8" x14ac:dyDescent="0.25">
      <c r="A120" s="508"/>
      <c r="B120" s="508"/>
      <c r="C120" s="508"/>
      <c r="D120" s="508"/>
      <c r="E120" s="508"/>
      <c r="F120" s="508"/>
      <c r="G120" s="508"/>
      <c r="H120" s="508"/>
    </row>
    <row r="121" spans="1:8" ht="15.75" x14ac:dyDescent="0.25">
      <c r="A121" s="510" t="s">
        <v>799</v>
      </c>
      <c r="B121" s="508"/>
      <c r="C121" s="508"/>
      <c r="D121" s="508"/>
      <c r="E121" s="508"/>
      <c r="F121" s="508"/>
      <c r="G121" s="508"/>
      <c r="H121" s="508"/>
    </row>
    <row r="122" spans="1:8" x14ac:dyDescent="0.25">
      <c r="A122" s="508"/>
      <c r="B122" s="508"/>
      <c r="C122" s="508"/>
      <c r="D122" s="508"/>
      <c r="E122" s="508"/>
      <c r="F122" s="508"/>
      <c r="G122" s="508"/>
      <c r="H122" s="508"/>
    </row>
    <row r="123" spans="1:8" x14ac:dyDescent="0.25">
      <c r="A123" s="509" t="s">
        <v>800</v>
      </c>
      <c r="B123" s="508"/>
      <c r="C123" s="508"/>
      <c r="D123" s="508"/>
      <c r="E123" s="508"/>
      <c r="F123" s="508"/>
      <c r="G123" s="508"/>
      <c r="H123" s="508"/>
    </row>
    <row r="124" spans="1:8" x14ac:dyDescent="0.25">
      <c r="A124" s="508"/>
      <c r="B124" s="508"/>
      <c r="C124" s="508"/>
      <c r="D124" s="508"/>
      <c r="E124" s="508"/>
      <c r="F124" s="508"/>
      <c r="G124" s="508"/>
      <c r="H124" s="508"/>
    </row>
    <row r="125" spans="1:8" x14ac:dyDescent="0.25">
      <c r="A125" s="509" t="s">
        <v>801</v>
      </c>
      <c r="B125" s="508"/>
      <c r="C125" s="508"/>
      <c r="D125" s="508"/>
      <c r="E125" s="508"/>
      <c r="F125" s="508"/>
      <c r="G125" s="508"/>
      <c r="H125" s="508"/>
    </row>
    <row r="126" spans="1:8" x14ac:dyDescent="0.25">
      <c r="A126" s="509" t="s">
        <v>802</v>
      </c>
      <c r="B126" s="508"/>
      <c r="C126" s="508"/>
      <c r="D126" s="508"/>
      <c r="E126" s="508"/>
      <c r="F126" s="508"/>
      <c r="G126" s="508"/>
      <c r="H126" s="508"/>
    </row>
    <row r="127" spans="1:8" x14ac:dyDescent="0.25">
      <c r="A127" s="508"/>
      <c r="B127" s="508"/>
      <c r="C127" s="508"/>
      <c r="D127" s="508"/>
      <c r="E127" s="508"/>
      <c r="F127" s="508"/>
      <c r="G127" s="508"/>
      <c r="H127" s="508"/>
    </row>
    <row r="128" spans="1:8" x14ac:dyDescent="0.25">
      <c r="A128" s="509" t="s">
        <v>803</v>
      </c>
      <c r="B128" s="508"/>
      <c r="C128" s="508"/>
      <c r="D128" s="508"/>
      <c r="E128" s="508"/>
      <c r="F128" s="508"/>
      <c r="G128" s="508"/>
      <c r="H128" s="508"/>
    </row>
    <row r="129" spans="1:8" x14ac:dyDescent="0.25">
      <c r="A129" s="509" t="s">
        <v>804</v>
      </c>
      <c r="B129" s="508"/>
      <c r="C129" s="508"/>
      <c r="D129" s="508"/>
      <c r="E129" s="508"/>
      <c r="F129" s="508"/>
      <c r="G129" s="508"/>
      <c r="H129" s="508"/>
    </row>
    <row r="130" spans="1:8" x14ac:dyDescent="0.25">
      <c r="A130" s="509" t="s">
        <v>805</v>
      </c>
      <c r="B130" s="508"/>
      <c r="C130" s="508"/>
      <c r="D130" s="508"/>
      <c r="E130" s="508"/>
      <c r="F130" s="508"/>
      <c r="G130" s="508"/>
      <c r="H130" s="508"/>
    </row>
    <row r="131" spans="1:8" x14ac:dyDescent="0.25">
      <c r="A131" s="509" t="s">
        <v>806</v>
      </c>
      <c r="B131" s="508"/>
      <c r="C131" s="508"/>
      <c r="D131" s="508"/>
      <c r="E131" s="508"/>
      <c r="F131" s="508"/>
      <c r="G131" s="508"/>
      <c r="H131" s="508"/>
    </row>
    <row r="132" spans="1:8" x14ac:dyDescent="0.25">
      <c r="A132" s="509" t="s">
        <v>807</v>
      </c>
      <c r="B132" s="508"/>
      <c r="C132" s="508"/>
      <c r="D132" s="508"/>
      <c r="E132" s="508"/>
      <c r="F132" s="508"/>
      <c r="G132" s="508"/>
      <c r="H132" s="508"/>
    </row>
    <row r="133" spans="1:8" x14ac:dyDescent="0.25">
      <c r="A133" s="509" t="s">
        <v>808</v>
      </c>
      <c r="B133" s="508"/>
      <c r="C133" s="508"/>
      <c r="D133" s="508"/>
      <c r="E133" s="508"/>
      <c r="F133" s="508"/>
      <c r="G133" s="508"/>
      <c r="H133" s="508"/>
    </row>
    <row r="134" spans="1:8" x14ac:dyDescent="0.25">
      <c r="A134" s="509" t="s">
        <v>809</v>
      </c>
      <c r="B134" s="508"/>
      <c r="C134" s="508"/>
      <c r="D134" s="508"/>
      <c r="E134" s="508"/>
      <c r="F134" s="508"/>
      <c r="G134" s="508"/>
      <c r="H134" s="508"/>
    </row>
    <row r="135" spans="1:8" x14ac:dyDescent="0.25">
      <c r="A135" s="508"/>
      <c r="B135" s="508"/>
      <c r="C135" s="508"/>
      <c r="D135" s="508"/>
      <c r="E135" s="508"/>
      <c r="F135" s="508"/>
      <c r="G135" s="508"/>
      <c r="H135" s="508"/>
    </row>
    <row r="136" spans="1:8" x14ac:dyDescent="0.25">
      <c r="A136" s="511"/>
      <c r="B136" s="519" t="s">
        <v>810</v>
      </c>
      <c r="C136" s="519"/>
      <c r="D136" s="519" t="s">
        <v>811</v>
      </c>
      <c r="E136" s="519"/>
      <c r="F136" s="519"/>
      <c r="G136" s="519" t="s">
        <v>812</v>
      </c>
      <c r="H136" s="519"/>
    </row>
    <row r="137" spans="1:8" x14ac:dyDescent="0.25">
      <c r="A137" s="511" t="s">
        <v>813</v>
      </c>
      <c r="B137" s="525" t="s">
        <v>814</v>
      </c>
      <c r="C137" s="525" t="s">
        <v>815</v>
      </c>
      <c r="D137" s="525" t="s">
        <v>814</v>
      </c>
      <c r="E137" s="525" t="s">
        <v>816</v>
      </c>
      <c r="F137" s="525" t="s">
        <v>817</v>
      </c>
      <c r="G137" s="525" t="s">
        <v>814</v>
      </c>
      <c r="H137" s="525" t="s">
        <v>818</v>
      </c>
    </row>
    <row r="138" spans="1:8" x14ac:dyDescent="0.25">
      <c r="A138" s="511" t="s">
        <v>819</v>
      </c>
      <c r="B138" s="525">
        <v>1520</v>
      </c>
      <c r="C138" s="526">
        <v>0.41</v>
      </c>
      <c r="D138" s="525">
        <v>425</v>
      </c>
      <c r="E138" s="526">
        <v>0.48</v>
      </c>
      <c r="F138" s="526">
        <v>0.28000000000000003</v>
      </c>
      <c r="G138" s="525">
        <v>685</v>
      </c>
      <c r="H138" s="526">
        <v>0.42</v>
      </c>
    </row>
    <row r="139" spans="1:8" x14ac:dyDescent="0.25">
      <c r="A139" s="511" t="s">
        <v>820</v>
      </c>
      <c r="B139" s="525">
        <v>1579</v>
      </c>
      <c r="C139" s="526">
        <v>0.43</v>
      </c>
      <c r="D139" s="525">
        <v>375</v>
      </c>
      <c r="E139" s="526">
        <v>0.42</v>
      </c>
      <c r="F139" s="526">
        <v>0.24</v>
      </c>
      <c r="G139" s="525">
        <v>713</v>
      </c>
      <c r="H139" s="526">
        <v>0.44</v>
      </c>
    </row>
    <row r="140" spans="1:8" x14ac:dyDescent="0.25">
      <c r="A140" s="511" t="s">
        <v>821</v>
      </c>
      <c r="B140" s="525">
        <v>4</v>
      </c>
      <c r="C140" s="526">
        <v>0</v>
      </c>
      <c r="D140" s="525">
        <v>1</v>
      </c>
      <c r="E140" s="526">
        <v>0</v>
      </c>
      <c r="F140" s="526">
        <v>0.25</v>
      </c>
      <c r="G140" s="525">
        <v>1</v>
      </c>
      <c r="H140" s="526">
        <v>0</v>
      </c>
    </row>
    <row r="141" spans="1:8" x14ac:dyDescent="0.25">
      <c r="A141" s="511" t="s">
        <v>822</v>
      </c>
      <c r="B141" s="525">
        <v>592</v>
      </c>
      <c r="C141" s="526">
        <v>0.16</v>
      </c>
      <c r="D141" s="525">
        <v>89</v>
      </c>
      <c r="E141" s="526">
        <v>0.1</v>
      </c>
      <c r="F141" s="526">
        <v>0.15</v>
      </c>
      <c r="G141" s="525">
        <v>232</v>
      </c>
      <c r="H141" s="526">
        <v>0.14000000000000001</v>
      </c>
    </row>
    <row r="142" spans="1:8" x14ac:dyDescent="0.25">
      <c r="A142" s="511" t="s">
        <v>440</v>
      </c>
      <c r="B142" s="525">
        <v>3695</v>
      </c>
      <c r="C142" s="526"/>
      <c r="D142" s="525">
        <v>890</v>
      </c>
      <c r="E142" s="526"/>
      <c r="F142" s="526"/>
      <c r="G142" s="525">
        <v>1631</v>
      </c>
      <c r="H142" s="526"/>
    </row>
    <row r="143" spans="1:8" x14ac:dyDescent="0.25">
      <c r="A143" s="508"/>
      <c r="B143" s="508"/>
      <c r="C143" s="508"/>
      <c r="D143" s="508"/>
      <c r="E143" s="508"/>
      <c r="F143" s="508"/>
      <c r="G143" s="508"/>
      <c r="H143" s="508"/>
    </row>
    <row r="144" spans="1:8" x14ac:dyDescent="0.25">
      <c r="A144" s="509" t="s">
        <v>823</v>
      </c>
      <c r="B144" s="508"/>
      <c r="C144" s="508"/>
      <c r="D144" s="508"/>
      <c r="E144" s="508"/>
      <c r="F144" s="508"/>
      <c r="G144" s="508"/>
      <c r="H144" s="508"/>
    </row>
    <row r="145" spans="1:8" x14ac:dyDescent="0.25">
      <c r="A145" s="509" t="s">
        <v>824</v>
      </c>
      <c r="B145" s="508"/>
      <c r="C145" s="508"/>
      <c r="D145" s="508"/>
      <c r="E145" s="508"/>
      <c r="F145" s="508"/>
      <c r="G145" s="508"/>
      <c r="H145" s="508"/>
    </row>
    <row r="146" spans="1:8" x14ac:dyDescent="0.25">
      <c r="A146" s="509" t="s">
        <v>825</v>
      </c>
      <c r="B146" s="508"/>
      <c r="C146" s="508"/>
      <c r="D146" s="508"/>
      <c r="E146" s="508"/>
      <c r="F146" s="508"/>
      <c r="G146" s="508"/>
      <c r="H146" s="508"/>
    </row>
    <row r="147" spans="1:8" x14ac:dyDescent="0.25">
      <c r="A147" s="509" t="s">
        <v>826</v>
      </c>
      <c r="B147" s="508"/>
      <c r="C147" s="508"/>
      <c r="D147" s="508"/>
      <c r="E147" s="508"/>
      <c r="F147" s="508"/>
      <c r="G147" s="508"/>
      <c r="H147" s="508"/>
    </row>
    <row r="148" spans="1:8" x14ac:dyDescent="0.25">
      <c r="A148" s="508"/>
      <c r="B148" s="508"/>
      <c r="C148" s="508"/>
      <c r="D148" s="508"/>
      <c r="E148" s="508"/>
      <c r="F148" s="508"/>
      <c r="G148" s="508"/>
      <c r="H148" s="508"/>
    </row>
    <row r="149" spans="1:8" ht="15.75" x14ac:dyDescent="0.25">
      <c r="A149" s="510" t="s">
        <v>827</v>
      </c>
      <c r="B149" s="508"/>
      <c r="C149" s="508"/>
      <c r="D149" s="508"/>
      <c r="E149" s="508"/>
      <c r="F149" s="508"/>
      <c r="G149" s="508"/>
      <c r="H149" s="508"/>
    </row>
    <row r="150" spans="1:8" x14ac:dyDescent="0.25">
      <c r="A150" s="508"/>
      <c r="B150" s="508"/>
      <c r="C150" s="508"/>
      <c r="D150" s="508"/>
      <c r="E150" s="508"/>
      <c r="F150" s="508"/>
      <c r="G150" s="508"/>
      <c r="H150" s="508"/>
    </row>
    <row r="151" spans="1:8" x14ac:dyDescent="0.25">
      <c r="A151" s="509" t="s">
        <v>828</v>
      </c>
      <c r="B151" s="508"/>
      <c r="C151" s="508"/>
      <c r="D151" s="508"/>
      <c r="E151" s="508"/>
      <c r="F151" s="508"/>
      <c r="G151" s="508"/>
      <c r="H151" s="508"/>
    </row>
    <row r="152" spans="1:8" x14ac:dyDescent="0.25">
      <c r="A152" s="509" t="s">
        <v>829</v>
      </c>
      <c r="B152" s="508"/>
      <c r="C152" s="508"/>
      <c r="D152" s="508"/>
      <c r="E152" s="508"/>
      <c r="F152" s="508"/>
      <c r="G152" s="508"/>
      <c r="H152" s="508"/>
    </row>
    <row r="153" spans="1:8" x14ac:dyDescent="0.25">
      <c r="A153" s="508"/>
      <c r="B153" s="508"/>
      <c r="C153" s="508"/>
      <c r="D153" s="508"/>
      <c r="E153" s="508"/>
      <c r="F153" s="508"/>
      <c r="G153" s="508"/>
      <c r="H153" s="508"/>
    </row>
    <row r="154" spans="1:8" x14ac:dyDescent="0.25">
      <c r="A154" s="509" t="s">
        <v>830</v>
      </c>
      <c r="B154" s="508"/>
      <c r="C154" s="508"/>
      <c r="D154" s="508"/>
      <c r="E154" s="508"/>
      <c r="F154" s="508"/>
      <c r="G154" s="508"/>
      <c r="H154" s="508"/>
    </row>
    <row r="155" spans="1:8" x14ac:dyDescent="0.25">
      <c r="A155" s="509" t="s">
        <v>831</v>
      </c>
      <c r="B155" s="508"/>
      <c r="C155" s="508"/>
      <c r="D155" s="508"/>
      <c r="E155" s="508"/>
      <c r="F155" s="508"/>
      <c r="G155" s="508"/>
      <c r="H155" s="508"/>
    </row>
    <row r="156" spans="1:8" x14ac:dyDescent="0.25">
      <c r="A156" s="509" t="s">
        <v>832</v>
      </c>
      <c r="B156" s="508"/>
      <c r="C156" s="508"/>
      <c r="D156" s="508"/>
      <c r="E156" s="508"/>
      <c r="F156" s="508"/>
      <c r="G156" s="508"/>
      <c r="H156" s="508"/>
    </row>
    <row r="157" spans="1:8" x14ac:dyDescent="0.25">
      <c r="A157" s="508"/>
      <c r="B157" s="508"/>
      <c r="C157" s="508"/>
      <c r="D157" s="508"/>
      <c r="E157" s="508"/>
      <c r="F157" s="508"/>
      <c r="G157" s="508"/>
      <c r="H157" s="508"/>
    </row>
    <row r="158" spans="1:8" x14ac:dyDescent="0.25">
      <c r="A158" s="509" t="s">
        <v>833</v>
      </c>
      <c r="B158" s="508"/>
      <c r="C158" s="508"/>
      <c r="D158" s="508"/>
      <c r="E158" s="508"/>
      <c r="F158" s="508"/>
      <c r="G158" s="508"/>
      <c r="H158" s="508"/>
    </row>
    <row r="159" spans="1:8" x14ac:dyDescent="0.25">
      <c r="A159" s="509" t="s">
        <v>834</v>
      </c>
      <c r="B159" s="508"/>
      <c r="C159" s="508"/>
      <c r="D159" s="508"/>
      <c r="E159" s="508"/>
      <c r="F159" s="508"/>
      <c r="G159" s="508"/>
      <c r="H159" s="508"/>
    </row>
    <row r="160" spans="1:8" x14ac:dyDescent="0.25">
      <c r="A160" s="509" t="s">
        <v>835</v>
      </c>
      <c r="B160" s="508"/>
      <c r="C160" s="508"/>
      <c r="D160" s="508"/>
      <c r="E160" s="508"/>
      <c r="F160" s="508"/>
      <c r="G160" s="508"/>
      <c r="H160" s="508"/>
    </row>
    <row r="161" spans="1:8" x14ac:dyDescent="0.25">
      <c r="A161" s="508"/>
      <c r="B161" s="508"/>
      <c r="C161" s="508"/>
      <c r="D161" s="508"/>
      <c r="E161" s="508"/>
      <c r="F161" s="508"/>
      <c r="G161" s="508"/>
      <c r="H161" s="508"/>
    </row>
    <row r="162" spans="1:8" x14ac:dyDescent="0.25">
      <c r="A162" s="509" t="s">
        <v>836</v>
      </c>
      <c r="B162" s="508"/>
      <c r="C162" s="508"/>
      <c r="D162" s="508"/>
      <c r="E162" s="508"/>
      <c r="F162" s="508"/>
      <c r="G162" s="508"/>
      <c r="H162" s="508"/>
    </row>
    <row r="163" spans="1:8" x14ac:dyDescent="0.25">
      <c r="A163" s="509" t="s">
        <v>837</v>
      </c>
      <c r="B163" s="508"/>
      <c r="C163" s="508"/>
      <c r="D163" s="508"/>
      <c r="E163" s="508"/>
      <c r="F163" s="508"/>
      <c r="G163" s="508"/>
      <c r="H163" s="508"/>
    </row>
    <row r="164" spans="1:8" x14ac:dyDescent="0.25">
      <c r="A164" s="509" t="s">
        <v>838</v>
      </c>
      <c r="B164" s="508"/>
      <c r="C164" s="508"/>
      <c r="D164" s="508"/>
      <c r="E164" s="508"/>
      <c r="F164" s="508"/>
      <c r="G164" s="508"/>
      <c r="H164" s="508"/>
    </row>
    <row r="165" spans="1:8" x14ac:dyDescent="0.25">
      <c r="A165" s="508"/>
      <c r="B165" s="508"/>
      <c r="C165" s="508"/>
      <c r="D165" s="508"/>
      <c r="E165" s="508"/>
      <c r="F165" s="508"/>
      <c r="G165" s="508"/>
      <c r="H165" s="508"/>
    </row>
    <row r="166" spans="1:8" x14ac:dyDescent="0.25">
      <c r="A166" s="509" t="s">
        <v>839</v>
      </c>
      <c r="B166" s="508"/>
      <c r="C166" s="508"/>
      <c r="D166" s="508"/>
      <c r="E166" s="508"/>
      <c r="F166" s="508"/>
      <c r="G166" s="508"/>
      <c r="H166" s="508"/>
    </row>
    <row r="167" spans="1:8" x14ac:dyDescent="0.25">
      <c r="A167" s="509" t="s">
        <v>840</v>
      </c>
      <c r="B167" s="508"/>
      <c r="C167" s="508"/>
      <c r="D167" s="508"/>
      <c r="E167" s="508"/>
      <c r="F167" s="508"/>
      <c r="G167" s="508"/>
      <c r="H167" s="508"/>
    </row>
    <row r="168" spans="1:8" x14ac:dyDescent="0.25">
      <c r="A168" s="508"/>
      <c r="B168" s="508"/>
      <c r="C168" s="508"/>
      <c r="D168" s="508"/>
      <c r="E168" s="508"/>
      <c r="F168" s="508"/>
      <c r="G168" s="508"/>
      <c r="H168" s="508"/>
    </row>
    <row r="169" spans="1:8" ht="15.75" x14ac:dyDescent="0.25">
      <c r="A169" s="510" t="s">
        <v>841</v>
      </c>
      <c r="B169" s="508"/>
      <c r="C169" s="508"/>
      <c r="D169" s="508"/>
      <c r="E169" s="508"/>
      <c r="F169" s="508"/>
      <c r="G169" s="508"/>
      <c r="H169" s="508"/>
    </row>
    <row r="170" spans="1:8" x14ac:dyDescent="0.25">
      <c r="A170" s="508"/>
      <c r="B170" s="508"/>
      <c r="C170" s="508"/>
      <c r="D170" s="508"/>
      <c r="E170" s="508"/>
      <c r="F170" s="508"/>
      <c r="G170" s="508"/>
      <c r="H170" s="508"/>
    </row>
    <row r="171" spans="1:8" x14ac:dyDescent="0.25">
      <c r="A171" s="509" t="s">
        <v>842</v>
      </c>
      <c r="B171" s="508"/>
      <c r="C171" s="508"/>
      <c r="D171" s="508"/>
      <c r="E171" s="508"/>
      <c r="F171" s="508"/>
      <c r="G171" s="508"/>
      <c r="H171" s="508"/>
    </row>
    <row r="172" spans="1:8" x14ac:dyDescent="0.25">
      <c r="A172" s="509" t="s">
        <v>843</v>
      </c>
      <c r="B172" s="508"/>
      <c r="C172" s="508"/>
      <c r="D172" s="508"/>
      <c r="E172" s="508"/>
      <c r="F172" s="508"/>
      <c r="G172" s="508"/>
      <c r="H172" s="508"/>
    </row>
    <row r="173" spans="1:8" x14ac:dyDescent="0.25">
      <c r="A173" s="508"/>
      <c r="B173" s="508"/>
      <c r="C173" s="508"/>
      <c r="D173" s="508"/>
      <c r="E173" s="508"/>
      <c r="F173" s="508"/>
      <c r="G173" s="508"/>
      <c r="H173" s="508"/>
    </row>
    <row r="174" spans="1:8" x14ac:dyDescent="0.25">
      <c r="A174" s="509" t="s">
        <v>844</v>
      </c>
      <c r="B174" s="508"/>
      <c r="C174" s="508"/>
      <c r="D174" s="508"/>
      <c r="E174" s="508"/>
      <c r="F174" s="508"/>
      <c r="G174" s="508"/>
      <c r="H174" s="508"/>
    </row>
    <row r="175" spans="1:8" x14ac:dyDescent="0.25">
      <c r="A175" s="509" t="s">
        <v>845</v>
      </c>
      <c r="B175" s="508"/>
      <c r="C175" s="508"/>
      <c r="D175" s="508"/>
      <c r="E175" s="508"/>
      <c r="F175" s="508"/>
      <c r="G175" s="508"/>
      <c r="H175" s="508"/>
    </row>
    <row r="176" spans="1:8" x14ac:dyDescent="0.25">
      <c r="A176" s="508"/>
      <c r="B176" s="508"/>
      <c r="C176" s="508"/>
      <c r="D176" s="508"/>
      <c r="E176" s="508"/>
      <c r="F176" s="508"/>
      <c r="G176" s="508"/>
      <c r="H176" s="508"/>
    </row>
    <row r="177" spans="1:8" x14ac:dyDescent="0.25">
      <c r="A177" s="509" t="s">
        <v>846</v>
      </c>
      <c r="B177" s="508"/>
      <c r="C177" s="508"/>
      <c r="D177" s="508"/>
      <c r="E177" s="508"/>
      <c r="F177" s="508"/>
      <c r="G177" s="508"/>
      <c r="H177" s="508"/>
    </row>
    <row r="178" spans="1:8" x14ac:dyDescent="0.25">
      <c r="A178" s="509" t="s">
        <v>847</v>
      </c>
      <c r="B178" s="508"/>
      <c r="C178" s="508"/>
      <c r="D178" s="508"/>
      <c r="E178" s="508"/>
      <c r="F178" s="508"/>
      <c r="G178" s="508"/>
      <c r="H178" s="508"/>
    </row>
    <row r="179" spans="1:8" x14ac:dyDescent="0.25">
      <c r="A179" s="508"/>
      <c r="B179" s="508"/>
      <c r="C179" s="508"/>
      <c r="D179" s="508"/>
      <c r="E179" s="508"/>
      <c r="F179" s="508"/>
      <c r="G179" s="508"/>
      <c r="H179" s="508"/>
    </row>
    <row r="180" spans="1:8" x14ac:dyDescent="0.25">
      <c r="A180" s="509" t="s">
        <v>848</v>
      </c>
      <c r="B180" s="508"/>
      <c r="C180" s="508"/>
      <c r="D180" s="508"/>
      <c r="E180" s="508"/>
      <c r="F180" s="508"/>
      <c r="G180" s="508"/>
      <c r="H180" s="508"/>
    </row>
    <row r="181" spans="1:8" x14ac:dyDescent="0.25">
      <c r="A181" s="509" t="s">
        <v>849</v>
      </c>
      <c r="B181" s="508"/>
      <c r="C181" s="508"/>
      <c r="D181" s="508"/>
      <c r="E181" s="508"/>
      <c r="F181" s="508"/>
      <c r="G181" s="508"/>
      <c r="H181" s="508"/>
    </row>
    <row r="182" spans="1:8" x14ac:dyDescent="0.25">
      <c r="A182" s="509" t="s">
        <v>850</v>
      </c>
      <c r="B182" s="508"/>
      <c r="C182" s="508"/>
      <c r="D182" s="508"/>
      <c r="E182" s="508"/>
      <c r="F182" s="508"/>
      <c r="G182" s="508"/>
      <c r="H182" s="508"/>
    </row>
    <row r="183" spans="1:8" x14ac:dyDescent="0.25">
      <c r="A183" s="508"/>
      <c r="B183" s="508"/>
      <c r="C183" s="508"/>
      <c r="D183" s="508"/>
      <c r="E183" s="508"/>
      <c r="F183" s="508"/>
      <c r="G183" s="508"/>
      <c r="H183" s="508"/>
    </row>
    <row r="184" spans="1:8" x14ac:dyDescent="0.25">
      <c r="A184" s="509" t="s">
        <v>761</v>
      </c>
      <c r="B184" s="508"/>
      <c r="C184" s="508"/>
      <c r="D184" s="508"/>
      <c r="E184" s="508"/>
      <c r="F184" s="508"/>
      <c r="G184" s="508"/>
      <c r="H184" s="508"/>
    </row>
    <row r="185" spans="1:8" x14ac:dyDescent="0.25">
      <c r="A185" s="508"/>
      <c r="B185" s="508"/>
      <c r="C185" s="508"/>
      <c r="D185" s="508"/>
      <c r="E185" s="508"/>
      <c r="F185" s="508"/>
      <c r="G185" s="508"/>
      <c r="H185" s="508"/>
    </row>
    <row r="186" spans="1:8" ht="15.75" x14ac:dyDescent="0.25">
      <c r="A186" s="510" t="s">
        <v>851</v>
      </c>
      <c r="B186" s="508"/>
      <c r="C186" s="508"/>
      <c r="D186" s="508"/>
      <c r="E186" s="508"/>
      <c r="F186" s="508"/>
      <c r="G186" s="508"/>
      <c r="H186" s="508"/>
    </row>
    <row r="187" spans="1:8" x14ac:dyDescent="0.25">
      <c r="A187" s="508"/>
      <c r="B187" s="508"/>
      <c r="C187" s="508"/>
      <c r="D187" s="508"/>
      <c r="E187" s="508"/>
      <c r="F187" s="508"/>
      <c r="G187" s="508"/>
      <c r="H187" s="508"/>
    </row>
    <row r="188" spans="1:8" x14ac:dyDescent="0.25">
      <c r="A188" s="508"/>
      <c r="B188" s="508"/>
      <c r="C188" s="508"/>
      <c r="D188" s="508"/>
      <c r="E188" s="508"/>
      <c r="F188" s="508"/>
      <c r="G188" s="508"/>
      <c r="H188" s="508"/>
    </row>
    <row r="189" spans="1:8" x14ac:dyDescent="0.25">
      <c r="A189" s="508"/>
      <c r="B189" s="508"/>
      <c r="C189" s="508"/>
      <c r="D189" s="508"/>
      <c r="E189" s="508"/>
      <c r="F189" s="508"/>
      <c r="G189" s="508"/>
      <c r="H189" s="508"/>
    </row>
    <row r="190" spans="1:8" x14ac:dyDescent="0.25">
      <c r="A190" s="508"/>
      <c r="B190" s="508"/>
      <c r="C190" s="508"/>
      <c r="D190" s="508"/>
      <c r="E190" s="508"/>
      <c r="F190" s="508"/>
      <c r="G190" s="508"/>
      <c r="H190" s="508"/>
    </row>
    <row r="191" spans="1:8" x14ac:dyDescent="0.25">
      <c r="A191" s="508"/>
      <c r="B191" s="508"/>
      <c r="C191" s="508"/>
      <c r="D191" s="508"/>
      <c r="E191" s="508"/>
      <c r="F191" s="508"/>
      <c r="G191" s="508"/>
      <c r="H191" s="508"/>
    </row>
    <row r="192" spans="1:8" x14ac:dyDescent="0.25">
      <c r="A192" s="508"/>
      <c r="B192" s="508"/>
      <c r="C192" s="508"/>
      <c r="D192" s="508"/>
      <c r="E192" s="508"/>
      <c r="F192" s="508"/>
      <c r="G192" s="508"/>
      <c r="H192" s="508"/>
    </row>
    <row r="193" spans="1:8" x14ac:dyDescent="0.25">
      <c r="A193" s="508"/>
      <c r="B193" s="508"/>
      <c r="C193" s="508"/>
      <c r="D193" s="508"/>
      <c r="E193" s="508"/>
      <c r="F193" s="508"/>
      <c r="G193" s="508"/>
      <c r="H193" s="508"/>
    </row>
    <row r="194" spans="1:8" x14ac:dyDescent="0.25">
      <c r="A194" s="508"/>
      <c r="B194" s="508"/>
      <c r="C194" s="508"/>
      <c r="D194" s="508"/>
      <c r="E194" s="508"/>
      <c r="F194" s="508"/>
      <c r="G194" s="508"/>
      <c r="H194" s="508"/>
    </row>
    <row r="195" spans="1:8" x14ac:dyDescent="0.25">
      <c r="A195" s="508"/>
      <c r="B195" s="508"/>
      <c r="C195" s="508"/>
      <c r="D195" s="508"/>
      <c r="E195" s="508"/>
      <c r="F195" s="508"/>
      <c r="G195" s="508"/>
      <c r="H195" s="508"/>
    </row>
    <row r="196" spans="1:8" x14ac:dyDescent="0.25">
      <c r="A196" s="508"/>
      <c r="B196" s="508"/>
      <c r="C196" s="508"/>
      <c r="D196" s="508"/>
      <c r="E196" s="508"/>
      <c r="F196" s="508"/>
      <c r="G196" s="508"/>
      <c r="H196" s="508"/>
    </row>
    <row r="197" spans="1:8" x14ac:dyDescent="0.25">
      <c r="A197" s="508"/>
      <c r="B197" s="508"/>
      <c r="C197" s="508"/>
      <c r="D197" s="508"/>
      <c r="E197" s="508"/>
      <c r="F197" s="508"/>
      <c r="G197" s="508"/>
      <c r="H197" s="508"/>
    </row>
    <row r="198" spans="1:8" x14ac:dyDescent="0.25">
      <c r="A198" s="508"/>
      <c r="B198" s="508"/>
      <c r="C198" s="508"/>
      <c r="D198" s="508"/>
      <c r="E198" s="508"/>
      <c r="F198" s="508"/>
      <c r="G198" s="508"/>
      <c r="H198" s="508"/>
    </row>
    <row r="199" spans="1:8" x14ac:dyDescent="0.25">
      <c r="A199" s="508"/>
      <c r="B199" s="508"/>
      <c r="C199" s="508"/>
      <c r="D199" s="508"/>
      <c r="E199" s="508"/>
      <c r="F199" s="508"/>
      <c r="G199" s="508"/>
      <c r="H199" s="508"/>
    </row>
    <row r="200" spans="1:8" x14ac:dyDescent="0.25">
      <c r="A200" s="508"/>
      <c r="B200" s="508"/>
      <c r="C200" s="508"/>
      <c r="D200" s="508"/>
      <c r="E200" s="508"/>
      <c r="F200" s="508"/>
      <c r="G200" s="508"/>
      <c r="H200" s="508"/>
    </row>
    <row r="201" spans="1:8" x14ac:dyDescent="0.25">
      <c r="A201" s="508"/>
      <c r="B201" s="508"/>
      <c r="C201" s="508"/>
      <c r="D201" s="508"/>
      <c r="E201" s="508"/>
      <c r="F201" s="508"/>
      <c r="G201" s="508"/>
      <c r="H201" s="508"/>
    </row>
    <row r="202" spans="1:8" x14ac:dyDescent="0.25">
      <c r="A202" s="508"/>
      <c r="B202" s="508"/>
      <c r="C202" s="508"/>
      <c r="D202" s="508"/>
      <c r="E202" s="508"/>
      <c r="F202" s="508"/>
      <c r="G202" s="508"/>
      <c r="H202" s="508"/>
    </row>
    <row r="203" spans="1:8" x14ac:dyDescent="0.25">
      <c r="A203" s="508"/>
      <c r="B203" s="508"/>
      <c r="C203" s="508"/>
      <c r="D203" s="508"/>
      <c r="E203" s="508"/>
      <c r="F203" s="508"/>
      <c r="G203" s="508"/>
      <c r="H203" s="508"/>
    </row>
    <row r="204" spans="1:8" x14ac:dyDescent="0.25">
      <c r="A204" s="508"/>
      <c r="B204" s="508"/>
      <c r="C204" s="508"/>
      <c r="D204" s="508"/>
      <c r="E204" s="508"/>
      <c r="F204" s="508"/>
      <c r="G204" s="508"/>
      <c r="H204" s="508"/>
    </row>
    <row r="205" spans="1:8" x14ac:dyDescent="0.25">
      <c r="A205" s="508"/>
      <c r="B205" s="508"/>
      <c r="C205" s="508"/>
      <c r="D205" s="508"/>
      <c r="E205" s="508"/>
      <c r="F205" s="508"/>
      <c r="G205" s="508"/>
      <c r="H205" s="508"/>
    </row>
    <row r="206" spans="1:8" x14ac:dyDescent="0.25">
      <c r="A206" s="508"/>
      <c r="B206" s="508"/>
      <c r="C206" s="508"/>
      <c r="D206" s="508"/>
      <c r="E206" s="508"/>
      <c r="F206" s="508"/>
      <c r="G206" s="508"/>
      <c r="H206" s="508"/>
    </row>
    <row r="207" spans="1:8" x14ac:dyDescent="0.25">
      <c r="A207" s="508"/>
      <c r="B207" s="508"/>
      <c r="C207" s="508"/>
      <c r="D207" s="508"/>
      <c r="E207" s="508"/>
      <c r="F207" s="508"/>
      <c r="G207" s="508"/>
      <c r="H207" s="508"/>
    </row>
    <row r="208" spans="1:8" x14ac:dyDescent="0.25">
      <c r="A208" s="508"/>
      <c r="B208" s="508"/>
      <c r="C208" s="508"/>
      <c r="D208" s="508"/>
      <c r="E208" s="508"/>
      <c r="F208" s="508"/>
      <c r="G208" s="508"/>
      <c r="H208" s="508"/>
    </row>
    <row r="209" spans="1:8" x14ac:dyDescent="0.25">
      <c r="A209" s="508"/>
      <c r="B209" s="508"/>
      <c r="C209" s="508"/>
      <c r="D209" s="508"/>
      <c r="E209" s="508"/>
      <c r="F209" s="508"/>
      <c r="G209" s="508"/>
      <c r="H209" s="508"/>
    </row>
    <row r="210" spans="1:8" ht="15.75" x14ac:dyDescent="0.25">
      <c r="A210" s="510" t="s">
        <v>852</v>
      </c>
      <c r="B210" s="508"/>
      <c r="C210" s="508"/>
      <c r="D210" s="508"/>
      <c r="E210" s="508"/>
      <c r="F210" s="508"/>
      <c r="G210" s="508"/>
      <c r="H210" s="508"/>
    </row>
    <row r="211" spans="1:8" x14ac:dyDescent="0.25">
      <c r="A211" s="508"/>
      <c r="B211" s="508"/>
      <c r="C211" s="508"/>
      <c r="D211" s="508"/>
      <c r="E211" s="508"/>
      <c r="F211" s="508"/>
      <c r="G211" s="508"/>
      <c r="H211" s="508"/>
    </row>
    <row r="212" spans="1:8" x14ac:dyDescent="0.25">
      <c r="A212" s="509" t="s">
        <v>853</v>
      </c>
      <c r="B212" s="508"/>
      <c r="C212" s="508"/>
      <c r="D212" s="508"/>
      <c r="E212" s="508"/>
      <c r="F212" s="508"/>
      <c r="G212" s="508"/>
      <c r="H212" s="508"/>
    </row>
    <row r="213" spans="1:8" x14ac:dyDescent="0.25">
      <c r="A213" s="509" t="s">
        <v>854</v>
      </c>
      <c r="B213" s="508"/>
      <c r="C213" s="508"/>
      <c r="D213" s="508"/>
      <c r="E213" s="508"/>
      <c r="F213" s="508"/>
      <c r="G213" s="508"/>
      <c r="H213" s="508"/>
    </row>
    <row r="214" spans="1:8" x14ac:dyDescent="0.25">
      <c r="A214" s="509" t="s">
        <v>855</v>
      </c>
      <c r="B214" s="508"/>
      <c r="C214" s="508"/>
      <c r="D214" s="508"/>
      <c r="E214" s="508"/>
      <c r="F214" s="508"/>
      <c r="G214" s="508"/>
      <c r="H214" s="508"/>
    </row>
    <row r="215" spans="1:8" x14ac:dyDescent="0.25">
      <c r="A215" s="509" t="s">
        <v>856</v>
      </c>
      <c r="B215" s="508"/>
      <c r="C215" s="508"/>
      <c r="D215" s="508"/>
      <c r="E215" s="508"/>
      <c r="F215" s="508"/>
      <c r="G215" s="508"/>
      <c r="H215" s="508"/>
    </row>
    <row r="216" spans="1:8" x14ac:dyDescent="0.25">
      <c r="A216" s="509" t="s">
        <v>857</v>
      </c>
      <c r="B216" s="508"/>
      <c r="C216" s="508"/>
      <c r="D216" s="508"/>
      <c r="E216" s="508"/>
      <c r="F216" s="508"/>
      <c r="G216" s="508"/>
      <c r="H216" s="508"/>
    </row>
    <row r="217" spans="1:8" x14ac:dyDescent="0.25">
      <c r="A217" s="508"/>
      <c r="B217" s="508"/>
      <c r="C217" s="508"/>
      <c r="D217" s="508"/>
      <c r="E217" s="508"/>
      <c r="F217" s="508"/>
      <c r="G217" s="508"/>
      <c r="H217" s="508"/>
    </row>
    <row r="218" spans="1:8" x14ac:dyDescent="0.25">
      <c r="A218" s="509" t="s">
        <v>858</v>
      </c>
      <c r="B218" s="508"/>
      <c r="C218" s="508"/>
      <c r="D218" s="508"/>
      <c r="E218" s="508"/>
      <c r="F218" s="508"/>
      <c r="G218" s="508"/>
      <c r="H218" s="508"/>
    </row>
    <row r="219" spans="1:8" x14ac:dyDescent="0.25">
      <c r="A219" s="509" t="s">
        <v>859</v>
      </c>
      <c r="B219" s="508"/>
      <c r="C219" s="508"/>
      <c r="D219" s="508"/>
      <c r="E219" s="508"/>
      <c r="F219" s="508"/>
      <c r="G219" s="508"/>
      <c r="H219" s="508"/>
    </row>
    <row r="220" spans="1:8" x14ac:dyDescent="0.25">
      <c r="A220" s="509" t="s">
        <v>860</v>
      </c>
      <c r="B220" s="508"/>
      <c r="C220" s="508"/>
      <c r="D220" s="508"/>
      <c r="E220" s="508"/>
      <c r="F220" s="508"/>
      <c r="G220" s="508"/>
      <c r="H220" s="508"/>
    </row>
    <row r="221" spans="1:8" x14ac:dyDescent="0.25">
      <c r="A221" s="508"/>
      <c r="B221" s="508"/>
      <c r="C221" s="508"/>
      <c r="D221" s="508"/>
      <c r="E221" s="508"/>
      <c r="F221" s="508"/>
      <c r="G221" s="508"/>
      <c r="H221" s="508"/>
    </row>
    <row r="222" spans="1:8" ht="15.75" x14ac:dyDescent="0.25">
      <c r="A222" s="510" t="s">
        <v>861</v>
      </c>
      <c r="B222" s="508"/>
      <c r="C222" s="508"/>
      <c r="D222" s="508"/>
      <c r="E222" s="508"/>
      <c r="F222" s="508"/>
      <c r="G222" s="508"/>
      <c r="H222" s="508"/>
    </row>
    <row r="223" spans="1:8" x14ac:dyDescent="0.25">
      <c r="A223" s="508"/>
      <c r="B223" s="508"/>
      <c r="C223" s="508"/>
      <c r="D223" s="508"/>
      <c r="E223" s="508"/>
      <c r="F223" s="508"/>
      <c r="G223" s="508"/>
      <c r="H223" s="508"/>
    </row>
    <row r="224" spans="1:8" x14ac:dyDescent="0.25">
      <c r="A224" s="509" t="s">
        <v>862</v>
      </c>
      <c r="B224" s="508"/>
      <c r="C224" s="508"/>
      <c r="D224" s="508"/>
      <c r="E224" s="508"/>
      <c r="F224" s="508"/>
      <c r="G224" s="508"/>
      <c r="H224" s="508"/>
    </row>
    <row r="225" spans="1:8" x14ac:dyDescent="0.25">
      <c r="A225" s="509" t="s">
        <v>863</v>
      </c>
      <c r="B225" s="508"/>
      <c r="C225" s="508"/>
      <c r="D225" s="508"/>
      <c r="E225" s="508"/>
      <c r="F225" s="508"/>
      <c r="G225" s="508"/>
      <c r="H225" s="508"/>
    </row>
    <row r="226" spans="1:8" x14ac:dyDescent="0.25">
      <c r="A226" s="509" t="s">
        <v>864</v>
      </c>
      <c r="B226" s="508"/>
      <c r="C226" s="508"/>
      <c r="D226" s="508"/>
      <c r="E226" s="508"/>
      <c r="F226" s="508"/>
      <c r="G226" s="508"/>
      <c r="H226" s="508"/>
    </row>
    <row r="227" spans="1:8" x14ac:dyDescent="0.25">
      <c r="A227" s="509" t="s">
        <v>865</v>
      </c>
      <c r="B227" s="508"/>
      <c r="C227" s="508"/>
      <c r="D227" s="508"/>
      <c r="E227" s="508"/>
      <c r="F227" s="508"/>
      <c r="G227" s="508"/>
      <c r="H227" s="508"/>
    </row>
    <row r="228" spans="1:8" x14ac:dyDescent="0.25">
      <c r="A228" s="509" t="s">
        <v>866</v>
      </c>
      <c r="B228" s="508"/>
      <c r="C228" s="508"/>
      <c r="D228" s="508"/>
      <c r="E228" s="508"/>
      <c r="F228" s="508"/>
      <c r="G228" s="508"/>
      <c r="H228" s="508"/>
    </row>
    <row r="229" spans="1:8" x14ac:dyDescent="0.25">
      <c r="A229" s="509" t="s">
        <v>867</v>
      </c>
      <c r="B229" s="508"/>
      <c r="C229" s="508"/>
      <c r="D229" s="508"/>
      <c r="E229" s="508"/>
      <c r="F229" s="508"/>
      <c r="G229" s="508"/>
      <c r="H229" s="508"/>
    </row>
    <row r="230" spans="1:8" x14ac:dyDescent="0.25">
      <c r="A230" s="509" t="s">
        <v>868</v>
      </c>
      <c r="B230" s="508"/>
      <c r="C230" s="508"/>
      <c r="D230" s="508"/>
      <c r="E230" s="508"/>
      <c r="F230" s="508"/>
      <c r="G230" s="508"/>
      <c r="H230" s="508"/>
    </row>
    <row r="231" spans="1:8" x14ac:dyDescent="0.25">
      <c r="A231" s="508"/>
      <c r="B231" s="508"/>
      <c r="C231" s="508"/>
      <c r="D231" s="508"/>
      <c r="E231" s="508"/>
      <c r="F231" s="508"/>
      <c r="G231" s="508"/>
      <c r="H231" s="508"/>
    </row>
    <row r="232" spans="1:8" x14ac:dyDescent="0.25">
      <c r="A232" s="509" t="s">
        <v>869</v>
      </c>
      <c r="B232" s="508"/>
      <c r="C232" s="508"/>
      <c r="D232" s="508"/>
      <c r="E232" s="508"/>
      <c r="F232" s="508"/>
      <c r="G232" s="508"/>
      <c r="H232" s="508"/>
    </row>
    <row r="233" spans="1:8" x14ac:dyDescent="0.25">
      <c r="A233" s="509" t="s">
        <v>870</v>
      </c>
      <c r="B233" s="508"/>
      <c r="C233" s="508"/>
      <c r="D233" s="508"/>
      <c r="E233" s="508"/>
      <c r="F233" s="508"/>
      <c r="G233" s="508"/>
      <c r="H233" s="508"/>
    </row>
    <row r="234" spans="1:8" x14ac:dyDescent="0.25">
      <c r="A234" s="509" t="s">
        <v>871</v>
      </c>
      <c r="B234" s="508"/>
      <c r="C234" s="508"/>
      <c r="D234" s="508"/>
      <c r="E234" s="508"/>
      <c r="F234" s="508"/>
      <c r="G234" s="508"/>
      <c r="H234" s="508"/>
    </row>
    <row r="235" spans="1:8" x14ac:dyDescent="0.25">
      <c r="A235" s="508"/>
      <c r="B235" s="508"/>
      <c r="C235" s="508"/>
      <c r="D235" s="508"/>
      <c r="E235" s="508"/>
      <c r="F235" s="508"/>
      <c r="G235" s="508"/>
      <c r="H235" s="508"/>
    </row>
    <row r="236" spans="1:8" x14ac:dyDescent="0.25">
      <c r="A236" s="509" t="s">
        <v>872</v>
      </c>
      <c r="B236" s="508"/>
      <c r="C236" s="508"/>
      <c r="D236" s="508"/>
      <c r="E236" s="508"/>
      <c r="F236" s="508"/>
      <c r="G236" s="508"/>
      <c r="H236" s="508"/>
    </row>
    <row r="237" spans="1:8" x14ac:dyDescent="0.25">
      <c r="A237" s="509" t="s">
        <v>873</v>
      </c>
      <c r="B237" s="508"/>
      <c r="C237" s="508"/>
      <c r="D237" s="508"/>
      <c r="E237" s="508"/>
      <c r="F237" s="508"/>
      <c r="G237" s="508"/>
      <c r="H237" s="508"/>
    </row>
    <row r="238" spans="1:8" x14ac:dyDescent="0.25">
      <c r="A238" s="509" t="s">
        <v>874</v>
      </c>
      <c r="B238" s="508"/>
      <c r="C238" s="508"/>
      <c r="D238" s="508"/>
      <c r="E238" s="508"/>
      <c r="F238" s="508"/>
      <c r="G238" s="508"/>
      <c r="H238" s="508"/>
    </row>
    <row r="239" spans="1:8" x14ac:dyDescent="0.25">
      <c r="A239" s="509" t="s">
        <v>875</v>
      </c>
      <c r="B239" s="508"/>
      <c r="C239" s="508"/>
      <c r="D239" s="508"/>
      <c r="E239" s="508"/>
      <c r="F239" s="508"/>
      <c r="G239" s="508"/>
      <c r="H239" s="508"/>
    </row>
    <row r="240" spans="1:8" x14ac:dyDescent="0.25">
      <c r="A240" s="509" t="s">
        <v>876</v>
      </c>
      <c r="B240" s="508"/>
      <c r="C240" s="508"/>
      <c r="D240" s="508"/>
      <c r="E240" s="508"/>
      <c r="F240" s="508"/>
      <c r="G240" s="508"/>
      <c r="H240" s="508"/>
    </row>
    <row r="241" spans="1:8" x14ac:dyDescent="0.25">
      <c r="A241" s="508"/>
      <c r="B241" s="508"/>
      <c r="C241" s="508"/>
      <c r="D241" s="508"/>
      <c r="E241" s="508"/>
      <c r="F241" s="508"/>
      <c r="G241" s="508"/>
      <c r="H241" s="508"/>
    </row>
    <row r="242" spans="1:8" x14ac:dyDescent="0.25">
      <c r="A242" s="509" t="s">
        <v>877</v>
      </c>
      <c r="B242" s="508"/>
      <c r="C242" s="508"/>
      <c r="D242" s="508"/>
      <c r="E242" s="508"/>
      <c r="F242" s="508"/>
      <c r="G242" s="508"/>
      <c r="H242" s="508"/>
    </row>
    <row r="243" spans="1:8" x14ac:dyDescent="0.25">
      <c r="A243" s="509" t="s">
        <v>878</v>
      </c>
      <c r="B243" s="508"/>
      <c r="C243" s="508"/>
      <c r="D243" s="508"/>
      <c r="E243" s="508"/>
      <c r="F243" s="508"/>
      <c r="G243" s="508"/>
      <c r="H243" s="508"/>
    </row>
    <row r="244" spans="1:8" x14ac:dyDescent="0.25">
      <c r="A244" s="509" t="s">
        <v>879</v>
      </c>
      <c r="B244" s="508"/>
      <c r="C244" s="508"/>
      <c r="D244" s="508"/>
      <c r="E244" s="508"/>
      <c r="F244" s="508"/>
      <c r="G244" s="508"/>
      <c r="H244" s="508"/>
    </row>
    <row r="245" spans="1:8" x14ac:dyDescent="0.25">
      <c r="A245" s="509" t="s">
        <v>880</v>
      </c>
      <c r="B245" s="508"/>
      <c r="C245" s="508"/>
      <c r="D245" s="508"/>
      <c r="E245" s="508"/>
      <c r="F245" s="508"/>
      <c r="G245" s="508"/>
      <c r="H245" s="508"/>
    </row>
    <row r="246" spans="1:8" x14ac:dyDescent="0.25">
      <c r="A246" s="509" t="s">
        <v>881</v>
      </c>
      <c r="B246" s="508"/>
      <c r="C246" s="508"/>
      <c r="D246" s="508"/>
      <c r="E246" s="508"/>
      <c r="F246" s="508"/>
      <c r="G246" s="508"/>
      <c r="H246" s="508"/>
    </row>
    <row r="247" spans="1:8" x14ac:dyDescent="0.25">
      <c r="A247" s="509" t="s">
        <v>882</v>
      </c>
      <c r="B247" s="508"/>
      <c r="C247" s="508"/>
      <c r="D247" s="508"/>
      <c r="E247" s="508"/>
      <c r="F247" s="508"/>
      <c r="G247" s="508"/>
      <c r="H247" s="508"/>
    </row>
    <row r="248" spans="1:8" x14ac:dyDescent="0.25">
      <c r="A248" s="508"/>
      <c r="B248" s="508"/>
      <c r="C248" s="508"/>
      <c r="D248" s="508"/>
      <c r="E248" s="508"/>
      <c r="F248" s="508"/>
      <c r="G248" s="508"/>
      <c r="H248" s="508"/>
    </row>
    <row r="249" spans="1:8" x14ac:dyDescent="0.25">
      <c r="A249" s="509" t="s">
        <v>883</v>
      </c>
      <c r="B249" s="508"/>
      <c r="C249" s="508"/>
      <c r="D249" s="508"/>
      <c r="E249" s="508"/>
      <c r="F249" s="508"/>
      <c r="G249" s="508"/>
      <c r="H249" s="508"/>
    </row>
    <row r="250" spans="1:8" x14ac:dyDescent="0.25">
      <c r="A250" s="509" t="s">
        <v>884</v>
      </c>
      <c r="B250" s="508"/>
      <c r="C250" s="508"/>
      <c r="D250" s="508"/>
      <c r="E250" s="508"/>
      <c r="F250" s="508"/>
      <c r="G250" s="508"/>
      <c r="H250" s="508"/>
    </row>
    <row r="251" spans="1:8" x14ac:dyDescent="0.25">
      <c r="A251" s="509" t="s">
        <v>885</v>
      </c>
      <c r="B251" s="508"/>
      <c r="C251" s="508"/>
      <c r="D251" s="508"/>
      <c r="E251" s="508"/>
      <c r="F251" s="508"/>
      <c r="G251" s="508"/>
      <c r="H251" s="508"/>
    </row>
    <row r="252" spans="1:8" x14ac:dyDescent="0.25">
      <c r="A252" s="509" t="s">
        <v>886</v>
      </c>
      <c r="B252" s="508"/>
      <c r="C252" s="508"/>
      <c r="D252" s="508"/>
      <c r="E252" s="508"/>
      <c r="F252" s="508"/>
      <c r="G252" s="508"/>
      <c r="H252" s="508"/>
    </row>
    <row r="253" spans="1:8" x14ac:dyDescent="0.25">
      <c r="A253" s="509" t="s">
        <v>887</v>
      </c>
      <c r="B253" s="508"/>
      <c r="C253" s="508"/>
      <c r="D253" s="508"/>
      <c r="E253" s="508"/>
      <c r="F253" s="508"/>
      <c r="G253" s="508"/>
      <c r="H253" s="508"/>
    </row>
    <row r="254" spans="1:8" x14ac:dyDescent="0.25">
      <c r="A254" s="509" t="s">
        <v>888</v>
      </c>
      <c r="B254" s="508"/>
      <c r="C254" s="508"/>
      <c r="D254" s="508"/>
      <c r="E254" s="508"/>
      <c r="F254" s="508"/>
      <c r="G254" s="508"/>
      <c r="H254" s="508"/>
    </row>
    <row r="255" spans="1:8" x14ac:dyDescent="0.25">
      <c r="A255" s="509" t="s">
        <v>889</v>
      </c>
      <c r="B255" s="508"/>
      <c r="C255" s="508"/>
      <c r="D255" s="508"/>
      <c r="E255" s="508"/>
      <c r="F255" s="508"/>
      <c r="G255" s="508"/>
      <c r="H255" s="508"/>
    </row>
    <row r="256" spans="1:8" x14ac:dyDescent="0.25">
      <c r="A256" s="509" t="s">
        <v>890</v>
      </c>
      <c r="B256" s="508"/>
      <c r="C256" s="508"/>
      <c r="D256" s="508"/>
      <c r="E256" s="508"/>
      <c r="F256" s="508"/>
      <c r="G256" s="508"/>
      <c r="H256" s="508"/>
    </row>
    <row r="257" spans="1:8" x14ac:dyDescent="0.25">
      <c r="A257" s="509" t="s">
        <v>891</v>
      </c>
      <c r="B257" s="508"/>
      <c r="C257" s="508"/>
      <c r="D257" s="508"/>
      <c r="E257" s="508"/>
      <c r="F257" s="508"/>
      <c r="G257" s="508"/>
      <c r="H257" s="508"/>
    </row>
    <row r="258" spans="1:8" x14ac:dyDescent="0.25">
      <c r="A258" s="509" t="s">
        <v>892</v>
      </c>
      <c r="B258" s="508"/>
      <c r="C258" s="508"/>
      <c r="D258" s="508"/>
      <c r="E258" s="508"/>
      <c r="F258" s="508"/>
      <c r="G258" s="508"/>
      <c r="H258" s="508"/>
    </row>
    <row r="259" spans="1:8" x14ac:dyDescent="0.25">
      <c r="A259" s="509" t="s">
        <v>893</v>
      </c>
      <c r="B259" s="508"/>
      <c r="C259" s="508"/>
      <c r="D259" s="508"/>
      <c r="E259" s="508"/>
      <c r="F259" s="508"/>
      <c r="G259" s="508"/>
      <c r="H259" s="508"/>
    </row>
    <row r="260" spans="1:8" x14ac:dyDescent="0.25">
      <c r="A260" s="509" t="s">
        <v>894</v>
      </c>
      <c r="B260" s="508"/>
      <c r="C260" s="508"/>
      <c r="D260" s="508"/>
      <c r="E260" s="508"/>
      <c r="F260" s="508"/>
      <c r="G260" s="508"/>
      <c r="H260" s="508"/>
    </row>
    <row r="261" spans="1:8" x14ac:dyDescent="0.25">
      <c r="A261" s="509" t="s">
        <v>895</v>
      </c>
      <c r="B261" s="508"/>
      <c r="C261" s="508"/>
      <c r="D261" s="508"/>
      <c r="E261" s="508"/>
      <c r="F261" s="508"/>
      <c r="G261" s="508"/>
      <c r="H261" s="508"/>
    </row>
    <row r="262" spans="1:8" x14ac:dyDescent="0.25">
      <c r="A262" s="509" t="s">
        <v>896</v>
      </c>
      <c r="B262" s="508"/>
      <c r="C262" s="508"/>
      <c r="D262" s="508"/>
      <c r="E262" s="508"/>
      <c r="F262" s="508"/>
      <c r="G262" s="508"/>
      <c r="H262" s="508"/>
    </row>
    <row r="263" spans="1:8" x14ac:dyDescent="0.25">
      <c r="A263" s="508"/>
      <c r="B263" s="508"/>
      <c r="C263" s="508"/>
      <c r="D263" s="508"/>
      <c r="E263" s="508"/>
      <c r="F263" s="508"/>
      <c r="G263" s="508"/>
      <c r="H263" s="508"/>
    </row>
    <row r="264" spans="1:8" x14ac:dyDescent="0.25">
      <c r="A264" s="509" t="s">
        <v>897</v>
      </c>
      <c r="B264" s="508"/>
      <c r="C264" s="508"/>
      <c r="D264" s="508"/>
      <c r="E264" s="508"/>
      <c r="F264" s="508"/>
      <c r="G264" s="508"/>
      <c r="H264" s="508"/>
    </row>
    <row r="265" spans="1:8" x14ac:dyDescent="0.25">
      <c r="A265" s="509" t="s">
        <v>898</v>
      </c>
      <c r="B265" s="508"/>
      <c r="C265" s="508"/>
      <c r="D265" s="508"/>
      <c r="E265" s="508"/>
      <c r="F265" s="508"/>
      <c r="G265" s="508"/>
      <c r="H265" s="508"/>
    </row>
    <row r="266" spans="1:8" x14ac:dyDescent="0.25">
      <c r="A266" s="508"/>
      <c r="B266" s="508"/>
      <c r="C266" s="508"/>
      <c r="D266" s="508"/>
      <c r="E266" s="508"/>
      <c r="F266" s="508"/>
      <c r="G266" s="508"/>
      <c r="H266" s="508"/>
    </row>
    <row r="267" spans="1:8" x14ac:dyDescent="0.25">
      <c r="A267" s="509" t="s">
        <v>899</v>
      </c>
      <c r="B267" s="508"/>
      <c r="C267" s="508"/>
      <c r="D267" s="508"/>
      <c r="E267" s="508"/>
      <c r="F267" s="508"/>
      <c r="G267" s="508"/>
      <c r="H267" s="508"/>
    </row>
    <row r="268" spans="1:8" x14ac:dyDescent="0.25">
      <c r="A268" s="509" t="s">
        <v>900</v>
      </c>
      <c r="B268" s="508"/>
      <c r="C268" s="508"/>
      <c r="D268" s="508"/>
      <c r="E268" s="508"/>
      <c r="F268" s="508"/>
      <c r="G268" s="508"/>
      <c r="H268" s="508"/>
    </row>
    <row r="269" spans="1:8" x14ac:dyDescent="0.25">
      <c r="A269" s="509" t="s">
        <v>901</v>
      </c>
      <c r="B269" s="508"/>
      <c r="C269" s="508"/>
      <c r="D269" s="508"/>
      <c r="E269" s="508"/>
      <c r="F269" s="508"/>
      <c r="G269" s="508"/>
      <c r="H269" s="508"/>
    </row>
    <row r="270" spans="1:8" x14ac:dyDescent="0.25">
      <c r="A270" s="509" t="s">
        <v>902</v>
      </c>
      <c r="B270" s="508"/>
      <c r="C270" s="508"/>
      <c r="D270" s="508"/>
      <c r="E270" s="508"/>
      <c r="F270" s="508"/>
      <c r="G270" s="508"/>
      <c r="H270" s="508"/>
    </row>
    <row r="271" spans="1:8" x14ac:dyDescent="0.25">
      <c r="A271" s="509" t="s">
        <v>903</v>
      </c>
      <c r="B271" s="508"/>
      <c r="C271" s="508"/>
      <c r="D271" s="508"/>
      <c r="E271" s="508"/>
      <c r="F271" s="508"/>
      <c r="G271" s="508"/>
      <c r="H271" s="508"/>
    </row>
    <row r="272" spans="1:8" x14ac:dyDescent="0.25">
      <c r="A272" s="509" t="s">
        <v>904</v>
      </c>
      <c r="B272" s="508"/>
      <c r="C272" s="508"/>
      <c r="D272" s="508"/>
      <c r="E272" s="508"/>
      <c r="F272" s="508"/>
      <c r="G272" s="508"/>
      <c r="H272" s="508"/>
    </row>
    <row r="273" spans="1:8" x14ac:dyDescent="0.25">
      <c r="A273" s="509" t="s">
        <v>905</v>
      </c>
      <c r="B273" s="508"/>
      <c r="C273" s="508"/>
      <c r="D273" s="508"/>
      <c r="E273" s="508"/>
      <c r="F273" s="508"/>
      <c r="G273" s="508"/>
      <c r="H273" s="508"/>
    </row>
    <row r="274" spans="1:8" x14ac:dyDescent="0.25">
      <c r="A274" s="509" t="s">
        <v>906</v>
      </c>
      <c r="B274" s="508"/>
      <c r="C274" s="508"/>
      <c r="D274" s="508"/>
      <c r="E274" s="508"/>
      <c r="F274" s="508"/>
      <c r="G274" s="508"/>
      <c r="H274" s="508"/>
    </row>
    <row r="275" spans="1:8" x14ac:dyDescent="0.25">
      <c r="A275" s="509" t="s">
        <v>907</v>
      </c>
      <c r="B275" s="508"/>
      <c r="C275" s="508"/>
      <c r="D275" s="508"/>
      <c r="E275" s="508"/>
      <c r="F275" s="508"/>
      <c r="G275" s="508"/>
      <c r="H275" s="508"/>
    </row>
    <row r="276" spans="1:8" x14ac:dyDescent="0.25">
      <c r="A276" s="509" t="s">
        <v>908</v>
      </c>
      <c r="B276" s="508"/>
      <c r="C276" s="508"/>
      <c r="D276" s="508"/>
      <c r="E276" s="508"/>
      <c r="F276" s="508"/>
      <c r="G276" s="508"/>
      <c r="H276" s="508"/>
    </row>
    <row r="277" spans="1:8" x14ac:dyDescent="0.25">
      <c r="A277" s="509" t="s">
        <v>909</v>
      </c>
      <c r="B277" s="508"/>
      <c r="C277" s="508"/>
      <c r="D277" s="508"/>
      <c r="E277" s="508"/>
      <c r="F277" s="508"/>
      <c r="G277" s="508"/>
      <c r="H277" s="508"/>
    </row>
    <row r="278" spans="1:8" x14ac:dyDescent="0.25">
      <c r="A278" s="509" t="s">
        <v>910</v>
      </c>
      <c r="B278" s="508"/>
      <c r="C278" s="508"/>
      <c r="D278" s="508"/>
      <c r="E278" s="508"/>
      <c r="F278" s="508"/>
      <c r="G278" s="508"/>
      <c r="H278" s="508"/>
    </row>
    <row r="279" spans="1:8" x14ac:dyDescent="0.25">
      <c r="A279" s="509" t="s">
        <v>911</v>
      </c>
      <c r="B279" s="508"/>
      <c r="C279" s="508"/>
      <c r="D279" s="508"/>
      <c r="E279" s="508"/>
      <c r="F279" s="508"/>
      <c r="G279" s="508"/>
      <c r="H279" s="508"/>
    </row>
    <row r="280" spans="1:8" x14ac:dyDescent="0.25">
      <c r="A280" s="509" t="s">
        <v>912</v>
      </c>
      <c r="B280" s="508"/>
      <c r="C280" s="508"/>
      <c r="D280" s="508"/>
      <c r="E280" s="508"/>
      <c r="F280" s="508"/>
      <c r="G280" s="508"/>
      <c r="H280" s="508"/>
    </row>
    <row r="281" spans="1:8" x14ac:dyDescent="0.25">
      <c r="A281" s="509" t="s">
        <v>913</v>
      </c>
      <c r="B281" s="508"/>
      <c r="C281" s="508"/>
      <c r="D281" s="508"/>
      <c r="E281" s="508"/>
      <c r="F281" s="508"/>
      <c r="G281" s="508"/>
      <c r="H281" s="508"/>
    </row>
    <row r="282" spans="1:8" x14ac:dyDescent="0.25">
      <c r="A282" s="509" t="s">
        <v>914</v>
      </c>
      <c r="B282" s="508"/>
      <c r="C282" s="508"/>
      <c r="D282" s="508"/>
      <c r="E282" s="508"/>
      <c r="F282" s="508"/>
      <c r="G282" s="508"/>
      <c r="H282" s="508"/>
    </row>
    <row r="283" spans="1:8" x14ac:dyDescent="0.25">
      <c r="A283" s="508"/>
      <c r="B283" s="508"/>
      <c r="C283" s="508"/>
      <c r="D283" s="508"/>
      <c r="E283" s="508"/>
      <c r="F283" s="508"/>
      <c r="G283" s="508"/>
      <c r="H283" s="508"/>
    </row>
    <row r="284" spans="1:8" x14ac:dyDescent="0.25">
      <c r="A284" s="509" t="s">
        <v>915</v>
      </c>
      <c r="B284" s="508"/>
      <c r="C284" s="508"/>
      <c r="D284" s="508"/>
      <c r="E284" s="508"/>
      <c r="F284" s="508"/>
      <c r="G284" s="508"/>
      <c r="H284" s="508"/>
    </row>
    <row r="285" spans="1:8" x14ac:dyDescent="0.25">
      <c r="A285" s="509" t="s">
        <v>916</v>
      </c>
      <c r="B285" s="508"/>
      <c r="C285" s="508"/>
      <c r="D285" s="508"/>
      <c r="E285" s="508"/>
      <c r="F285" s="508"/>
      <c r="G285" s="508"/>
      <c r="H285" s="508"/>
    </row>
    <row r="286" spans="1:8" x14ac:dyDescent="0.25">
      <c r="A286" s="509" t="s">
        <v>917</v>
      </c>
      <c r="B286" s="508"/>
      <c r="C286" s="508"/>
      <c r="D286" s="508"/>
      <c r="E286" s="508"/>
      <c r="F286" s="508"/>
      <c r="G286" s="508"/>
      <c r="H286" s="508"/>
    </row>
    <row r="287" spans="1:8" x14ac:dyDescent="0.25">
      <c r="A287" s="509" t="s">
        <v>918</v>
      </c>
      <c r="B287" s="508"/>
      <c r="C287" s="508"/>
      <c r="D287" s="508"/>
      <c r="E287" s="508"/>
      <c r="F287" s="508"/>
      <c r="G287" s="508"/>
      <c r="H287" s="508"/>
    </row>
    <row r="288" spans="1:8" x14ac:dyDescent="0.25">
      <c r="A288" s="509" t="s">
        <v>919</v>
      </c>
      <c r="B288" s="508"/>
      <c r="C288" s="508"/>
      <c r="D288" s="508"/>
      <c r="E288" s="508"/>
      <c r="F288" s="508"/>
      <c r="G288" s="508"/>
      <c r="H288" s="508"/>
    </row>
    <row r="289" spans="1:8" x14ac:dyDescent="0.25">
      <c r="A289" s="509" t="s">
        <v>920</v>
      </c>
      <c r="B289" s="508"/>
      <c r="C289" s="508"/>
      <c r="D289" s="508"/>
      <c r="E289" s="508"/>
      <c r="F289" s="508"/>
      <c r="G289" s="508"/>
      <c r="H289" s="508"/>
    </row>
    <row r="290" spans="1:8" x14ac:dyDescent="0.25">
      <c r="A290" s="509" t="s">
        <v>779</v>
      </c>
      <c r="B290" s="508"/>
      <c r="C290" s="508"/>
      <c r="D290" s="508"/>
      <c r="E290" s="508"/>
      <c r="F290" s="508"/>
      <c r="G290" s="508"/>
      <c r="H290" s="508"/>
    </row>
    <row r="291" spans="1:8" x14ac:dyDescent="0.25">
      <c r="A291" s="508"/>
      <c r="B291" s="508"/>
      <c r="C291" s="508"/>
      <c r="D291" s="508"/>
      <c r="E291" s="508"/>
      <c r="F291" s="508"/>
      <c r="G291" s="508"/>
      <c r="H291" s="508"/>
    </row>
    <row r="292" spans="1:8" x14ac:dyDescent="0.25">
      <c r="A292" s="509" t="s">
        <v>921</v>
      </c>
      <c r="B292" s="508"/>
      <c r="C292" s="508"/>
      <c r="D292" s="508"/>
      <c r="E292" s="508"/>
      <c r="F292" s="508"/>
      <c r="G292" s="508"/>
      <c r="H292" s="508"/>
    </row>
    <row r="293" spans="1:8" x14ac:dyDescent="0.25">
      <c r="A293" s="509" t="s">
        <v>922</v>
      </c>
      <c r="B293" s="508"/>
      <c r="C293" s="508"/>
      <c r="D293" s="508"/>
      <c r="E293" s="508"/>
      <c r="F293" s="508"/>
      <c r="G293" s="508"/>
      <c r="H293" s="508"/>
    </row>
    <row r="294" spans="1:8" x14ac:dyDescent="0.25">
      <c r="A294" s="509" t="s">
        <v>923</v>
      </c>
      <c r="B294" s="508"/>
      <c r="C294" s="508"/>
      <c r="D294" s="508"/>
      <c r="E294" s="508"/>
      <c r="F294" s="508"/>
      <c r="G294" s="508"/>
      <c r="H294" s="508"/>
    </row>
    <row r="295" spans="1:8" x14ac:dyDescent="0.25">
      <c r="A295" s="509" t="s">
        <v>924</v>
      </c>
      <c r="B295" s="508"/>
      <c r="C295" s="508"/>
      <c r="D295" s="508"/>
      <c r="E295" s="508"/>
      <c r="F295" s="508"/>
      <c r="G295" s="508"/>
      <c r="H295" s="508"/>
    </row>
    <row r="296" spans="1:8" x14ac:dyDescent="0.25">
      <c r="A296" s="509" t="s">
        <v>925</v>
      </c>
      <c r="B296" s="508"/>
      <c r="C296" s="508"/>
      <c r="D296" s="508"/>
      <c r="E296" s="508"/>
      <c r="F296" s="508"/>
      <c r="G296" s="508"/>
      <c r="H296" s="508"/>
    </row>
    <row r="297" spans="1:8" x14ac:dyDescent="0.25">
      <c r="A297" s="509" t="s">
        <v>926</v>
      </c>
      <c r="B297" s="508"/>
      <c r="C297" s="508"/>
      <c r="D297" s="508"/>
      <c r="E297" s="508"/>
      <c r="F297" s="508"/>
      <c r="G297" s="508"/>
      <c r="H297" s="508"/>
    </row>
    <row r="298" spans="1:8" x14ac:dyDescent="0.25">
      <c r="A298" s="509" t="s">
        <v>927</v>
      </c>
      <c r="B298" s="508"/>
      <c r="C298" s="508"/>
      <c r="D298" s="508"/>
      <c r="E298" s="508"/>
      <c r="F298" s="508"/>
      <c r="G298" s="508"/>
      <c r="H298" s="508"/>
    </row>
    <row r="299" spans="1:8" x14ac:dyDescent="0.25">
      <c r="A299" s="509" t="s">
        <v>928</v>
      </c>
      <c r="B299" s="508"/>
      <c r="C299" s="508"/>
      <c r="D299" s="508"/>
      <c r="E299" s="508"/>
      <c r="F299" s="508"/>
      <c r="G299" s="508"/>
      <c r="H299" s="508"/>
    </row>
    <row r="300" spans="1:8" x14ac:dyDescent="0.25">
      <c r="A300" s="509" t="s">
        <v>929</v>
      </c>
      <c r="B300" s="508"/>
      <c r="C300" s="508"/>
      <c r="D300" s="508"/>
      <c r="E300" s="508"/>
      <c r="F300" s="508"/>
      <c r="G300" s="508"/>
      <c r="H300" s="508"/>
    </row>
    <row r="301" spans="1:8" x14ac:dyDescent="0.25">
      <c r="A301" s="508"/>
      <c r="B301" s="508"/>
      <c r="C301" s="508"/>
      <c r="D301" s="508"/>
      <c r="E301" s="508"/>
      <c r="F301" s="508"/>
      <c r="G301" s="508"/>
      <c r="H301" s="508"/>
    </row>
    <row r="302" spans="1:8" x14ac:dyDescent="0.25">
      <c r="A302" s="509" t="s">
        <v>930</v>
      </c>
      <c r="B302" s="508"/>
      <c r="C302" s="508"/>
      <c r="D302" s="508"/>
      <c r="E302" s="508"/>
      <c r="F302" s="508"/>
      <c r="G302" s="508"/>
      <c r="H302" s="508"/>
    </row>
    <row r="303" spans="1:8" x14ac:dyDescent="0.25">
      <c r="A303" s="509" t="s">
        <v>931</v>
      </c>
      <c r="B303" s="508"/>
      <c r="C303" s="508"/>
      <c r="D303" s="508"/>
      <c r="E303" s="508"/>
      <c r="F303" s="508"/>
      <c r="G303" s="508"/>
      <c r="H303" s="508"/>
    </row>
    <row r="304" spans="1:8" x14ac:dyDescent="0.25">
      <c r="A304" s="509" t="s">
        <v>932</v>
      </c>
      <c r="B304" s="508"/>
      <c r="C304" s="508"/>
      <c r="D304" s="508"/>
      <c r="E304" s="508"/>
      <c r="F304" s="508"/>
      <c r="G304" s="508"/>
      <c r="H304" s="508"/>
    </row>
    <row r="305" spans="1:8" x14ac:dyDescent="0.25">
      <c r="A305" s="509" t="s">
        <v>933</v>
      </c>
      <c r="B305" s="508"/>
      <c r="C305" s="508"/>
      <c r="D305" s="508"/>
      <c r="E305" s="508"/>
      <c r="F305" s="508"/>
      <c r="G305" s="508"/>
      <c r="H305" s="508"/>
    </row>
    <row r="306" spans="1:8" x14ac:dyDescent="0.25">
      <c r="A306" s="509" t="s">
        <v>934</v>
      </c>
      <c r="B306" s="508"/>
      <c r="C306" s="508"/>
      <c r="D306" s="508"/>
      <c r="E306" s="508"/>
      <c r="F306" s="508"/>
      <c r="G306" s="508"/>
      <c r="H306" s="508"/>
    </row>
    <row r="307" spans="1:8" x14ac:dyDescent="0.25">
      <c r="A307" s="509" t="s">
        <v>935</v>
      </c>
      <c r="B307" s="508"/>
      <c r="C307" s="508"/>
      <c r="D307" s="508"/>
      <c r="E307" s="508"/>
      <c r="F307" s="508"/>
      <c r="G307" s="508"/>
      <c r="H307" s="508"/>
    </row>
    <row r="308" spans="1:8" x14ac:dyDescent="0.25">
      <c r="A308" s="509" t="s">
        <v>936</v>
      </c>
      <c r="B308" s="508"/>
      <c r="C308" s="508"/>
      <c r="D308" s="508"/>
      <c r="E308" s="508"/>
      <c r="F308" s="508"/>
      <c r="G308" s="508"/>
      <c r="H308" s="508"/>
    </row>
    <row r="309" spans="1:8" x14ac:dyDescent="0.25">
      <c r="A309" s="508"/>
      <c r="B309" s="508"/>
      <c r="C309" s="508"/>
      <c r="D309" s="508"/>
      <c r="E309" s="508"/>
      <c r="F309" s="508"/>
      <c r="G309" s="508"/>
      <c r="H309" s="508"/>
    </row>
    <row r="310" spans="1:8" x14ac:dyDescent="0.25">
      <c r="A310" s="509" t="s">
        <v>937</v>
      </c>
      <c r="B310" s="508"/>
      <c r="C310" s="508"/>
      <c r="D310" s="508"/>
      <c r="E310" s="508"/>
      <c r="F310" s="508"/>
      <c r="G310" s="508"/>
      <c r="H310" s="508"/>
    </row>
    <row r="311" spans="1:8" x14ac:dyDescent="0.25">
      <c r="A311" s="509" t="s">
        <v>938</v>
      </c>
      <c r="B311" s="508"/>
      <c r="C311" s="508"/>
      <c r="D311" s="508"/>
      <c r="E311" s="508"/>
      <c r="F311" s="508"/>
      <c r="G311" s="508"/>
      <c r="H311" s="508"/>
    </row>
    <row r="312" spans="1:8" x14ac:dyDescent="0.25">
      <c r="A312" s="509" t="s">
        <v>939</v>
      </c>
      <c r="B312" s="508"/>
      <c r="C312" s="508"/>
      <c r="D312" s="508"/>
      <c r="E312" s="508"/>
      <c r="F312" s="508"/>
      <c r="G312" s="508"/>
      <c r="H312" s="508"/>
    </row>
    <row r="313" spans="1:8" x14ac:dyDescent="0.25">
      <c r="A313" s="508"/>
      <c r="B313" s="508"/>
      <c r="C313" s="508"/>
      <c r="D313" s="508"/>
      <c r="E313" s="508"/>
      <c r="F313" s="508"/>
      <c r="G313" s="508"/>
      <c r="H313" s="508"/>
    </row>
    <row r="314" spans="1:8" x14ac:dyDescent="0.25">
      <c r="A314" s="509" t="s">
        <v>940</v>
      </c>
      <c r="B314" s="508"/>
      <c r="C314" s="508"/>
      <c r="D314" s="508"/>
      <c r="E314" s="508"/>
      <c r="F314" s="508"/>
      <c r="G314" s="508"/>
      <c r="H314" s="508"/>
    </row>
    <row r="315" spans="1:8" x14ac:dyDescent="0.25">
      <c r="A315" s="509" t="s">
        <v>941</v>
      </c>
      <c r="B315" s="508"/>
      <c r="C315" s="508"/>
      <c r="D315" s="508"/>
      <c r="E315" s="508"/>
      <c r="F315" s="508"/>
      <c r="G315" s="508"/>
      <c r="H315" s="508"/>
    </row>
    <row r="316" spans="1:8" x14ac:dyDescent="0.25">
      <c r="A316" s="508"/>
      <c r="B316" s="508"/>
      <c r="C316" s="508"/>
      <c r="D316" s="508"/>
      <c r="E316" s="508"/>
      <c r="F316" s="508"/>
      <c r="G316" s="508"/>
      <c r="H316" s="508"/>
    </row>
    <row r="317" spans="1:8" x14ac:dyDescent="0.25">
      <c r="A317" s="509" t="s">
        <v>942</v>
      </c>
      <c r="B317" s="508"/>
      <c r="C317" s="508"/>
      <c r="D317" s="508"/>
      <c r="E317" s="508"/>
      <c r="F317" s="508"/>
      <c r="G317" s="508"/>
      <c r="H317" s="508"/>
    </row>
    <row r="318" spans="1:8" x14ac:dyDescent="0.25">
      <c r="A318" s="509" t="s">
        <v>943</v>
      </c>
      <c r="B318" s="508"/>
      <c r="C318" s="508"/>
      <c r="D318" s="508"/>
      <c r="E318" s="508"/>
      <c r="F318" s="508"/>
      <c r="G318" s="508"/>
      <c r="H318" s="508"/>
    </row>
    <row r="319" spans="1:8" x14ac:dyDescent="0.25">
      <c r="A319" s="509" t="s">
        <v>944</v>
      </c>
      <c r="B319" s="508"/>
      <c r="C319" s="508"/>
      <c r="D319" s="508"/>
      <c r="E319" s="508"/>
      <c r="F319" s="508"/>
      <c r="G319" s="508"/>
      <c r="H319" s="508"/>
    </row>
    <row r="320" spans="1:8" x14ac:dyDescent="0.25">
      <c r="A320" s="509" t="s">
        <v>945</v>
      </c>
      <c r="B320" s="508"/>
      <c r="C320" s="508"/>
      <c r="D320" s="508"/>
      <c r="E320" s="508"/>
      <c r="F320" s="508"/>
      <c r="G320" s="508"/>
      <c r="H320" s="508"/>
    </row>
    <row r="321" spans="1:8" x14ac:dyDescent="0.25">
      <c r="A321" s="509" t="s">
        <v>946</v>
      </c>
      <c r="B321" s="508"/>
      <c r="C321" s="508"/>
      <c r="D321" s="508"/>
      <c r="E321" s="508"/>
      <c r="F321" s="508"/>
      <c r="G321" s="508"/>
      <c r="H321" s="508"/>
    </row>
    <row r="322" spans="1:8" x14ac:dyDescent="0.25">
      <c r="A322" s="509" t="s">
        <v>947</v>
      </c>
      <c r="B322" s="508"/>
      <c r="C322" s="508"/>
      <c r="D322" s="508"/>
      <c r="E322" s="508"/>
      <c r="F322" s="508"/>
      <c r="G322" s="508"/>
      <c r="H322" s="508"/>
    </row>
    <row r="323" spans="1:8" x14ac:dyDescent="0.25">
      <c r="A323" s="509" t="s">
        <v>948</v>
      </c>
      <c r="B323" s="508"/>
      <c r="C323" s="508"/>
      <c r="D323" s="508"/>
      <c r="E323" s="508"/>
      <c r="F323" s="508"/>
      <c r="G323" s="508"/>
      <c r="H323" s="508"/>
    </row>
    <row r="324" spans="1:8" x14ac:dyDescent="0.25">
      <c r="A324" s="509" t="s">
        <v>949</v>
      </c>
      <c r="B324" s="508"/>
      <c r="C324" s="508"/>
      <c r="D324" s="508"/>
      <c r="E324" s="508"/>
      <c r="F324" s="508"/>
      <c r="G324" s="508"/>
      <c r="H324" s="508"/>
    </row>
    <row r="325" spans="1:8" x14ac:dyDescent="0.25">
      <c r="A325" s="509" t="s">
        <v>950</v>
      </c>
      <c r="B325" s="508"/>
      <c r="C325" s="508"/>
      <c r="D325" s="508"/>
      <c r="E325" s="508"/>
      <c r="F325" s="508"/>
      <c r="G325" s="508"/>
      <c r="H325" s="508"/>
    </row>
    <row r="326" spans="1:8" x14ac:dyDescent="0.25">
      <c r="A326" s="509" t="s">
        <v>951</v>
      </c>
      <c r="B326" s="508"/>
      <c r="C326" s="508"/>
      <c r="D326" s="508"/>
      <c r="E326" s="508"/>
      <c r="F326" s="508"/>
      <c r="G326" s="508"/>
      <c r="H326" s="508"/>
    </row>
    <row r="327" spans="1:8" x14ac:dyDescent="0.25">
      <c r="A327" s="509" t="s">
        <v>952</v>
      </c>
      <c r="B327" s="508"/>
      <c r="C327" s="508"/>
      <c r="D327" s="508"/>
      <c r="E327" s="508"/>
      <c r="F327" s="508"/>
      <c r="G327" s="508"/>
      <c r="H327" s="508"/>
    </row>
    <row r="328" spans="1:8" x14ac:dyDescent="0.25">
      <c r="A328" s="509" t="s">
        <v>953</v>
      </c>
      <c r="B328" s="508"/>
      <c r="C328" s="508"/>
      <c r="D328" s="508"/>
      <c r="E328" s="508"/>
      <c r="F328" s="508"/>
      <c r="G328" s="508"/>
      <c r="H328" s="508"/>
    </row>
    <row r="329" spans="1:8" x14ac:dyDescent="0.25">
      <c r="A329" s="509" t="s">
        <v>954</v>
      </c>
      <c r="B329" s="508"/>
      <c r="C329" s="508"/>
      <c r="D329" s="508"/>
      <c r="E329" s="508"/>
      <c r="F329" s="508"/>
      <c r="G329" s="508"/>
      <c r="H329" s="508"/>
    </row>
    <row r="330" spans="1:8" x14ac:dyDescent="0.25">
      <c r="A330" s="508"/>
      <c r="B330" s="508"/>
      <c r="C330" s="508"/>
      <c r="D330" s="508"/>
      <c r="E330" s="508"/>
      <c r="F330" s="508"/>
      <c r="G330" s="508"/>
      <c r="H330" s="508"/>
    </row>
    <row r="331" spans="1:8" x14ac:dyDescent="0.25">
      <c r="A331" s="509" t="s">
        <v>955</v>
      </c>
      <c r="B331" s="508"/>
      <c r="C331" s="508"/>
      <c r="D331" s="508"/>
      <c r="E331" s="508"/>
      <c r="F331" s="508"/>
      <c r="G331" s="508"/>
      <c r="H331" s="508"/>
    </row>
    <row r="332" spans="1:8" x14ac:dyDescent="0.25">
      <c r="A332" s="509" t="s">
        <v>956</v>
      </c>
      <c r="B332" s="508"/>
      <c r="C332" s="508"/>
      <c r="D332" s="508"/>
      <c r="E332" s="508"/>
      <c r="F332" s="508"/>
      <c r="G332" s="508"/>
      <c r="H332" s="508"/>
    </row>
    <row r="333" spans="1:8" x14ac:dyDescent="0.25">
      <c r="A333" s="508"/>
      <c r="B333" s="508"/>
      <c r="C333" s="508"/>
      <c r="D333" s="508"/>
      <c r="E333" s="508"/>
      <c r="F333" s="508"/>
      <c r="G333" s="508"/>
      <c r="H333" s="508"/>
    </row>
    <row r="334" spans="1:8" x14ac:dyDescent="0.25">
      <c r="A334" s="509" t="s">
        <v>957</v>
      </c>
      <c r="B334" s="508"/>
      <c r="C334" s="508"/>
      <c r="D334" s="508"/>
      <c r="E334" s="508"/>
      <c r="F334" s="508"/>
      <c r="G334" s="508"/>
      <c r="H334" s="508"/>
    </row>
    <row r="335" spans="1:8" x14ac:dyDescent="0.25">
      <c r="A335" s="509" t="s">
        <v>958</v>
      </c>
      <c r="B335" s="508"/>
      <c r="C335" s="508"/>
      <c r="D335" s="508"/>
      <c r="E335" s="508"/>
      <c r="F335" s="508"/>
      <c r="G335" s="508"/>
      <c r="H335" s="508"/>
    </row>
    <row r="336" spans="1:8" x14ac:dyDescent="0.25">
      <c r="A336" s="509" t="s">
        <v>959</v>
      </c>
      <c r="B336" s="508"/>
      <c r="C336" s="508"/>
      <c r="D336" s="508"/>
      <c r="E336" s="508"/>
      <c r="F336" s="508"/>
      <c r="G336" s="508"/>
      <c r="H336" s="508"/>
    </row>
    <row r="337" spans="1:8" x14ac:dyDescent="0.25">
      <c r="A337" s="509" t="s">
        <v>960</v>
      </c>
      <c r="B337" s="508"/>
      <c r="C337" s="508"/>
      <c r="D337" s="508"/>
      <c r="E337" s="508"/>
      <c r="F337" s="508"/>
      <c r="G337" s="508"/>
      <c r="H337" s="508"/>
    </row>
    <row r="338" spans="1:8" x14ac:dyDescent="0.25">
      <c r="A338" s="509" t="s">
        <v>961</v>
      </c>
      <c r="B338" s="508"/>
      <c r="C338" s="508"/>
      <c r="D338" s="508"/>
      <c r="E338" s="508"/>
      <c r="F338" s="508"/>
      <c r="G338" s="508"/>
      <c r="H338" s="508"/>
    </row>
    <row r="339" spans="1:8" x14ac:dyDescent="0.25">
      <c r="A339" s="509" t="s">
        <v>962</v>
      </c>
      <c r="B339" s="508"/>
      <c r="C339" s="508"/>
      <c r="D339" s="508"/>
      <c r="E339" s="508"/>
      <c r="F339" s="508"/>
      <c r="G339" s="508"/>
      <c r="H339" s="508"/>
    </row>
    <row r="340" spans="1:8" x14ac:dyDescent="0.25">
      <c r="A340" s="509" t="s">
        <v>963</v>
      </c>
      <c r="B340" s="508"/>
      <c r="C340" s="508"/>
      <c r="D340" s="508"/>
      <c r="E340" s="508"/>
      <c r="F340" s="508"/>
      <c r="G340" s="508"/>
      <c r="H340" s="508"/>
    </row>
    <row r="341" spans="1:8" x14ac:dyDescent="0.25">
      <c r="A341" s="509" t="s">
        <v>964</v>
      </c>
      <c r="B341" s="508"/>
      <c r="C341" s="508"/>
      <c r="D341" s="508"/>
      <c r="E341" s="508"/>
      <c r="F341" s="508"/>
      <c r="G341" s="508"/>
      <c r="H341" s="508"/>
    </row>
    <row r="342" spans="1:8" x14ac:dyDescent="0.25">
      <c r="A342" s="508"/>
      <c r="B342" s="508"/>
      <c r="C342" s="508"/>
      <c r="D342" s="508"/>
      <c r="E342" s="508"/>
      <c r="F342" s="508"/>
      <c r="G342" s="508"/>
      <c r="H342" s="508"/>
    </row>
    <row r="343" spans="1:8" x14ac:dyDescent="0.25">
      <c r="A343" s="509" t="s">
        <v>965</v>
      </c>
      <c r="B343" s="508"/>
      <c r="C343" s="508"/>
      <c r="D343" s="508"/>
      <c r="E343" s="508"/>
      <c r="F343" s="508"/>
      <c r="G343" s="508"/>
      <c r="H343" s="508"/>
    </row>
    <row r="344" spans="1:8" x14ac:dyDescent="0.25">
      <c r="A344" s="509" t="s">
        <v>966</v>
      </c>
      <c r="B344" s="508"/>
      <c r="C344" s="508"/>
      <c r="D344" s="508"/>
      <c r="E344" s="508"/>
      <c r="F344" s="508"/>
      <c r="G344" s="508"/>
      <c r="H344" s="508"/>
    </row>
    <row r="345" spans="1:8" x14ac:dyDescent="0.25">
      <c r="A345" s="509" t="s">
        <v>967</v>
      </c>
      <c r="B345" s="508"/>
      <c r="C345" s="508"/>
      <c r="D345" s="508"/>
      <c r="E345" s="508"/>
      <c r="F345" s="508"/>
      <c r="G345" s="508"/>
      <c r="H345" s="508"/>
    </row>
    <row r="346" spans="1:8" x14ac:dyDescent="0.25">
      <c r="A346" s="509" t="s">
        <v>968</v>
      </c>
      <c r="B346" s="508"/>
      <c r="C346" s="508"/>
      <c r="D346" s="508"/>
      <c r="E346" s="508"/>
      <c r="F346" s="508"/>
      <c r="G346" s="508"/>
      <c r="H346" s="508"/>
    </row>
    <row r="347" spans="1:8" x14ac:dyDescent="0.25">
      <c r="A347" s="509" t="s">
        <v>969</v>
      </c>
      <c r="B347" s="508"/>
      <c r="C347" s="508"/>
      <c r="D347" s="508"/>
      <c r="E347" s="508"/>
      <c r="F347" s="508"/>
      <c r="G347" s="508"/>
      <c r="H347" s="508"/>
    </row>
    <row r="348" spans="1:8" x14ac:dyDescent="0.25">
      <c r="A348" s="509" t="s">
        <v>970</v>
      </c>
      <c r="B348" s="508"/>
      <c r="C348" s="508"/>
      <c r="D348" s="508"/>
      <c r="E348" s="508"/>
      <c r="F348" s="508"/>
      <c r="G348" s="508"/>
      <c r="H348" s="508"/>
    </row>
    <row r="349" spans="1:8" x14ac:dyDescent="0.25">
      <c r="A349" s="509" t="s">
        <v>971</v>
      </c>
      <c r="B349" s="508"/>
      <c r="C349" s="508"/>
      <c r="D349" s="508"/>
      <c r="E349" s="508"/>
      <c r="F349" s="508"/>
      <c r="G349" s="508"/>
      <c r="H349" s="508"/>
    </row>
    <row r="350" spans="1:8" x14ac:dyDescent="0.25">
      <c r="A350" s="509" t="s">
        <v>972</v>
      </c>
      <c r="B350" s="508"/>
      <c r="C350" s="508"/>
      <c r="D350" s="508"/>
      <c r="E350" s="508"/>
      <c r="F350" s="508"/>
      <c r="G350" s="508"/>
      <c r="H350" s="508"/>
    </row>
    <row r="351" spans="1:8" x14ac:dyDescent="0.25">
      <c r="A351" s="509" t="s">
        <v>973</v>
      </c>
      <c r="B351" s="508"/>
      <c r="C351" s="508"/>
      <c r="D351" s="508"/>
      <c r="E351" s="508"/>
      <c r="F351" s="508"/>
      <c r="G351" s="508"/>
      <c r="H351" s="508"/>
    </row>
    <row r="352" spans="1:8" x14ac:dyDescent="0.25">
      <c r="A352" s="509" t="s">
        <v>974</v>
      </c>
      <c r="B352" s="508"/>
      <c r="C352" s="508"/>
      <c r="D352" s="508"/>
      <c r="E352" s="508"/>
      <c r="F352" s="508"/>
      <c r="G352" s="508"/>
      <c r="H352" s="508"/>
    </row>
    <row r="353" spans="1:8" x14ac:dyDescent="0.25">
      <c r="A353" s="509" t="s">
        <v>975</v>
      </c>
      <c r="B353" s="508"/>
      <c r="C353" s="508"/>
      <c r="D353" s="508"/>
      <c r="E353" s="508"/>
      <c r="F353" s="508"/>
      <c r="G353" s="508"/>
      <c r="H353" s="508"/>
    </row>
    <row r="354" spans="1:8" x14ac:dyDescent="0.25">
      <c r="A354" s="509" t="s">
        <v>976</v>
      </c>
      <c r="B354" s="508"/>
      <c r="C354" s="508"/>
      <c r="D354" s="508"/>
      <c r="E354" s="508"/>
      <c r="F354" s="508"/>
      <c r="G354" s="508"/>
      <c r="H354" s="508"/>
    </row>
    <row r="355" spans="1:8" x14ac:dyDescent="0.25">
      <c r="A355" s="509" t="s">
        <v>977</v>
      </c>
      <c r="B355" s="508"/>
      <c r="C355" s="508"/>
      <c r="D355" s="508"/>
      <c r="E355" s="508"/>
      <c r="F355" s="508"/>
      <c r="G355" s="508"/>
      <c r="H355" s="508"/>
    </row>
    <row r="356" spans="1:8" x14ac:dyDescent="0.25">
      <c r="A356" s="509" t="s">
        <v>978</v>
      </c>
      <c r="B356" s="508"/>
      <c r="C356" s="508"/>
      <c r="D356" s="508"/>
      <c r="E356" s="508"/>
      <c r="F356" s="508"/>
      <c r="G356" s="508"/>
      <c r="H356" s="508"/>
    </row>
    <row r="357" spans="1:8" x14ac:dyDescent="0.25">
      <c r="A357" s="509" t="s">
        <v>979</v>
      </c>
      <c r="B357" s="508"/>
      <c r="C357" s="508"/>
      <c r="D357" s="508"/>
      <c r="E357" s="508"/>
      <c r="F357" s="508"/>
      <c r="G357" s="508"/>
      <c r="H357" s="508"/>
    </row>
    <row r="358" spans="1:8" x14ac:dyDescent="0.25">
      <c r="A358" s="509" t="s">
        <v>980</v>
      </c>
      <c r="B358" s="508"/>
      <c r="C358" s="508"/>
      <c r="D358" s="508"/>
      <c r="E358" s="508"/>
      <c r="F358" s="508"/>
      <c r="G358" s="508"/>
      <c r="H358" s="508"/>
    </row>
    <row r="359" spans="1:8" x14ac:dyDescent="0.25">
      <c r="A359" s="509" t="s">
        <v>981</v>
      </c>
      <c r="B359" s="508"/>
      <c r="C359" s="508"/>
      <c r="D359" s="508"/>
      <c r="E359" s="508"/>
      <c r="F359" s="508"/>
      <c r="G359" s="508"/>
      <c r="H359" s="508"/>
    </row>
    <row r="360" spans="1:8" x14ac:dyDescent="0.25">
      <c r="A360" s="509" t="s">
        <v>982</v>
      </c>
      <c r="B360" s="508"/>
      <c r="C360" s="508"/>
      <c r="D360" s="508"/>
      <c r="E360" s="508"/>
      <c r="F360" s="508"/>
      <c r="G360" s="508"/>
      <c r="H360" s="508"/>
    </row>
    <row r="361" spans="1:8" x14ac:dyDescent="0.25">
      <c r="A361" s="509" t="s">
        <v>983</v>
      </c>
      <c r="B361" s="508"/>
      <c r="C361" s="508"/>
      <c r="D361" s="508"/>
      <c r="E361" s="508"/>
      <c r="F361" s="508"/>
      <c r="G361" s="508"/>
      <c r="H361" s="508"/>
    </row>
    <row r="362" spans="1:8" x14ac:dyDescent="0.25">
      <c r="A362" s="509" t="s">
        <v>984</v>
      </c>
      <c r="B362" s="508"/>
      <c r="C362" s="508"/>
      <c r="D362" s="508"/>
      <c r="E362" s="508"/>
      <c r="F362" s="508"/>
      <c r="G362" s="508"/>
      <c r="H362" s="508"/>
    </row>
    <row r="363" spans="1:8" x14ac:dyDescent="0.25">
      <c r="A363" s="509" t="s">
        <v>985</v>
      </c>
      <c r="B363" s="508"/>
      <c r="C363" s="508"/>
      <c r="D363" s="508"/>
      <c r="E363" s="508"/>
      <c r="F363" s="508"/>
      <c r="G363" s="508"/>
      <c r="H363" s="508"/>
    </row>
    <row r="364" spans="1:8" x14ac:dyDescent="0.25">
      <c r="A364" s="509" t="s">
        <v>986</v>
      </c>
      <c r="B364" s="508"/>
      <c r="C364" s="508"/>
      <c r="D364" s="508"/>
      <c r="E364" s="508"/>
      <c r="F364" s="508"/>
      <c r="G364" s="508"/>
      <c r="H364" s="508"/>
    </row>
    <row r="365" spans="1:8" x14ac:dyDescent="0.25">
      <c r="A365" s="509" t="s">
        <v>987</v>
      </c>
      <c r="B365" s="508"/>
      <c r="C365" s="508"/>
      <c r="D365" s="508"/>
      <c r="E365" s="508"/>
      <c r="F365" s="508"/>
      <c r="G365" s="508"/>
      <c r="H365" s="508"/>
    </row>
    <row r="366" spans="1:8" x14ac:dyDescent="0.25">
      <c r="A366" s="509" t="s">
        <v>988</v>
      </c>
      <c r="B366" s="508"/>
      <c r="C366" s="508"/>
      <c r="D366" s="508"/>
      <c r="E366" s="508"/>
      <c r="F366" s="508"/>
      <c r="G366" s="508"/>
      <c r="H366" s="508"/>
    </row>
    <row r="367" spans="1:8" x14ac:dyDescent="0.25">
      <c r="A367" s="509" t="s">
        <v>989</v>
      </c>
      <c r="B367" s="508"/>
      <c r="C367" s="508"/>
      <c r="D367" s="508"/>
      <c r="E367" s="508"/>
      <c r="F367" s="508"/>
      <c r="G367" s="508"/>
      <c r="H367" s="508"/>
    </row>
    <row r="368" spans="1:8" x14ac:dyDescent="0.25">
      <c r="A368" s="509" t="s">
        <v>990</v>
      </c>
      <c r="B368" s="508"/>
      <c r="C368" s="508"/>
      <c r="D368" s="508"/>
      <c r="E368" s="508"/>
      <c r="F368" s="508"/>
      <c r="G368" s="508"/>
      <c r="H368" s="508"/>
    </row>
    <row r="369" spans="1:8" x14ac:dyDescent="0.25">
      <c r="A369" s="509" t="s">
        <v>991</v>
      </c>
      <c r="B369" s="508"/>
      <c r="C369" s="508"/>
      <c r="D369" s="508"/>
      <c r="E369" s="508"/>
      <c r="F369" s="508"/>
      <c r="G369" s="508"/>
      <c r="H369" s="508"/>
    </row>
    <row r="370" spans="1:8" x14ac:dyDescent="0.25">
      <c r="A370" s="509" t="s">
        <v>992</v>
      </c>
      <c r="B370" s="508"/>
      <c r="C370" s="508"/>
      <c r="D370" s="508"/>
      <c r="E370" s="508"/>
      <c r="F370" s="508"/>
      <c r="G370" s="508"/>
      <c r="H370" s="508"/>
    </row>
    <row r="371" spans="1:8" x14ac:dyDescent="0.25">
      <c r="A371" s="509" t="s">
        <v>993</v>
      </c>
      <c r="B371" s="508"/>
      <c r="C371" s="508"/>
      <c r="D371" s="508"/>
      <c r="E371" s="508"/>
      <c r="F371" s="508"/>
      <c r="G371" s="508"/>
      <c r="H371" s="508"/>
    </row>
    <row r="372" spans="1:8" x14ac:dyDescent="0.25">
      <c r="A372" s="509" t="s">
        <v>994</v>
      </c>
      <c r="B372" s="508"/>
      <c r="C372" s="508"/>
      <c r="D372" s="508"/>
      <c r="E372" s="508"/>
      <c r="F372" s="508"/>
      <c r="G372" s="508"/>
      <c r="H372" s="508"/>
    </row>
    <row r="373" spans="1:8" x14ac:dyDescent="0.25">
      <c r="A373" s="509" t="s">
        <v>995</v>
      </c>
      <c r="B373" s="508"/>
      <c r="C373" s="508"/>
      <c r="D373" s="508"/>
      <c r="E373" s="508"/>
      <c r="F373" s="508"/>
      <c r="G373" s="508"/>
      <c r="H373" s="508"/>
    </row>
    <row r="374" spans="1:8" x14ac:dyDescent="0.25">
      <c r="A374" s="509" t="s">
        <v>996</v>
      </c>
      <c r="B374" s="508"/>
      <c r="C374" s="508"/>
      <c r="D374" s="508"/>
      <c r="E374" s="508"/>
      <c r="F374" s="508"/>
      <c r="G374" s="508"/>
      <c r="H374" s="508"/>
    </row>
    <row r="375" spans="1:8" x14ac:dyDescent="0.25">
      <c r="A375" s="509" t="s">
        <v>997</v>
      </c>
      <c r="B375" s="508"/>
      <c r="C375" s="508"/>
      <c r="D375" s="508"/>
      <c r="E375" s="508"/>
      <c r="F375" s="508"/>
      <c r="G375" s="508"/>
      <c r="H375" s="508"/>
    </row>
    <row r="376" spans="1:8" x14ac:dyDescent="0.25">
      <c r="A376" s="509" t="s">
        <v>998</v>
      </c>
      <c r="B376" s="508"/>
      <c r="C376" s="508"/>
      <c r="D376" s="508"/>
      <c r="E376" s="508"/>
      <c r="F376" s="508"/>
      <c r="G376" s="508"/>
      <c r="H376" s="508"/>
    </row>
    <row r="377" spans="1:8" x14ac:dyDescent="0.25">
      <c r="A377" s="509" t="s">
        <v>999</v>
      </c>
      <c r="B377" s="508"/>
      <c r="C377" s="508"/>
      <c r="D377" s="508"/>
      <c r="E377" s="508"/>
      <c r="F377" s="508"/>
      <c r="G377" s="508"/>
      <c r="H377" s="508"/>
    </row>
    <row r="378" spans="1:8" x14ac:dyDescent="0.25">
      <c r="A378" s="509" t="s">
        <v>1000</v>
      </c>
      <c r="B378" s="508"/>
      <c r="C378" s="508"/>
      <c r="D378" s="508"/>
      <c r="E378" s="508"/>
      <c r="F378" s="508"/>
      <c r="G378" s="508"/>
      <c r="H378" s="508"/>
    </row>
    <row r="379" spans="1:8" x14ac:dyDescent="0.25">
      <c r="A379" s="509" t="s">
        <v>1001</v>
      </c>
      <c r="B379" s="508"/>
      <c r="C379" s="508"/>
      <c r="D379" s="508"/>
      <c r="E379" s="508"/>
      <c r="F379" s="508"/>
      <c r="G379" s="508"/>
      <c r="H379" s="508"/>
    </row>
    <row r="380" spans="1:8" x14ac:dyDescent="0.25">
      <c r="A380" s="509" t="s">
        <v>1002</v>
      </c>
      <c r="B380" s="508"/>
      <c r="C380" s="508"/>
      <c r="D380" s="508"/>
      <c r="E380" s="508"/>
      <c r="F380" s="508"/>
      <c r="G380" s="508"/>
      <c r="H380" s="508"/>
    </row>
    <row r="381" spans="1:8" x14ac:dyDescent="0.25">
      <c r="A381" s="509" t="s">
        <v>1003</v>
      </c>
      <c r="B381" s="508"/>
      <c r="C381" s="508"/>
      <c r="D381" s="508"/>
      <c r="E381" s="508"/>
      <c r="F381" s="508"/>
      <c r="G381" s="508"/>
      <c r="H381" s="508"/>
    </row>
    <row r="382" spans="1:8" x14ac:dyDescent="0.25">
      <c r="A382" s="509" t="s">
        <v>1004</v>
      </c>
      <c r="B382" s="508"/>
      <c r="C382" s="508"/>
      <c r="D382" s="508"/>
      <c r="E382" s="508"/>
      <c r="F382" s="508"/>
      <c r="G382" s="508"/>
      <c r="H382" s="508"/>
    </row>
    <row r="383" spans="1:8" x14ac:dyDescent="0.25">
      <c r="A383" s="509" t="s">
        <v>1005</v>
      </c>
      <c r="B383" s="508"/>
      <c r="C383" s="508"/>
      <c r="D383" s="508"/>
      <c r="E383" s="508"/>
      <c r="F383" s="508"/>
      <c r="G383" s="508"/>
      <c r="H383" s="508"/>
    </row>
    <row r="384" spans="1:8" x14ac:dyDescent="0.25">
      <c r="A384" s="509" t="s">
        <v>1006</v>
      </c>
      <c r="B384" s="508"/>
      <c r="C384" s="508"/>
      <c r="D384" s="508"/>
      <c r="E384" s="508"/>
      <c r="F384" s="508"/>
      <c r="G384" s="508"/>
      <c r="H384" s="508"/>
    </row>
    <row r="385" spans="1:8" x14ac:dyDescent="0.25">
      <c r="A385" s="509" t="s">
        <v>1007</v>
      </c>
      <c r="B385" s="508"/>
      <c r="C385" s="508"/>
      <c r="D385" s="508"/>
      <c r="E385" s="508"/>
      <c r="F385" s="508"/>
      <c r="G385" s="508"/>
      <c r="H385" s="508"/>
    </row>
    <row r="386" spans="1:8" x14ac:dyDescent="0.25">
      <c r="A386" s="509" t="s">
        <v>1008</v>
      </c>
      <c r="B386" s="508"/>
      <c r="C386" s="508"/>
      <c r="D386" s="508"/>
      <c r="E386" s="508"/>
      <c r="F386" s="508"/>
      <c r="G386" s="508"/>
      <c r="H386" s="508"/>
    </row>
    <row r="387" spans="1:8" x14ac:dyDescent="0.25">
      <c r="A387" s="509" t="s">
        <v>1009</v>
      </c>
      <c r="B387" s="508"/>
      <c r="C387" s="508"/>
      <c r="D387" s="508"/>
      <c r="E387" s="508"/>
      <c r="F387" s="508"/>
      <c r="G387" s="508"/>
      <c r="H387" s="508"/>
    </row>
    <row r="388" spans="1:8" x14ac:dyDescent="0.25">
      <c r="A388" s="509" t="s">
        <v>1010</v>
      </c>
      <c r="B388" s="508"/>
      <c r="C388" s="508"/>
      <c r="D388" s="508"/>
      <c r="E388" s="508"/>
      <c r="F388" s="508"/>
      <c r="G388" s="508"/>
      <c r="H388" s="508"/>
    </row>
    <row r="389" spans="1:8" x14ac:dyDescent="0.25">
      <c r="A389" s="508"/>
      <c r="B389" s="508"/>
      <c r="C389" s="508"/>
      <c r="D389" s="508"/>
      <c r="E389" s="508"/>
      <c r="F389" s="508"/>
      <c r="G389" s="508"/>
      <c r="H389" s="508"/>
    </row>
    <row r="390" spans="1:8" x14ac:dyDescent="0.25">
      <c r="A390" s="509" t="s">
        <v>1011</v>
      </c>
      <c r="B390" s="508"/>
      <c r="C390" s="508"/>
      <c r="D390" s="508"/>
      <c r="E390" s="508"/>
      <c r="F390" s="508"/>
      <c r="G390" s="508"/>
      <c r="H390" s="508"/>
    </row>
    <row r="391" spans="1:8" x14ac:dyDescent="0.25">
      <c r="A391" s="509" t="s">
        <v>1012</v>
      </c>
      <c r="B391" s="508"/>
      <c r="C391" s="508"/>
      <c r="D391" s="508"/>
      <c r="E391" s="508"/>
      <c r="F391" s="508"/>
      <c r="G391" s="508"/>
      <c r="H391" s="508"/>
    </row>
    <row r="392" spans="1:8" x14ac:dyDescent="0.25">
      <c r="A392" s="509" t="s">
        <v>1013</v>
      </c>
      <c r="B392" s="508"/>
      <c r="C392" s="508"/>
      <c r="D392" s="508"/>
      <c r="E392" s="508"/>
      <c r="F392" s="508"/>
      <c r="G392" s="508"/>
      <c r="H392" s="508"/>
    </row>
    <row r="393" spans="1:8" x14ac:dyDescent="0.25">
      <c r="A393" s="509" t="s">
        <v>1014</v>
      </c>
      <c r="B393" s="508"/>
      <c r="C393" s="508"/>
      <c r="D393" s="508"/>
      <c r="E393" s="508"/>
      <c r="F393" s="508"/>
      <c r="G393" s="508"/>
      <c r="H393" s="508"/>
    </row>
    <row r="394" spans="1:8" x14ac:dyDescent="0.25">
      <c r="A394" s="509" t="s">
        <v>1015</v>
      </c>
      <c r="B394" s="508"/>
      <c r="C394" s="508"/>
      <c r="D394" s="508"/>
      <c r="E394" s="508"/>
      <c r="F394" s="508"/>
      <c r="G394" s="508"/>
      <c r="H394" s="508"/>
    </row>
    <row r="395" spans="1:8" x14ac:dyDescent="0.25">
      <c r="A395" s="509" t="s">
        <v>1016</v>
      </c>
      <c r="B395" s="508"/>
      <c r="C395" s="508"/>
      <c r="D395" s="508"/>
      <c r="E395" s="508"/>
      <c r="F395" s="508"/>
      <c r="G395" s="508"/>
      <c r="H395" s="508"/>
    </row>
    <row r="396" spans="1:8" x14ac:dyDescent="0.25">
      <c r="A396" s="509" t="s">
        <v>1017</v>
      </c>
      <c r="B396" s="508"/>
      <c r="C396" s="508"/>
      <c r="D396" s="508"/>
      <c r="E396" s="508"/>
      <c r="F396" s="508"/>
      <c r="G396" s="508"/>
      <c r="H396" s="508"/>
    </row>
    <row r="397" spans="1:8" x14ac:dyDescent="0.25">
      <c r="A397" s="509" t="s">
        <v>1018</v>
      </c>
      <c r="B397" s="508"/>
      <c r="C397" s="508"/>
      <c r="D397" s="508"/>
      <c r="E397" s="508"/>
      <c r="F397" s="508"/>
      <c r="G397" s="508"/>
      <c r="H397" s="508"/>
    </row>
    <row r="398" spans="1:8" x14ac:dyDescent="0.25">
      <c r="A398" s="508"/>
      <c r="B398" s="508"/>
      <c r="C398" s="508"/>
      <c r="D398" s="508"/>
      <c r="E398" s="508"/>
      <c r="F398" s="508"/>
      <c r="G398" s="508"/>
      <c r="H398" s="508"/>
    </row>
    <row r="399" spans="1:8" x14ac:dyDescent="0.25">
      <c r="A399" s="509" t="s">
        <v>1011</v>
      </c>
      <c r="B399" s="508"/>
      <c r="C399" s="508"/>
      <c r="D399" s="508"/>
      <c r="E399" s="508"/>
      <c r="F399" s="508"/>
      <c r="G399" s="508"/>
      <c r="H399" s="508"/>
    </row>
    <row r="400" spans="1:8" x14ac:dyDescent="0.25">
      <c r="A400" s="509" t="s">
        <v>1019</v>
      </c>
      <c r="B400" s="508"/>
      <c r="C400" s="508"/>
      <c r="D400" s="508"/>
      <c r="E400" s="508"/>
      <c r="F400" s="508"/>
      <c r="G400" s="508"/>
      <c r="H400" s="508"/>
    </row>
    <row r="401" spans="1:8" x14ac:dyDescent="0.25">
      <c r="A401" s="509" t="s">
        <v>1020</v>
      </c>
      <c r="B401" s="508"/>
      <c r="C401" s="508"/>
      <c r="D401" s="508"/>
      <c r="E401" s="508"/>
      <c r="F401" s="508"/>
      <c r="G401" s="508"/>
      <c r="H401" s="508"/>
    </row>
    <row r="402" spans="1:8" x14ac:dyDescent="0.25">
      <c r="A402" s="509" t="s">
        <v>1021</v>
      </c>
      <c r="B402" s="508"/>
      <c r="C402" s="508"/>
      <c r="D402" s="508"/>
      <c r="E402" s="508"/>
      <c r="F402" s="508"/>
      <c r="G402" s="508"/>
      <c r="H402" s="508"/>
    </row>
    <row r="403" spans="1:8" x14ac:dyDescent="0.25">
      <c r="A403" s="508"/>
      <c r="B403" s="508"/>
      <c r="C403" s="508"/>
      <c r="D403" s="508"/>
      <c r="E403" s="508"/>
      <c r="F403" s="508"/>
      <c r="G403" s="508"/>
      <c r="H403" s="508"/>
    </row>
    <row r="404" spans="1:8" x14ac:dyDescent="0.25">
      <c r="A404" s="509" t="s">
        <v>1022</v>
      </c>
      <c r="B404" s="508"/>
      <c r="C404" s="508"/>
      <c r="D404" s="508"/>
      <c r="E404" s="508"/>
      <c r="F404" s="508"/>
      <c r="G404" s="508"/>
      <c r="H404" s="508"/>
    </row>
    <row r="405" spans="1:8" x14ac:dyDescent="0.25">
      <c r="A405" s="509" t="s">
        <v>1023</v>
      </c>
      <c r="B405" s="508"/>
      <c r="C405" s="508"/>
      <c r="D405" s="508"/>
      <c r="E405" s="508"/>
      <c r="F405" s="508"/>
      <c r="G405" s="508"/>
      <c r="H405" s="508"/>
    </row>
    <row r="406" spans="1:8" x14ac:dyDescent="0.25">
      <c r="A406" s="509" t="s">
        <v>1024</v>
      </c>
      <c r="B406" s="508"/>
      <c r="C406" s="508"/>
      <c r="D406" s="508"/>
      <c r="E406" s="508"/>
      <c r="F406" s="508"/>
      <c r="G406" s="508"/>
      <c r="H406" s="508"/>
    </row>
    <row r="407" spans="1:8" x14ac:dyDescent="0.25">
      <c r="A407" s="509" t="s">
        <v>1025</v>
      </c>
      <c r="B407" s="508"/>
      <c r="C407" s="508"/>
      <c r="D407" s="508"/>
      <c r="E407" s="508"/>
      <c r="F407" s="508"/>
      <c r="G407" s="508"/>
      <c r="H407" s="508"/>
    </row>
    <row r="408" spans="1:8" x14ac:dyDescent="0.25">
      <c r="A408" s="509" t="s">
        <v>1026</v>
      </c>
      <c r="B408" s="508"/>
      <c r="C408" s="508"/>
      <c r="D408" s="508"/>
      <c r="E408" s="508"/>
      <c r="F408" s="508"/>
      <c r="G408" s="508"/>
      <c r="H408" s="508"/>
    </row>
    <row r="409" spans="1:8" x14ac:dyDescent="0.25">
      <c r="A409" s="509" t="s">
        <v>1027</v>
      </c>
      <c r="B409" s="508"/>
      <c r="C409" s="508"/>
      <c r="D409" s="508"/>
      <c r="E409" s="508"/>
      <c r="F409" s="508"/>
      <c r="G409" s="508"/>
      <c r="H409" s="508"/>
    </row>
    <row r="410" spans="1:8" x14ac:dyDescent="0.25">
      <c r="A410" s="508"/>
      <c r="B410" s="508"/>
      <c r="C410" s="508"/>
      <c r="D410" s="508"/>
      <c r="E410" s="508"/>
      <c r="F410" s="508"/>
      <c r="G410" s="508"/>
      <c r="H410" s="508"/>
    </row>
    <row r="411" spans="1:8" x14ac:dyDescent="0.25">
      <c r="A411" s="509" t="s">
        <v>1028</v>
      </c>
      <c r="B411" s="508"/>
      <c r="C411" s="508"/>
      <c r="D411" s="508"/>
      <c r="E411" s="508"/>
      <c r="F411" s="508"/>
      <c r="G411" s="508"/>
      <c r="H411" s="508"/>
    </row>
    <row r="412" spans="1:8" x14ac:dyDescent="0.25">
      <c r="A412" s="509" t="s">
        <v>1029</v>
      </c>
      <c r="B412" s="508"/>
      <c r="C412" s="508"/>
      <c r="D412" s="508"/>
      <c r="E412" s="508"/>
      <c r="F412" s="508"/>
      <c r="G412" s="508"/>
      <c r="H412" s="508"/>
    </row>
    <row r="413" spans="1:8" x14ac:dyDescent="0.25">
      <c r="A413" s="509" t="s">
        <v>1030</v>
      </c>
      <c r="B413" s="508"/>
      <c r="C413" s="508"/>
      <c r="D413" s="508"/>
      <c r="E413" s="508"/>
      <c r="F413" s="508"/>
      <c r="G413" s="508"/>
      <c r="H413" s="508"/>
    </row>
    <row r="414" spans="1:8" x14ac:dyDescent="0.25">
      <c r="A414" s="509" t="s">
        <v>1031</v>
      </c>
      <c r="B414" s="508"/>
      <c r="C414" s="508"/>
      <c r="D414" s="508"/>
      <c r="E414" s="508"/>
      <c r="F414" s="508"/>
      <c r="G414" s="508"/>
      <c r="H414" s="508"/>
    </row>
    <row r="415" spans="1:8" x14ac:dyDescent="0.25">
      <c r="A415" s="509" t="s">
        <v>1032</v>
      </c>
      <c r="B415" s="508"/>
      <c r="C415" s="508"/>
      <c r="D415" s="508"/>
      <c r="E415" s="508"/>
      <c r="F415" s="508"/>
      <c r="G415" s="508"/>
      <c r="H415" s="508"/>
    </row>
    <row r="416" spans="1:8" x14ac:dyDescent="0.25">
      <c r="A416" s="508"/>
      <c r="B416" s="508"/>
      <c r="C416" s="508"/>
      <c r="D416" s="508"/>
      <c r="E416" s="508"/>
      <c r="F416" s="508"/>
      <c r="G416" s="508"/>
      <c r="H416" s="508"/>
    </row>
    <row r="417" spans="1:8" x14ac:dyDescent="0.25">
      <c r="A417" s="509" t="s">
        <v>1033</v>
      </c>
      <c r="B417" s="508"/>
      <c r="C417" s="508"/>
      <c r="D417" s="508"/>
      <c r="E417" s="508"/>
      <c r="F417" s="508"/>
      <c r="G417" s="508"/>
      <c r="H417" s="508"/>
    </row>
    <row r="418" spans="1:8" x14ac:dyDescent="0.25">
      <c r="A418" s="509" t="s">
        <v>1034</v>
      </c>
      <c r="B418" s="508"/>
      <c r="C418" s="508"/>
      <c r="D418" s="508"/>
      <c r="E418" s="508"/>
      <c r="F418" s="508"/>
      <c r="G418" s="508"/>
      <c r="H418" s="508"/>
    </row>
    <row r="419" spans="1:8" x14ac:dyDescent="0.25">
      <c r="A419" s="508"/>
      <c r="B419" s="508"/>
      <c r="C419" s="508"/>
      <c r="D419" s="508"/>
      <c r="E419" s="508"/>
      <c r="F419" s="508"/>
      <c r="G419" s="508"/>
      <c r="H419" s="508"/>
    </row>
    <row r="420" spans="1:8" x14ac:dyDescent="0.25">
      <c r="A420" s="509" t="s">
        <v>1035</v>
      </c>
      <c r="B420" s="508"/>
      <c r="C420" s="508"/>
      <c r="D420" s="508"/>
      <c r="E420" s="508"/>
      <c r="F420" s="508"/>
      <c r="G420" s="508"/>
      <c r="H420" s="508"/>
    </row>
    <row r="421" spans="1:8" x14ac:dyDescent="0.25">
      <c r="A421" s="509" t="s">
        <v>1036</v>
      </c>
      <c r="B421" s="508"/>
      <c r="C421" s="508"/>
      <c r="D421" s="508"/>
      <c r="E421" s="508"/>
      <c r="F421" s="508"/>
      <c r="G421" s="508"/>
      <c r="H421" s="508"/>
    </row>
    <row r="422" spans="1:8" x14ac:dyDescent="0.25">
      <c r="A422" s="508"/>
      <c r="B422" s="508"/>
      <c r="C422" s="508"/>
      <c r="D422" s="508"/>
      <c r="E422" s="508"/>
      <c r="F422" s="508"/>
      <c r="G422" s="508"/>
      <c r="H422" s="508"/>
    </row>
    <row r="423" spans="1:8" x14ac:dyDescent="0.25">
      <c r="A423" s="509" t="s">
        <v>1037</v>
      </c>
      <c r="B423" s="508"/>
      <c r="C423" s="508"/>
      <c r="D423" s="508"/>
      <c r="E423" s="508"/>
      <c r="F423" s="508"/>
      <c r="G423" s="508"/>
      <c r="H423" s="508"/>
    </row>
    <row r="424" spans="1:8" x14ac:dyDescent="0.25">
      <c r="A424" s="509" t="s">
        <v>1038</v>
      </c>
      <c r="B424" s="508"/>
      <c r="C424" s="508"/>
      <c r="D424" s="508"/>
      <c r="E424" s="508"/>
      <c r="F424" s="508"/>
      <c r="G424" s="508"/>
      <c r="H424" s="508"/>
    </row>
    <row r="425" spans="1:8" x14ac:dyDescent="0.25">
      <c r="A425" s="509" t="s">
        <v>1039</v>
      </c>
      <c r="B425" s="508"/>
      <c r="C425" s="508"/>
      <c r="D425" s="508"/>
      <c r="E425" s="508"/>
      <c r="F425" s="508"/>
      <c r="G425" s="508"/>
      <c r="H425" s="508"/>
    </row>
    <row r="426" spans="1:8" x14ac:dyDescent="0.25">
      <c r="A426" s="509" t="s">
        <v>1040</v>
      </c>
      <c r="B426" s="508"/>
      <c r="C426" s="508"/>
      <c r="D426" s="508"/>
      <c r="E426" s="508"/>
      <c r="F426" s="508"/>
      <c r="G426" s="508"/>
      <c r="H426" s="508"/>
    </row>
    <row r="427" spans="1:8" x14ac:dyDescent="0.25">
      <c r="A427" s="508"/>
      <c r="B427" s="508"/>
      <c r="C427" s="508"/>
      <c r="D427" s="508"/>
      <c r="E427" s="508"/>
      <c r="F427" s="508"/>
      <c r="G427" s="508"/>
      <c r="H427" s="508"/>
    </row>
    <row r="428" spans="1:8" x14ac:dyDescent="0.25">
      <c r="A428" s="509" t="s">
        <v>1041</v>
      </c>
      <c r="B428" s="508"/>
      <c r="C428" s="508"/>
      <c r="D428" s="508"/>
      <c r="E428" s="508"/>
      <c r="F428" s="508"/>
      <c r="G428" s="508"/>
      <c r="H428" s="508"/>
    </row>
    <row r="429" spans="1:8" x14ac:dyDescent="0.25">
      <c r="A429" s="509" t="s">
        <v>1042</v>
      </c>
      <c r="B429" s="508"/>
      <c r="C429" s="508"/>
      <c r="D429" s="508"/>
      <c r="E429" s="508"/>
      <c r="F429" s="508"/>
      <c r="G429" s="508"/>
      <c r="H429" s="508"/>
    </row>
    <row r="430" spans="1:8" x14ac:dyDescent="0.25">
      <c r="A430" s="508"/>
      <c r="B430" s="508"/>
      <c r="C430" s="508"/>
      <c r="D430" s="508"/>
      <c r="E430" s="508"/>
      <c r="F430" s="508"/>
      <c r="G430" s="508"/>
      <c r="H430" s="508"/>
    </row>
    <row r="431" spans="1:8" x14ac:dyDescent="0.25">
      <c r="A431" s="509" t="s">
        <v>1043</v>
      </c>
      <c r="B431" s="508"/>
      <c r="C431" s="508"/>
      <c r="D431" s="508"/>
      <c r="E431" s="508"/>
      <c r="F431" s="508"/>
      <c r="G431" s="508"/>
      <c r="H431" s="508"/>
    </row>
    <row r="432" spans="1:8" x14ac:dyDescent="0.25">
      <c r="A432" s="509" t="s">
        <v>1044</v>
      </c>
      <c r="B432" s="508"/>
      <c r="C432" s="508"/>
      <c r="D432" s="508"/>
      <c r="E432" s="508"/>
      <c r="F432" s="508"/>
      <c r="G432" s="508"/>
      <c r="H432" s="508"/>
    </row>
    <row r="433" spans="1:8" x14ac:dyDescent="0.25">
      <c r="A433" s="509" t="s">
        <v>1045</v>
      </c>
      <c r="B433" s="508"/>
      <c r="C433" s="508"/>
      <c r="D433" s="508"/>
      <c r="E433" s="508"/>
      <c r="F433" s="508"/>
      <c r="G433" s="508"/>
      <c r="H433" s="508"/>
    </row>
    <row r="434" spans="1:8" x14ac:dyDescent="0.25">
      <c r="A434" s="509" t="s">
        <v>1046</v>
      </c>
      <c r="B434" s="508"/>
      <c r="C434" s="508"/>
      <c r="D434" s="508"/>
      <c r="E434" s="508"/>
      <c r="F434" s="508"/>
      <c r="G434" s="508"/>
      <c r="H434" s="508"/>
    </row>
    <row r="436" spans="1:8" x14ac:dyDescent="0.25">
      <c r="A436" s="512" t="s">
        <v>1047</v>
      </c>
    </row>
  </sheetData>
  <mergeCells count="3">
    <mergeCell ref="B136:C136"/>
    <mergeCell ref="D136:F136"/>
    <mergeCell ref="G136:H136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BAF49-F337-4C67-B10C-036777C5CE11}">
  <sheetPr codeName="Sheet4">
    <tabColor rgb="FFCCECFF"/>
  </sheetPr>
  <dimension ref="A3:N31"/>
  <sheetViews>
    <sheetView showGridLines="0" view="pageBreakPreview" zoomScale="115" zoomScaleNormal="100" zoomScaleSheetLayoutView="115" workbookViewId="0">
      <selection activeCell="G19" sqref="G19"/>
    </sheetView>
  </sheetViews>
  <sheetFormatPr defaultColWidth="8.85546875" defaultRowHeight="15" x14ac:dyDescent="0.25"/>
  <cols>
    <col min="1" max="2" width="8.85546875" style="8"/>
    <col min="3" max="3" width="12" style="8" customWidth="1"/>
    <col min="4" max="16384" width="8.85546875" style="8"/>
  </cols>
  <sheetData>
    <row r="3" spans="1:6" ht="19.5" x14ac:dyDescent="0.3">
      <c r="B3" s="97" t="s">
        <v>323</v>
      </c>
    </row>
    <row r="5" spans="1:6" ht="18.75" x14ac:dyDescent="0.3">
      <c r="B5" s="98" t="s">
        <v>324</v>
      </c>
    </row>
    <row r="6" spans="1:6" x14ac:dyDescent="0.25">
      <c r="A6" s="100" t="s">
        <v>354</v>
      </c>
      <c r="B6" s="12" t="s">
        <v>325</v>
      </c>
    </row>
    <row r="15" spans="1:6" x14ac:dyDescent="0.25">
      <c r="B15" s="86" t="s">
        <v>326</v>
      </c>
      <c r="C15" s="86"/>
      <c r="D15" s="86"/>
      <c r="E15" s="86"/>
      <c r="F15" s="86"/>
    </row>
    <row r="16" spans="1:6" x14ac:dyDescent="0.25">
      <c r="B16" s="8" t="s">
        <v>322</v>
      </c>
    </row>
    <row r="17" spans="2:14" x14ac:dyDescent="0.25">
      <c r="B17" s="8" t="s">
        <v>22</v>
      </c>
    </row>
    <row r="18" spans="2:14" x14ac:dyDescent="0.25">
      <c r="B18" s="8" t="s">
        <v>327</v>
      </c>
    </row>
    <row r="19" spans="2:14" x14ac:dyDescent="0.25">
      <c r="B19" s="8" t="s">
        <v>328</v>
      </c>
    </row>
    <row r="20" spans="2:14" x14ac:dyDescent="0.25">
      <c r="N20" s="12"/>
    </row>
    <row r="21" spans="2:14" x14ac:dyDescent="0.25">
      <c r="B21" s="8" t="s">
        <v>329</v>
      </c>
      <c r="C21" s="101">
        <f ca="1">TODAY()</f>
        <v>46055</v>
      </c>
      <c r="E21" s="102">
        <v>23.7</v>
      </c>
    </row>
    <row r="23" spans="2:14" x14ac:dyDescent="0.25">
      <c r="B23" s="86" t="s">
        <v>330</v>
      </c>
      <c r="C23" s="86"/>
      <c r="D23" s="86"/>
      <c r="E23" s="86"/>
      <c r="F23" s="86"/>
    </row>
    <row r="24" spans="2:14" x14ac:dyDescent="0.25">
      <c r="B24" s="12" t="s">
        <v>331</v>
      </c>
      <c r="D24" s="96" t="s">
        <v>335</v>
      </c>
    </row>
    <row r="25" spans="2:14" x14ac:dyDescent="0.25">
      <c r="B25" s="12" t="s">
        <v>594</v>
      </c>
      <c r="D25" s="96" t="s">
        <v>336</v>
      </c>
    </row>
    <row r="26" spans="2:14" x14ac:dyDescent="0.25">
      <c r="B26" s="12" t="s">
        <v>339</v>
      </c>
      <c r="D26" s="96" t="s">
        <v>337</v>
      </c>
    </row>
    <row r="28" spans="2:14" x14ac:dyDescent="0.25">
      <c r="B28" s="7" t="s">
        <v>338</v>
      </c>
    </row>
    <row r="29" spans="2:14" x14ac:dyDescent="0.25">
      <c r="B29" s="7" t="s">
        <v>332</v>
      </c>
    </row>
    <row r="30" spans="2:14" x14ac:dyDescent="0.25">
      <c r="B30" s="7" t="s">
        <v>333</v>
      </c>
    </row>
    <row r="31" spans="2:14" x14ac:dyDescent="0.25">
      <c r="B31" s="7" t="s">
        <v>334</v>
      </c>
    </row>
  </sheetData>
  <pageMargins left="0.7" right="0.7" top="0.75" bottom="0.75" header="0.3" footer="0.3"/>
  <pageSetup paperSize="9" orientation="portrait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81005-9CB9-470F-B735-B265B814EDC7}">
  <sheetPr codeName="Sheet5">
    <tabColor rgb="FFCCECFF"/>
    <pageSetUpPr fitToPage="1"/>
  </sheetPr>
  <dimension ref="A1:AE92"/>
  <sheetViews>
    <sheetView showGridLines="0" topLeftCell="C1" zoomScaleNormal="100" workbookViewId="0">
      <selection activeCell="T26" sqref="T26"/>
    </sheetView>
  </sheetViews>
  <sheetFormatPr defaultColWidth="8.85546875" defaultRowHeight="15" outlineLevelRow="1" outlineLevelCol="1" x14ac:dyDescent="0.25"/>
  <cols>
    <col min="1" max="3" width="11.28515625" style="8" customWidth="1" outlineLevel="1"/>
    <col min="4" max="4" width="5.28515625" style="8" customWidth="1"/>
    <col min="5" max="5" width="38.42578125" style="8" customWidth="1"/>
    <col min="6" max="6" width="8.7109375" style="8" customWidth="1"/>
    <col min="7" max="8" width="8.7109375" style="8" hidden="1" customWidth="1" outlineLevel="1"/>
    <col min="9" max="9" width="8.7109375" style="8" customWidth="1" collapsed="1"/>
    <col min="10" max="13" width="8.7109375" style="8" customWidth="1"/>
    <col min="14" max="14" width="2.7109375" style="8" customWidth="1"/>
    <col min="15" max="15" width="27.42578125" style="8" customWidth="1"/>
    <col min="16" max="16" width="8.85546875" style="22"/>
    <col min="17" max="18" width="8.85546875" style="8" hidden="1" customWidth="1" outlineLevel="1"/>
    <col min="19" max="19" width="8.85546875" style="8" collapsed="1"/>
    <col min="20" max="24" width="8.85546875" style="8"/>
    <col min="25" max="26" width="8.85546875" style="8" hidden="1" customWidth="1" outlineLevel="1"/>
    <col min="27" max="27" width="8.85546875" style="8" collapsed="1"/>
    <col min="28" max="16384" width="8.85546875" style="8"/>
  </cols>
  <sheetData>
    <row r="1" spans="1:29" x14ac:dyDescent="0.25">
      <c r="A1" s="1"/>
      <c r="B1" s="1"/>
      <c r="C1" s="1"/>
      <c r="D1" s="26"/>
      <c r="E1" s="1"/>
      <c r="F1" s="2"/>
      <c r="G1" s="2"/>
      <c r="H1" s="2"/>
      <c r="I1" s="2"/>
      <c r="J1" s="2"/>
      <c r="K1" s="2"/>
      <c r="L1" s="2"/>
      <c r="M1" s="2"/>
      <c r="N1" s="26"/>
      <c r="O1" s="1"/>
      <c r="P1" s="2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3.25" x14ac:dyDescent="0.35">
      <c r="A2" s="1"/>
      <c r="B2" s="1"/>
      <c r="C2" s="1"/>
      <c r="D2" s="83"/>
      <c r="E2" s="3" t="s">
        <v>14</v>
      </c>
      <c r="F2" s="83"/>
      <c r="G2" s="83"/>
      <c r="H2" s="83"/>
      <c r="I2" s="83"/>
      <c r="J2" s="83"/>
      <c r="K2" s="83"/>
      <c r="L2" s="83"/>
      <c r="M2" s="83"/>
      <c r="N2" s="83"/>
      <c r="O2" s="83"/>
      <c r="P2" s="269"/>
      <c r="Q2" s="83"/>
      <c r="R2" s="83"/>
      <c r="S2" s="83"/>
      <c r="T2" s="83"/>
      <c r="U2" s="83"/>
      <c r="V2" s="83"/>
      <c r="W2" s="83"/>
      <c r="X2" s="83"/>
      <c r="Y2" s="83"/>
      <c r="Z2" s="83"/>
      <c r="AA2" s="83"/>
      <c r="AB2" s="83"/>
      <c r="AC2" s="83"/>
    </row>
    <row r="3" spans="1:29" ht="19.5" x14ac:dyDescent="0.3">
      <c r="A3" s="1"/>
      <c r="B3" s="99"/>
      <c r="C3" s="99"/>
      <c r="D3" s="83"/>
      <c r="E3" s="95" t="s">
        <v>322</v>
      </c>
      <c r="F3" s="83"/>
      <c r="G3" s="83"/>
      <c r="H3" s="83"/>
      <c r="I3" s="83"/>
      <c r="J3" s="83"/>
      <c r="K3" s="83"/>
      <c r="L3" s="83"/>
      <c r="M3" s="83"/>
      <c r="N3" s="83"/>
      <c r="O3" s="83"/>
      <c r="P3" s="269"/>
      <c r="Q3" s="83"/>
      <c r="R3" s="83"/>
      <c r="S3" s="83"/>
      <c r="T3" s="83"/>
      <c r="U3" s="83"/>
      <c r="V3" s="83"/>
      <c r="W3" s="83"/>
      <c r="X3" s="83"/>
      <c r="Y3" s="83"/>
      <c r="Z3" s="83"/>
      <c r="AA3" s="83"/>
      <c r="AB3" s="83"/>
      <c r="AC3" s="83"/>
    </row>
    <row r="4" spans="1:29" x14ac:dyDescent="0.25">
      <c r="A4" s="1"/>
      <c r="B4" s="1"/>
      <c r="C4" s="1"/>
      <c r="D4" s="83"/>
      <c r="E4" s="1"/>
      <c r="F4" s="83"/>
      <c r="G4" s="83"/>
      <c r="H4" s="83"/>
      <c r="I4" s="83"/>
      <c r="J4" s="83"/>
      <c r="K4" s="83"/>
      <c r="L4" s="83"/>
      <c r="M4" s="83"/>
      <c r="N4" s="83"/>
      <c r="O4" s="83"/>
      <c r="P4" s="269"/>
      <c r="Q4" s="83"/>
      <c r="R4" s="83"/>
      <c r="S4" s="83"/>
      <c r="T4" s="83"/>
      <c r="U4" s="83"/>
      <c r="V4" s="83"/>
      <c r="W4" s="83"/>
      <c r="X4" s="83"/>
      <c r="Y4" s="83"/>
      <c r="Z4" s="83"/>
      <c r="AA4" s="83"/>
      <c r="AB4" s="83"/>
      <c r="AC4" s="83"/>
    </row>
    <row r="5" spans="1:29" ht="16.5" x14ac:dyDescent="0.25">
      <c r="A5" s="1"/>
      <c r="B5" s="1"/>
      <c r="C5" s="1"/>
      <c r="D5" s="83"/>
      <c r="E5" s="95" t="s">
        <v>15</v>
      </c>
      <c r="F5" s="83"/>
      <c r="G5" s="83"/>
      <c r="H5" s="83"/>
      <c r="I5" s="83"/>
      <c r="J5" s="83"/>
      <c r="K5" s="83"/>
      <c r="L5" s="83"/>
      <c r="M5" s="83"/>
      <c r="N5" s="83"/>
      <c r="O5" s="83"/>
      <c r="P5" s="269"/>
      <c r="Q5" s="83"/>
      <c r="R5" s="83"/>
      <c r="S5" s="83"/>
      <c r="T5" s="83"/>
      <c r="U5" s="83"/>
      <c r="V5" s="83"/>
      <c r="W5" s="83"/>
      <c r="X5" s="83"/>
      <c r="Y5" s="83"/>
      <c r="Z5" s="83"/>
      <c r="AA5" s="83"/>
      <c r="AB5" s="83"/>
      <c r="AC5" s="83"/>
    </row>
    <row r="7" spans="1:29" x14ac:dyDescent="0.25">
      <c r="A7" s="8" t="s">
        <v>354</v>
      </c>
      <c r="E7" s="141" t="s">
        <v>540</v>
      </c>
      <c r="F7" s="141">
        <v>23.5</v>
      </c>
    </row>
    <row r="8" spans="1:29" x14ac:dyDescent="0.25">
      <c r="E8" s="141" t="s">
        <v>541</v>
      </c>
      <c r="F8" s="225">
        <f>+F7*F9</f>
        <v>2381.7934789999999</v>
      </c>
    </row>
    <row r="9" spans="1:29" x14ac:dyDescent="0.25">
      <c r="E9" s="141" t="s">
        <v>542</v>
      </c>
      <c r="F9" s="225">
        <f>+'Financial Statements'!L63</f>
        <v>101.352914</v>
      </c>
    </row>
    <row r="10" spans="1:29" x14ac:dyDescent="0.25">
      <c r="G10" s="73"/>
      <c r="H10" s="73"/>
      <c r="I10" s="73"/>
      <c r="J10" s="73"/>
      <c r="K10" s="73"/>
      <c r="L10" s="73"/>
      <c r="M10" s="73"/>
    </row>
    <row r="11" spans="1:29" ht="15.75" x14ac:dyDescent="0.25">
      <c r="D11" s="270"/>
      <c r="E11" s="1" t="s">
        <v>63</v>
      </c>
      <c r="F11" s="140"/>
      <c r="G11" s="140"/>
      <c r="H11" s="140"/>
      <c r="I11" s="140"/>
      <c r="J11" s="140"/>
      <c r="K11" s="140"/>
      <c r="L11" s="140"/>
      <c r="M11" s="140"/>
      <c r="N11" s="141"/>
      <c r="O11" s="1" t="s">
        <v>142</v>
      </c>
      <c r="P11" s="142"/>
      <c r="Q11" s="140"/>
      <c r="R11" s="140"/>
      <c r="S11" s="140"/>
      <c r="T11" s="140"/>
      <c r="U11" s="140"/>
      <c r="V11" s="140"/>
      <c r="W11" s="140"/>
    </row>
    <row r="12" spans="1:29" x14ac:dyDescent="0.25">
      <c r="E12" s="88" t="s">
        <v>15</v>
      </c>
      <c r="F12" s="274" t="s">
        <v>443</v>
      </c>
      <c r="G12" s="143" t="s">
        <v>1</v>
      </c>
      <c r="H12" s="143" t="s">
        <v>4</v>
      </c>
      <c r="I12" s="143" t="s">
        <v>375</v>
      </c>
      <c r="J12" s="143" t="s">
        <v>376</v>
      </c>
      <c r="K12" s="143" t="s">
        <v>10</v>
      </c>
      <c r="L12" s="143" t="s">
        <v>13</v>
      </c>
      <c r="M12" s="143" t="s">
        <v>20</v>
      </c>
      <c r="N12" s="141"/>
      <c r="O12" s="88" t="s">
        <v>15</v>
      </c>
      <c r="P12" s="274" t="s">
        <v>443</v>
      </c>
      <c r="Q12" s="143" t="s">
        <v>1</v>
      </c>
      <c r="R12" s="143" t="s">
        <v>4</v>
      </c>
      <c r="S12" s="143" t="s">
        <v>375</v>
      </c>
      <c r="T12" s="143" t="s">
        <v>376</v>
      </c>
      <c r="U12" s="143" t="s">
        <v>10</v>
      </c>
      <c r="V12" s="143" t="s">
        <v>13</v>
      </c>
      <c r="W12" s="143" t="s">
        <v>20</v>
      </c>
    </row>
    <row r="13" spans="1:29" x14ac:dyDescent="0.25">
      <c r="E13" s="89" t="s">
        <v>46</v>
      </c>
      <c r="F13" s="141"/>
      <c r="G13" s="141"/>
      <c r="H13" s="141"/>
      <c r="I13" s="141"/>
      <c r="J13" s="141"/>
      <c r="K13" s="141"/>
      <c r="L13" s="141"/>
      <c r="M13" s="141"/>
      <c r="N13" s="141"/>
      <c r="O13" s="141"/>
      <c r="P13" s="144"/>
      <c r="Q13" s="141"/>
      <c r="R13" s="141"/>
      <c r="S13" s="141"/>
      <c r="T13" s="141"/>
      <c r="U13" s="141"/>
      <c r="V13" s="141"/>
      <c r="W13" s="141"/>
    </row>
    <row r="14" spans="1:29" x14ac:dyDescent="0.25">
      <c r="A14" s="8" t="s">
        <v>302</v>
      </c>
      <c r="E14" s="141" t="s">
        <v>228</v>
      </c>
      <c r="F14" s="144" t="s">
        <v>28</v>
      </c>
      <c r="G14" s="145">
        <f>VLOOKUP($A14,Assumptions!$1:$1048576,MATCH('Financial Summary'!G$12,Assumptions!$5:$5,0),FALSE)</f>
        <v>168.02699999999999</v>
      </c>
      <c r="H14" s="145">
        <f>VLOOKUP($A14,Assumptions!$1:$1048576,MATCH('Financial Summary'!H$12,Assumptions!$5:$5,0),FALSE)</f>
        <v>251.38150000000002</v>
      </c>
      <c r="I14" s="145">
        <f>VLOOKUP($A14,Assumptions!$1:$1048576,MATCH('Financial Summary'!I$12,Assumptions!$5:$5,0),FALSE)</f>
        <v>329.54199999999997</v>
      </c>
      <c r="J14" s="145">
        <f>VLOOKUP($A14,Assumptions!$1:$1048576,MATCH('Financial Summary'!J$12,Assumptions!$5:$5,0),FALSE)</f>
        <v>424.55349999999999</v>
      </c>
      <c r="K14" s="145">
        <f>VLOOKUP($A14,Assumptions!$1:$1048576,MATCH('Financial Summary'!K$12,Assumptions!$5:$5,0),FALSE)</f>
        <v>550.06084524077312</v>
      </c>
      <c r="L14" s="145">
        <f>VLOOKUP($A14,Assumptions!$1:$1048576,MATCH('Financial Summary'!L$12,Assumptions!$5:$5,0),FALSE)</f>
        <v>665.27349606007817</v>
      </c>
      <c r="M14" s="145">
        <f>VLOOKUP($A14,Assumptions!$1:$1048576,MATCH('Financial Summary'!M$12,Assumptions!$5:$5,0),FALSE)</f>
        <v>804.5070655136318</v>
      </c>
      <c r="N14" s="141"/>
      <c r="O14" s="141" t="s">
        <v>109</v>
      </c>
      <c r="P14" s="144" t="s">
        <v>28</v>
      </c>
      <c r="Q14" s="225">
        <v>0</v>
      </c>
      <c r="R14" s="225"/>
      <c r="S14" s="225">
        <f>VLOOKUP($Y14,'Financial Statements'!$1:$1048576,MATCH('Financial Summary'!S$12,'Financial Statements'!$5:$5,0),FALSE)</f>
        <v>294.48</v>
      </c>
      <c r="T14" s="225">
        <f>VLOOKUP($Y14,'Financial Statements'!$1:$1048576,MATCH('Financial Summary'!T$12,'Financial Statements'!$5:$5,0),FALSE)</f>
        <v>281.74299999999999</v>
      </c>
      <c r="U14" s="225">
        <f ca="1">VLOOKUP($Y14,'Financial Statements'!$1:$1048576,MATCH('Financial Summary'!U$12,'Financial Statements'!$5:$5,0),FALSE)</f>
        <v>269.57803351407381</v>
      </c>
      <c r="V14" s="225">
        <f ca="1">VLOOKUP($Y14,'Financial Statements'!$1:$1048576,MATCH('Financial Summary'!V$12,'Financial Statements'!$5:$5,0),FALSE)</f>
        <v>242.88345875289596</v>
      </c>
      <c r="W14" s="225">
        <f ca="1">VLOOKUP($Y14,'Financial Statements'!$1:$1048576,MATCH('Financial Summary'!W$12,'Financial Statements'!$5:$5,0),FALSE)</f>
        <v>233.92671208839204</v>
      </c>
      <c r="Y14" s="8" t="s">
        <v>595</v>
      </c>
    </row>
    <row r="15" spans="1:29" x14ac:dyDescent="0.25">
      <c r="A15" s="8" t="s">
        <v>303</v>
      </c>
      <c r="B15" s="8" t="s">
        <v>304</v>
      </c>
      <c r="C15" s="8" t="s">
        <v>305</v>
      </c>
      <c r="E15" s="141" t="s">
        <v>346</v>
      </c>
      <c r="F15" s="144" t="s">
        <v>28</v>
      </c>
      <c r="G15" s="145">
        <f>VLOOKUP($A15,Assumptions!$1:$1048576,MATCH('Financial Summary'!G$12,Assumptions!$5:$5,0),FALSE)+VLOOKUP($B15,Assumptions!$1:$1048576,MATCH('Financial Summary'!G$12,Assumptions!$5:$5,0),FALSE)+VLOOKUP($C15,Assumptions!$1:$1048576,MATCH('Financial Summary'!G$12,Assumptions!$5:$5,0),FALSE)</f>
        <v>3.7729999999999997</v>
      </c>
      <c r="H15" s="145">
        <f>VLOOKUP($A15,Assumptions!$1:$1048576,MATCH('Financial Summary'!H$12,Assumptions!$5:$5,0),FALSE)+VLOOKUP($B15,Assumptions!$1:$1048576,MATCH('Financial Summary'!H$12,Assumptions!$5:$5,0),FALSE)+VLOOKUP($C15,Assumptions!$1:$1048576,MATCH('Financial Summary'!H$12,Assumptions!$5:$5,0),FALSE)</f>
        <v>7.7185000000000006</v>
      </c>
      <c r="I15" s="145">
        <f>VLOOKUP($A15,Assumptions!$1:$1048576,MATCH('Financial Summary'!I$12,Assumptions!$5:$5,0),FALSE)+VLOOKUP($B15,Assumptions!$1:$1048576,MATCH('Financial Summary'!I$12,Assumptions!$5:$5,0),FALSE)+VLOOKUP($C15,Assumptions!$1:$1048576,MATCH('Financial Summary'!I$12,Assumptions!$5:$5,0),FALSE)</f>
        <v>12.661000000000001</v>
      </c>
      <c r="J15" s="145">
        <f>VLOOKUP($A15,Assumptions!$1:$1048576,MATCH('Financial Summary'!J$12,Assumptions!$5:$5,0),FALSE)+VLOOKUP($B15,Assumptions!$1:$1048576,MATCH('Financial Summary'!J$12,Assumptions!$5:$5,0),FALSE)+VLOOKUP($C15,Assumptions!$1:$1048576,MATCH('Financial Summary'!J$12,Assumptions!$5:$5,0),FALSE)</f>
        <v>11.737500000000001</v>
      </c>
      <c r="K15" s="145">
        <f>VLOOKUP($A15,Assumptions!$1:$1048576,MATCH('Financial Summary'!K$12,Assumptions!$5:$5,0),FALSE)+VLOOKUP($B15,Assumptions!$1:$1048576,MATCH('Financial Summary'!K$12,Assumptions!$5:$5,0),FALSE)+VLOOKUP($C15,Assumptions!$1:$1048576,MATCH('Financial Summary'!K$12,Assumptions!$5:$5,0),FALSE)</f>
        <v>15.667793421052632</v>
      </c>
      <c r="L15" s="145">
        <f>VLOOKUP($A15,Assumptions!$1:$1048576,MATCH('Financial Summary'!L$12,Assumptions!$5:$5,0),FALSE)+VLOOKUP($B15,Assumptions!$1:$1048576,MATCH('Financial Summary'!L$12,Assumptions!$5:$5,0),FALSE)+VLOOKUP($C15,Assumptions!$1:$1048576,MATCH('Financial Summary'!L$12,Assumptions!$5:$5,0),FALSE)</f>
        <v>21.682060380434784</v>
      </c>
      <c r="M15" s="145">
        <f>VLOOKUP($A15,Assumptions!$1:$1048576,MATCH('Financial Summary'!M$12,Assumptions!$5:$5,0),FALSE)+VLOOKUP($B15,Assumptions!$1:$1048576,MATCH('Financial Summary'!M$12,Assumptions!$5:$5,0),FALSE)+VLOOKUP($C15,Assumptions!$1:$1048576,MATCH('Financial Summary'!M$12,Assumptions!$5:$5,0),FALSE)</f>
        <v>29.174033538210708</v>
      </c>
      <c r="N15" s="141"/>
      <c r="O15" s="141" t="s">
        <v>581</v>
      </c>
      <c r="P15" s="144" t="s">
        <v>28</v>
      </c>
      <c r="Q15" s="141">
        <v>0</v>
      </c>
      <c r="R15" s="225"/>
      <c r="S15" s="225">
        <f>VLOOKUP($Y15,'Financial Statements'!$1:$1048576,MATCH('Financial Summary'!S$12,'Financial Statements'!$5:$5,0),FALSE)</f>
        <v>26.02</v>
      </c>
      <c r="T15" s="225">
        <f>VLOOKUP($Y15,'Financial Statements'!$1:$1048576,MATCH('Financial Summary'!T$12,'Financial Statements'!$5:$5,0),FALSE)</f>
        <v>24.702999999999999</v>
      </c>
      <c r="U15" s="225">
        <f>VLOOKUP($Y15,'Financial Statements'!$1:$1048576,MATCH('Financial Summary'!U$12,'Financial Statements'!$5:$5,0),FALSE)</f>
        <v>32.031819498598601</v>
      </c>
      <c r="V15" s="225">
        <f>VLOOKUP($Y15,'Financial Statements'!$1:$1048576,MATCH('Financial Summary'!V$12,'Financial Statements'!$5:$5,0),FALSE)</f>
        <v>38.895744149546957</v>
      </c>
      <c r="W15" s="225">
        <f>VLOOKUP($Y15,'Financial Statements'!$1:$1048576,MATCH('Financial Summary'!W$12,'Financial Statements'!$5:$5,0),FALSE)</f>
        <v>47.203412836564738</v>
      </c>
      <c r="Y15" s="8" t="s">
        <v>596</v>
      </c>
    </row>
    <row r="16" spans="1:29" x14ac:dyDescent="0.25">
      <c r="A16" s="8" t="s">
        <v>306</v>
      </c>
      <c r="E16" s="141" t="s">
        <v>82</v>
      </c>
      <c r="F16" s="144" t="s">
        <v>28</v>
      </c>
      <c r="G16" s="145">
        <f>VLOOKUP($A16,Assumptions!$1:$1048576,MATCH('Financial Summary'!G$12,Assumptions!$5:$5,0),FALSE)</f>
        <v>13.3</v>
      </c>
      <c r="H16" s="145">
        <f>VLOOKUP($A16,Assumptions!$1:$1048576,MATCH('Financial Summary'!H$12,Assumptions!$5:$5,0),FALSE)</f>
        <v>17.7</v>
      </c>
      <c r="I16" s="145">
        <f>VLOOKUP($A16,Assumptions!$1:$1048576,MATCH('Financial Summary'!I$12,Assumptions!$5:$5,0),FALSE)</f>
        <v>22.774000000000001</v>
      </c>
      <c r="J16" s="145">
        <f>VLOOKUP($A16,Assumptions!$1:$1048576,MATCH('Financial Summary'!J$12,Assumptions!$5:$5,0),FALSE)</f>
        <v>32.024000000000001</v>
      </c>
      <c r="K16" s="145">
        <f>VLOOKUP($A16,Assumptions!$1:$1048576,MATCH('Financial Summary'!K$12,Assumptions!$5:$5,0),FALSE)</f>
        <v>31.927277371475022</v>
      </c>
      <c r="L16" s="145">
        <f>VLOOKUP($A16,Assumptions!$1:$1048576,MATCH('Financial Summary'!L$12,Assumptions!$5:$5,0),FALSE)</f>
        <v>38.105296829654762</v>
      </c>
      <c r="M16" s="145">
        <f>VLOOKUP($A16,Assumptions!$1:$1048576,MATCH('Financial Summary'!M$12,Assumptions!$5:$5,0),FALSE)</f>
        <v>45.404291562621317</v>
      </c>
      <c r="N16" s="141"/>
      <c r="O16" s="141" t="s">
        <v>580</v>
      </c>
      <c r="P16" s="144" t="s">
        <v>28</v>
      </c>
      <c r="Q16" s="141">
        <v>0</v>
      </c>
      <c r="R16" s="225"/>
      <c r="S16" s="225">
        <f>VLOOKUP($Y16,'Financial Statements'!$1:$1048576,MATCH('Financial Summary'!S$12,'Financial Statements'!$5:$5,0),FALSE)</f>
        <v>87.63</v>
      </c>
      <c r="T16" s="225">
        <f>VLOOKUP($Y16,'Financial Statements'!$1:$1048576,MATCH('Financial Summary'!T$12,'Financial Statements'!$5:$5,0),FALSE)</f>
        <v>130.05600000000001</v>
      </c>
      <c r="U16" s="225">
        <f>VLOOKUP($Y16,'Financial Statements'!$1:$1048576,MATCH('Financial Summary'!U$12,'Financial Statements'!$5:$5,0),FALSE)</f>
        <v>160.12529485082359</v>
      </c>
      <c r="V16" s="225">
        <f>VLOOKUP($Y16,'Financial Statements'!$1:$1048576,MATCH('Financial Summary'!V$12,'Financial Statements'!$5:$5,0),FALSE)</f>
        <v>203.13492009751008</v>
      </c>
      <c r="W16" s="225">
        <f>VLOOKUP($Y16,'Financial Statements'!$1:$1048576,MATCH('Financial Summary'!W$12,'Financial Statements'!$5:$5,0),FALSE)</f>
        <v>233.95550351893522</v>
      </c>
      <c r="Y16" s="8" t="s">
        <v>166</v>
      </c>
    </row>
    <row r="17" spans="1:31" x14ac:dyDescent="0.25">
      <c r="E17" s="146" t="s">
        <v>33</v>
      </c>
      <c r="F17" s="147" t="s">
        <v>28</v>
      </c>
      <c r="G17" s="272">
        <f>SUM(G14:G16)</f>
        <v>185.1</v>
      </c>
      <c r="H17" s="272">
        <f t="shared" ref="H17:L17" si="0">SUM(H14:H16)</f>
        <v>276.8</v>
      </c>
      <c r="I17" s="272">
        <f t="shared" si="0"/>
        <v>364.97699999999998</v>
      </c>
      <c r="J17" s="272">
        <f t="shared" si="0"/>
        <v>468.315</v>
      </c>
      <c r="K17" s="272">
        <f t="shared" si="0"/>
        <v>597.65591603330074</v>
      </c>
      <c r="L17" s="272">
        <f t="shared" si="0"/>
        <v>725.06085327016774</v>
      </c>
      <c r="M17" s="272">
        <f t="shared" ref="M17" si="1">SUM(M14:M16)</f>
        <v>879.08539061446379</v>
      </c>
      <c r="N17" s="141"/>
      <c r="O17" s="141" t="s">
        <v>120</v>
      </c>
      <c r="P17" s="144" t="s">
        <v>28</v>
      </c>
      <c r="Q17" s="141">
        <v>0</v>
      </c>
      <c r="R17" s="225"/>
      <c r="S17" s="225">
        <f>VLOOKUP($Y17,'Financial Statements'!$1:$1048576,MATCH('Financial Summary'!S$12,'Financial Statements'!$5:$5,0),FALSE)</f>
        <v>10.586</v>
      </c>
      <c r="T17" s="225">
        <f>VLOOKUP($Y17,'Financial Statements'!$1:$1048576,MATCH('Financial Summary'!T$12,'Financial Statements'!$5:$5,0),FALSE)</f>
        <v>18.305</v>
      </c>
      <c r="U17" s="225">
        <f>VLOOKUP($Y17,'Financial Statements'!$1:$1048576,MATCH('Financial Summary'!U$12,'Financial Statements'!$5:$5,0),FALSE)</f>
        <v>16.571152804684246</v>
      </c>
      <c r="V17" s="225">
        <f>VLOOKUP($Y17,'Financial Statements'!$1:$1048576,MATCH('Financial Summary'!V$12,'Financial Statements'!$5:$5,0),FALSE)</f>
        <v>18.657355650641737</v>
      </c>
      <c r="W17" s="225">
        <f>VLOOKUP($Y17,'Financial Statements'!$1:$1048576,MATCH('Financial Summary'!W$12,'Financial Statements'!$5:$5,0),FALSE)</f>
        <v>21.950917737918886</v>
      </c>
      <c r="Y17" s="8" t="s">
        <v>597</v>
      </c>
    </row>
    <row r="18" spans="1:31" x14ac:dyDescent="0.25">
      <c r="E18" s="149" t="s">
        <v>27</v>
      </c>
      <c r="F18" s="144" t="s">
        <v>29</v>
      </c>
      <c r="G18" s="276"/>
      <c r="H18" s="276">
        <f>H17/G17-1</f>
        <v>0.49540788762830923</v>
      </c>
      <c r="I18" s="276">
        <f>I17/H17-1</f>
        <v>0.31855852601156065</v>
      </c>
      <c r="J18" s="276">
        <f>J17/I17-1</f>
        <v>0.28313564964367632</v>
      </c>
      <c r="K18" s="276">
        <f t="shared" ref="K18:M18" si="2">K17/J17-1</f>
        <v>0.27618358590542846</v>
      </c>
      <c r="L18" s="276">
        <f t="shared" si="2"/>
        <v>0.21317439319009113</v>
      </c>
      <c r="M18" s="276">
        <f t="shared" si="2"/>
        <v>0.21242980730460759</v>
      </c>
      <c r="N18" s="141"/>
      <c r="O18" s="141" t="s">
        <v>113</v>
      </c>
      <c r="P18" s="144" t="s">
        <v>28</v>
      </c>
      <c r="Q18" s="141">
        <v>0</v>
      </c>
      <c r="R18" s="141"/>
      <c r="S18" s="225">
        <f>S19-S14-S15-S16-S17</f>
        <v>243.08100000000002</v>
      </c>
      <c r="T18" s="225">
        <f t="shared" ref="T18:V18" si="3">T19-T14-T15-T16-T17</f>
        <v>328.39100000000013</v>
      </c>
      <c r="U18" s="225">
        <f t="shared" ca="1" si="3"/>
        <v>367.16967072123845</v>
      </c>
      <c r="V18" s="225">
        <f t="shared" ca="1" si="3"/>
        <v>424.43339316592278</v>
      </c>
      <c r="W18" s="225">
        <f t="shared" ref="W18" ca="1" si="4">W19-W14-W15-W16-W17</f>
        <v>480.2017036120875</v>
      </c>
    </row>
    <row r="19" spans="1:31" x14ac:dyDescent="0.25">
      <c r="D19" s="18"/>
      <c r="E19" s="149" t="s">
        <v>643</v>
      </c>
      <c r="G19" s="278"/>
      <c r="H19" s="278"/>
      <c r="I19" s="278"/>
      <c r="J19" s="278"/>
      <c r="K19" s="278"/>
      <c r="L19" s="148"/>
      <c r="M19" s="148">
        <f>+(M17/J17)^(0.333333333333333)-1</f>
        <v>0.23357151249223151</v>
      </c>
      <c r="N19" s="148"/>
      <c r="O19" s="146" t="s">
        <v>123</v>
      </c>
      <c r="P19" s="147" t="s">
        <v>28</v>
      </c>
      <c r="Q19" s="146">
        <v>0</v>
      </c>
      <c r="R19" s="273"/>
      <c r="S19" s="273">
        <f>VLOOKUP($Y19,'Financial Statements'!$1:$1048576,MATCH('Financial Summary'!S$12,'Financial Statements'!$5:$5,0),FALSE)</f>
        <v>661.79700000000003</v>
      </c>
      <c r="T19" s="273">
        <f>VLOOKUP($Y19,'Financial Statements'!$1:$1048576,MATCH('Financial Summary'!T$12,'Financial Statements'!$5:$5,0),FALSE)</f>
        <v>783.19800000000009</v>
      </c>
      <c r="U19" s="273">
        <f ca="1">VLOOKUP($Y19,'Financial Statements'!$1:$1048576,MATCH('Financial Summary'!U$12,'Financial Statements'!$5:$5,0),FALSE)</f>
        <v>845.47597138941887</v>
      </c>
      <c r="V19" s="273">
        <f ca="1">VLOOKUP($Y19,'Financial Statements'!$1:$1048576,MATCH('Financial Summary'!V$12,'Financial Statements'!$5:$5,0),FALSE)</f>
        <v>928.00487181651943</v>
      </c>
      <c r="W19" s="273">
        <f ca="1">VLOOKUP($Y19,'Financial Statements'!$1:$1048576,MATCH('Financial Summary'!W$12,'Financial Statements'!$5:$5,0),FALSE)</f>
        <v>1017.2382497938337</v>
      </c>
      <c r="Y19" s="8" t="s">
        <v>468</v>
      </c>
    </row>
    <row r="20" spans="1:31" x14ac:dyDescent="0.25">
      <c r="L20" s="18"/>
      <c r="M20" s="18"/>
      <c r="N20" s="141"/>
      <c r="O20" s="141"/>
      <c r="P20" s="144"/>
      <c r="Q20" s="141"/>
      <c r="R20" s="141"/>
      <c r="S20" s="141"/>
      <c r="T20" s="141"/>
      <c r="U20" s="141"/>
      <c r="V20" s="141"/>
      <c r="W20" s="141"/>
    </row>
    <row r="21" spans="1:31" x14ac:dyDescent="0.25">
      <c r="A21" s="8" t="s">
        <v>665</v>
      </c>
      <c r="E21" s="141" t="s">
        <v>89</v>
      </c>
      <c r="F21" s="144" t="s">
        <v>28</v>
      </c>
      <c r="G21" s="19">
        <f>VLOOKUP($A21,Assumptions!$1:$1048576,MATCH('Financial Summary'!G$12,Assumptions!$5:$5,0),FALSE)</f>
        <v>19.232199999999995</v>
      </c>
      <c r="H21" s="19">
        <f>VLOOKUP($A21,Assumptions!$1:$1048576,MATCH('Financial Summary'!H$12,Assumptions!$5:$5,0),FALSE)</f>
        <v>29.759999999999998</v>
      </c>
      <c r="I21" s="19">
        <f>VLOOKUP($A21,Assumptions!$1:$1048576,MATCH('Financial Summary'!I$12,Assumptions!$5:$5,0),FALSE)</f>
        <v>47.534999999999989</v>
      </c>
      <c r="J21" s="19">
        <f>VLOOKUP($A21,Assumptions!$1:$1048576,MATCH('Financial Summary'!J$12,Assumptions!$5:$5,0),FALSE)</f>
        <v>59.268799999999992</v>
      </c>
      <c r="K21" s="19">
        <f>VLOOKUP($A21,Assumptions!$1:$1048576,MATCH('Financial Summary'!K$12,Assumptions!$5:$5,0),FALSE)</f>
        <v>81.905084043732032</v>
      </c>
      <c r="L21" s="19">
        <f>VLOOKUP($A21,Assumptions!$1:$1048576,MATCH('Financial Summary'!L$12,Assumptions!$5:$5,0),FALSE)</f>
        <v>107.60918460925362</v>
      </c>
      <c r="M21" s="19">
        <f>VLOOKUP($A21,Assumptions!$1:$1048576,MATCH('Financial Summary'!M$12,Assumptions!$5:$5,0),FALSE)</f>
        <v>136.2781641513908</v>
      </c>
      <c r="N21" s="141"/>
      <c r="O21" s="141" t="s">
        <v>582</v>
      </c>
      <c r="P21" s="144" t="s">
        <v>28</v>
      </c>
      <c r="Q21" s="141">
        <v>0</v>
      </c>
      <c r="R21" s="141"/>
      <c r="S21" s="225">
        <f>VLOOKUP($Y21,'Financial Statements'!$1:$1048576,MATCH('Financial Summary'!S$12,'Financial Statements'!$5:$5,0),FALSE)</f>
        <v>39.387</v>
      </c>
      <c r="T21" s="225">
        <f>VLOOKUP($Y21,'Financial Statements'!$1:$1048576,MATCH('Financial Summary'!T$12,'Financial Statements'!$5:$5,0),FALSE)</f>
        <v>40.439</v>
      </c>
      <c r="U21" s="225">
        <f>VLOOKUP($Y21,'Financial Statements'!$1:$1048576,MATCH('Financial Summary'!U$12,'Financial Statements'!$5:$5,0),FALSE)</f>
        <v>55.997826903475861</v>
      </c>
      <c r="V21" s="225">
        <f>VLOOKUP($Y21,'Financial Statements'!$1:$1048576,MATCH('Financial Summary'!V$12,'Financial Statements'!$5:$5,0),FALSE)</f>
        <v>68.09765656309014</v>
      </c>
      <c r="W21" s="225">
        <f>VLOOKUP($Y21,'Financial Statements'!$1:$1048576,MATCH('Financial Summary'!W$12,'Financial Statements'!$5:$5,0),FALSE)</f>
        <v>82.720269174901702</v>
      </c>
      <c r="Y21" s="8" t="s">
        <v>598</v>
      </c>
    </row>
    <row r="22" spans="1:31" x14ac:dyDescent="0.25">
      <c r="A22" s="8" t="s">
        <v>666</v>
      </c>
      <c r="E22" s="141" t="s">
        <v>90</v>
      </c>
      <c r="F22" s="144" t="s">
        <v>28</v>
      </c>
      <c r="G22" s="19">
        <f>VLOOKUP($A22,Assumptions!$1:$1048576,MATCH('Financial Summary'!G$12,Assumptions!$5:$5,0),FALSE)</f>
        <v>33.4</v>
      </c>
      <c r="H22" s="19">
        <f>VLOOKUP($A22,Assumptions!$1:$1048576,MATCH('Financial Summary'!H$12,Assumptions!$5:$5,0),FALSE)</f>
        <v>46.8</v>
      </c>
      <c r="I22" s="19">
        <f>VLOOKUP($A22,Assumptions!$1:$1048576,MATCH('Financial Summary'!I$12,Assumptions!$5:$5,0),FALSE)</f>
        <v>60.7</v>
      </c>
      <c r="J22" s="19">
        <f>VLOOKUP($A22,Assumptions!$1:$1048576,MATCH('Financial Summary'!J$12,Assumptions!$5:$5,0),FALSE)</f>
        <v>78.924000000000007</v>
      </c>
      <c r="K22" s="19">
        <f>VLOOKUP($A22,Assumptions!$1:$1048576,MATCH('Financial Summary'!K$12,Assumptions!$5:$5,0),FALSE)</f>
        <v>84.714637630704928</v>
      </c>
      <c r="L22" s="19">
        <f>VLOOKUP($A22,Assumptions!$1:$1048576,MATCH('Financial Summary'!L$12,Assumptions!$5:$5,0),FALSE)</f>
        <v>103.16222889448542</v>
      </c>
      <c r="M22" s="19">
        <f>VLOOKUP($A22,Assumptions!$1:$1048576,MATCH('Financial Summary'!M$12,Assumptions!$5:$5,0),FALSE)</f>
        <v>125.59537397746405</v>
      </c>
      <c r="N22" s="141"/>
      <c r="O22" s="141" t="s">
        <v>583</v>
      </c>
      <c r="P22" s="144" t="s">
        <v>28</v>
      </c>
      <c r="Q22" s="141">
        <v>0</v>
      </c>
      <c r="R22" s="141"/>
      <c r="S22" s="225">
        <f>VLOOKUP($Y22,'Financial Statements'!$1:$1048576,MATCH('Financial Summary'!S$12,'Financial Statements'!$5:$5,0),FALSE)</f>
        <v>0</v>
      </c>
      <c r="T22" s="225">
        <f>VLOOKUP($Y22,'Financial Statements'!$1:$1048576,MATCH('Financial Summary'!T$12,'Financial Statements'!$5:$5,0),FALSE)</f>
        <v>0</v>
      </c>
      <c r="U22" s="225">
        <f ca="1">VLOOKUP($Y22,'Financial Statements'!$1:$1048576,MATCH('Financial Summary'!U$12,'Financial Statements'!$5:$5,0),FALSE)</f>
        <v>0</v>
      </c>
      <c r="V22" s="225">
        <f ca="1">VLOOKUP($Y22,'Financial Statements'!$1:$1048576,MATCH('Financial Summary'!V$12,'Financial Statements'!$5:$5,0),FALSE)</f>
        <v>0</v>
      </c>
      <c r="W22" s="225">
        <f ca="1">VLOOKUP($Y22,'Financial Statements'!$1:$1048576,MATCH('Financial Summary'!W$12,'Financial Statements'!$5:$5,0),FALSE)</f>
        <v>0</v>
      </c>
      <c r="Y22" s="8" t="s">
        <v>599</v>
      </c>
    </row>
    <row r="23" spans="1:31" x14ac:dyDescent="0.25">
      <c r="A23" s="8" t="s">
        <v>626</v>
      </c>
      <c r="E23" s="141" t="s">
        <v>91</v>
      </c>
      <c r="F23" s="144" t="s">
        <v>28</v>
      </c>
      <c r="G23" s="19">
        <f>VLOOKUP($A23,Assumptions!$1:$1048576,MATCH('Financial Summary'!G$12,Assumptions!$5:$5,0),FALSE)</f>
        <v>-37.200000000000003</v>
      </c>
      <c r="H23" s="19">
        <f>VLOOKUP($A23,Assumptions!$1:$1048576,MATCH('Financial Summary'!H$12,Assumptions!$5:$5,0),FALSE)</f>
        <v>-50.1</v>
      </c>
      <c r="I23" s="298">
        <f>VLOOKUP($A23,Assumptions!$1:$1048576,MATCH('Financial Summary'!I$12,Assumptions!$5:$5,0),FALSE)</f>
        <v>-69.2</v>
      </c>
      <c r="J23" s="19">
        <f>VLOOKUP($A23,Assumptions!$1:$1048576,MATCH('Financial Summary'!J$12,Assumptions!$5:$5,0),FALSE)</f>
        <v>-85.4</v>
      </c>
      <c r="K23" s="19">
        <f>VLOOKUP($A23,Assumptions!$1:$1048576,MATCH('Financial Summary'!K$12,Assumptions!$5:$5,0),FALSE)</f>
        <v>-95.042688749999996</v>
      </c>
      <c r="L23" s="19">
        <f>VLOOKUP($A23,Assumptions!$1:$1048576,MATCH('Financial Summary'!L$12,Assumptions!$5:$5,0),FALSE)</f>
        <v>-104.38839687500001</v>
      </c>
      <c r="M23" s="19">
        <f>VLOOKUP($A23,Assumptions!$1:$1048576,MATCH('Financial Summary'!M$12,Assumptions!$5:$5,0),FALSE)</f>
        <v>-114.70380352550005</v>
      </c>
      <c r="N23" s="141"/>
      <c r="O23" s="141" t="s">
        <v>584</v>
      </c>
      <c r="P23" s="144" t="s">
        <v>28</v>
      </c>
      <c r="Q23" s="141">
        <v>0</v>
      </c>
      <c r="R23" s="141"/>
      <c r="S23" s="225">
        <f>+S24-S21-S22</f>
        <v>268.43099999999998</v>
      </c>
      <c r="T23" s="225">
        <f t="shared" ref="T23:V23" si="5">+T24-T21-T22</f>
        <v>362.63499999999999</v>
      </c>
      <c r="U23" s="225">
        <f t="shared" ca="1" si="5"/>
        <v>394.29721211283493</v>
      </c>
      <c r="V23" s="225">
        <f t="shared" ca="1" si="5"/>
        <v>443.82334965109465</v>
      </c>
      <c r="W23" s="225">
        <f t="shared" ref="W23" ca="1" si="6">+W24-W21-W22</f>
        <v>491.08214938273608</v>
      </c>
    </row>
    <row r="24" spans="1:31" x14ac:dyDescent="0.25">
      <c r="A24" s="8" t="s">
        <v>558</v>
      </c>
      <c r="E24" s="146" t="s">
        <v>619</v>
      </c>
      <c r="F24" s="147" t="s">
        <v>28</v>
      </c>
      <c r="G24" s="277">
        <f>VLOOKUP($A24,Assumptions!$1:$1048576,MATCH('Financial Summary'!G$12,Assumptions!$5:$5,0),FALSE)</f>
        <v>15.432199999999995</v>
      </c>
      <c r="H24" s="277">
        <f>VLOOKUP($A24,Assumptions!$1:$1048576,MATCH('Financial Summary'!H$12,Assumptions!$5:$5,0),FALSE)</f>
        <v>26.46</v>
      </c>
      <c r="I24" s="277">
        <f>VLOOKUP($A24,Assumptions!$1:$1048576,MATCH('Financial Summary'!I$12,Assumptions!$5:$5,0),FALSE)</f>
        <v>39.034999999999982</v>
      </c>
      <c r="J24" s="277">
        <f>VLOOKUP($A24,Assumptions!$1:$1048576,MATCH('Financial Summary'!J$12,Assumptions!$5:$5,0),FALSE)</f>
        <v>52.7928</v>
      </c>
      <c r="K24" s="277">
        <f>VLOOKUP($A24,Assumptions!$1:$1048576,MATCH('Financial Summary'!K$12,Assumptions!$5:$5,0),FALSE)</f>
        <v>71.577032924436963</v>
      </c>
      <c r="L24" s="277">
        <f>VLOOKUP($A24,Assumptions!$1:$1048576,MATCH('Financial Summary'!L$12,Assumptions!$5:$5,0),FALSE)</f>
        <v>106.38301662873903</v>
      </c>
      <c r="M24" s="277">
        <f>VLOOKUP($A24,Assumptions!$1:$1048576,MATCH('Financial Summary'!M$12,Assumptions!$5:$5,0),FALSE)</f>
        <v>147.16973460335481</v>
      </c>
      <c r="N24" s="141"/>
      <c r="O24" s="146" t="s">
        <v>133</v>
      </c>
      <c r="P24" s="147" t="s">
        <v>28</v>
      </c>
      <c r="Q24" s="146">
        <v>0</v>
      </c>
      <c r="R24" s="146"/>
      <c r="S24" s="273">
        <f>VLOOKUP($Y24,'Financial Statements'!$1:$1048576,MATCH('Financial Summary'!S$12,'Financial Statements'!$5:$5,0),FALSE)</f>
        <v>307.81799999999998</v>
      </c>
      <c r="T24" s="273">
        <f>VLOOKUP($Y24,'Financial Statements'!$1:$1048576,MATCH('Financial Summary'!T$12,'Financial Statements'!$5:$5,0),FALSE)</f>
        <v>403.07400000000001</v>
      </c>
      <c r="U24" s="273">
        <f ca="1">VLOOKUP($Y24,'Financial Statements'!$1:$1048576,MATCH('Financial Summary'!U$12,'Financial Statements'!$5:$5,0),FALSE)</f>
        <v>450.29503901631074</v>
      </c>
      <c r="V24" s="273">
        <f ca="1">VLOOKUP($Y24,'Financial Statements'!$1:$1048576,MATCH('Financial Summary'!V$12,'Financial Statements'!$5:$5,0),FALSE)</f>
        <v>511.92100621418132</v>
      </c>
      <c r="W24" s="273">
        <f ca="1">VLOOKUP($Y24,'Financial Statements'!$1:$1048576,MATCH('Financial Summary'!W$12,'Financial Statements'!$5:$5,0),FALSE)</f>
        <v>573.80241855760767</v>
      </c>
      <c r="Y24" s="8" t="s">
        <v>600</v>
      </c>
      <c r="AC24" s="8">
        <f>_xlfn.RRI(2,K24,M24)</f>
        <v>0.43391169713387545</v>
      </c>
      <c r="AE24" s="14"/>
    </row>
    <row r="25" spans="1:31" x14ac:dyDescent="0.25">
      <c r="E25" s="149" t="s">
        <v>27</v>
      </c>
      <c r="H25" s="148">
        <f t="shared" ref="H25:M25" si="7">H24/G24-1</f>
        <v>0.71459675224530583</v>
      </c>
      <c r="I25" s="148">
        <f t="shared" si="7"/>
        <v>0.47524565381708173</v>
      </c>
      <c r="J25" s="148">
        <f t="shared" si="7"/>
        <v>0.35244780325349101</v>
      </c>
      <c r="K25" s="148">
        <f t="shared" si="7"/>
        <v>0.35581050681981186</v>
      </c>
      <c r="L25" s="148">
        <f t="shared" si="7"/>
        <v>0.48627307227230743</v>
      </c>
      <c r="M25" s="148">
        <f t="shared" si="7"/>
        <v>0.3833950123538552</v>
      </c>
      <c r="N25" s="141"/>
      <c r="O25" s="146"/>
      <c r="P25" s="147"/>
      <c r="Q25" s="141"/>
      <c r="R25" s="141"/>
      <c r="S25" s="225"/>
      <c r="T25" s="141"/>
      <c r="U25" s="141"/>
      <c r="V25" s="141"/>
      <c r="W25" s="141"/>
    </row>
    <row r="26" spans="1:31" x14ac:dyDescent="0.25">
      <c r="E26" s="149" t="s">
        <v>643</v>
      </c>
      <c r="G26" s="19"/>
      <c r="H26" s="19"/>
      <c r="I26" s="19"/>
      <c r="J26" s="19"/>
      <c r="K26" s="19"/>
      <c r="L26" s="148"/>
      <c r="M26" s="148">
        <f>+(M24/J24)^(0.333333333333333)-1</f>
        <v>0.407390461806721</v>
      </c>
      <c r="N26" s="141"/>
      <c r="O26" s="146" t="s">
        <v>134</v>
      </c>
      <c r="P26" s="147" t="s">
        <v>28</v>
      </c>
      <c r="Q26" s="146">
        <v>0</v>
      </c>
      <c r="R26" s="146"/>
      <c r="S26" s="273">
        <f>VLOOKUP($Y26,'Financial Statements'!$1:$1048576,MATCH('Financial Summary'!S$12,'Financial Statements'!$5:$5,0),FALSE)</f>
        <v>353.97900000000004</v>
      </c>
      <c r="T26" s="273">
        <f>VLOOKUP($Y26,'Financial Statements'!$1:$1048576,MATCH('Financial Summary'!T$12,'Financial Statements'!$5:$5,0),FALSE)</f>
        <v>380.12400000000008</v>
      </c>
      <c r="U26" s="273">
        <f ca="1">VLOOKUP($Y26,'Financial Statements'!$1:$1048576,MATCH('Financial Summary'!U$12,'Financial Statements'!$5:$5,0),FALSE)</f>
        <v>395.18093237310813</v>
      </c>
      <c r="V26" s="273">
        <f ca="1">VLOOKUP($Y26,'Financial Statements'!$1:$1048576,MATCH('Financial Summary'!V$12,'Financial Statements'!$5:$5,0),FALSE)</f>
        <v>416.08386560233811</v>
      </c>
      <c r="W26" s="273">
        <f ca="1">VLOOKUP($Y26,'Financial Statements'!$1:$1048576,MATCH('Financial Summary'!W$12,'Financial Statements'!$5:$5,0),FALSE)</f>
        <v>443.43583123622602</v>
      </c>
      <c r="Y26" s="8" t="s">
        <v>469</v>
      </c>
    </row>
    <row r="27" spans="1:31" x14ac:dyDescent="0.25">
      <c r="N27" s="141"/>
      <c r="O27" s="146" t="s">
        <v>563</v>
      </c>
      <c r="P27" s="147" t="s">
        <v>28</v>
      </c>
      <c r="Q27" s="146">
        <v>0</v>
      </c>
      <c r="R27" s="146"/>
      <c r="S27" s="273">
        <f ca="1">VLOOKUP($Y27,Assumptions!$1:$1048576,MATCH('Financial Summary'!S$12,Assumptions!$5:$5,0),FALSE)</f>
        <v>-294.48</v>
      </c>
      <c r="T27" s="273">
        <f ca="1">VLOOKUP($Y27,Assumptions!$1:$1048576,MATCH('Financial Summary'!T$12,Assumptions!$5:$5,0),FALSE)</f>
        <v>-281.74299999999999</v>
      </c>
      <c r="U27" s="273">
        <f ca="1">VLOOKUP($Y27,Assumptions!$1:$1048576,MATCH('Financial Summary'!U$12,Assumptions!$5:$5,0),FALSE)</f>
        <v>-269.57803351407364</v>
      </c>
      <c r="V27" s="273">
        <f ca="1">VLOOKUP($Y27,Assumptions!$1:$1048576,MATCH('Financial Summary'!V$12,Assumptions!$5:$5,0),FALSE)</f>
        <v>-242.88345875289414</v>
      </c>
      <c r="W27" s="273">
        <f ca="1">VLOOKUP($Y27,Assumptions!$1:$1048576,MATCH('Financial Summary'!W$12,Assumptions!$5:$5,0),FALSE)</f>
        <v>-233.9267120884567</v>
      </c>
      <c r="Y27" s="8" t="s">
        <v>561</v>
      </c>
    </row>
    <row r="28" spans="1:31" x14ac:dyDescent="0.25">
      <c r="A28" s="8" t="s">
        <v>669</v>
      </c>
      <c r="E28" s="146" t="s">
        <v>622</v>
      </c>
      <c r="F28" s="147" t="s">
        <v>28</v>
      </c>
      <c r="G28" s="277">
        <f>VLOOKUP($A$28,'Financial Statements'!$1:$1048576,MATCH('Financial Summary'!G$12,'Financial Statements'!$5:$5,0),FALSE)</f>
        <v>21.59999999999998</v>
      </c>
      <c r="H28" s="277">
        <f>VLOOKUP($A$28,'Financial Statements'!$1:$1048576,MATCH('Financial Summary'!H$12,'Financial Statements'!$5:$5,0),FALSE)</f>
        <v>29.300000000000011</v>
      </c>
      <c r="I28" s="277">
        <f>VLOOKUP($A$28,'Financial Statements'!$1:$1048576,MATCH('Financial Summary'!I$12,'Financial Statements'!$5:$5,0),FALSE)</f>
        <v>44.759000000000071</v>
      </c>
      <c r="J28" s="277">
        <f>VLOOKUP($A$28,'Financial Statements'!$1:$1048576,MATCH('Financial Summary'!J$12,'Financial Statements'!$5:$5,0),FALSE)</f>
        <v>65.428000000000054</v>
      </c>
      <c r="K28" s="277">
        <f>VLOOKUP($A$28,'Financial Statements'!$1:$1048576,MATCH('Financial Summary'!K$12,'Financial Statements'!$5:$5,0),FALSE)</f>
        <v>85.352441085356503</v>
      </c>
      <c r="L28" s="277">
        <f>VLOOKUP($A$28,'Financial Statements'!$1:$1048576,MATCH('Financial Summary'!L$12,'Financial Statements'!$5:$5,0),FALSE)</f>
        <v>125.68895568399986</v>
      </c>
      <c r="M28" s="277">
        <f>VLOOKUP($A$28,'Financial Statements'!$1:$1048576,MATCH('Financial Summary'!M$12,'Financial Statements'!$5:$5,0),FALSE)</f>
        <v>171.73704421202768</v>
      </c>
      <c r="N28" s="141"/>
      <c r="O28" s="146" t="s">
        <v>585</v>
      </c>
      <c r="P28" s="147" t="s">
        <v>28</v>
      </c>
      <c r="Q28" s="146">
        <v>0</v>
      </c>
      <c r="R28" s="146"/>
      <c r="S28" s="273">
        <f t="shared" ref="S28:V28" ca="1" si="8">+S26+S27</f>
        <v>59.499000000000024</v>
      </c>
      <c r="T28" s="273">
        <f t="shared" ca="1" si="8"/>
        <v>98.381000000000085</v>
      </c>
      <c r="U28" s="273">
        <f t="shared" ca="1" si="8"/>
        <v>125.6028988590345</v>
      </c>
      <c r="V28" s="273">
        <f t="shared" ca="1" si="8"/>
        <v>173.20040684944397</v>
      </c>
      <c r="W28" s="273">
        <f t="shared" ref="W28" ca="1" si="9">+W26+W27</f>
        <v>209.50911914776933</v>
      </c>
    </row>
    <row r="29" spans="1:31" x14ac:dyDescent="0.25">
      <c r="E29" s="149"/>
      <c r="H29" s="148"/>
      <c r="I29" s="148"/>
      <c r="J29" s="148"/>
      <c r="K29" s="148"/>
      <c r="L29" s="148"/>
      <c r="M29" s="148"/>
      <c r="N29" s="141"/>
      <c r="O29" s="141"/>
      <c r="P29" s="144"/>
      <c r="Q29" s="141"/>
      <c r="R29" s="141"/>
      <c r="S29" s="225"/>
      <c r="T29" s="141"/>
      <c r="U29" s="141"/>
      <c r="V29" s="141"/>
      <c r="W29" s="141"/>
    </row>
    <row r="30" spans="1:31" x14ac:dyDescent="0.25">
      <c r="A30" s="8" t="s">
        <v>314</v>
      </c>
      <c r="E30" s="141" t="s">
        <v>307</v>
      </c>
      <c r="F30" s="144" t="s">
        <v>28</v>
      </c>
      <c r="G30" s="93">
        <f>VLOOKUP($A30,'Financial Statements'!$1:$1048576,MATCH('Financial Summary'!G$12,'Financial Statements'!$5:$5,0),FALSE)</f>
        <v>-14.4</v>
      </c>
      <c r="H30" s="93">
        <f>VLOOKUP($A30,'Financial Statements'!$1:$1048576,MATCH('Financial Summary'!H$12,'Financial Statements'!$5:$5,0),FALSE)</f>
        <v>-25.500000000000004</v>
      </c>
      <c r="I30" s="93">
        <f>VLOOKUP($A30,'Financial Statements'!$1:$1048576,MATCH('Financial Summary'!I$12,'Financial Statements'!$5:$5,0),FALSE)</f>
        <v>-31.123000000000001</v>
      </c>
      <c r="J30" s="93">
        <f>VLOOKUP($A30,'Financial Statements'!$1:$1048576,MATCH('Financial Summary'!J$12,'Financial Statements'!$5:$5,0),FALSE)</f>
        <v>-39.681000000000004</v>
      </c>
      <c r="K30" s="93">
        <f>VLOOKUP($A30,'Financial Statements'!$1:$1048576,MATCH('Financial Summary'!K$12,'Financial Statements'!$5:$5,0),FALSE)</f>
        <v>-48.678844946163728</v>
      </c>
      <c r="L30" s="93">
        <f>VLOOKUP($A30,'Financial Statements'!$1:$1048576,MATCH('Financial Summary'!L$12,'Financial Statements'!$5:$5,0),FALSE)</f>
        <v>-58.4612023135942</v>
      </c>
      <c r="M30" s="93">
        <f>VLOOKUP($A30,'Financial Statements'!$1:$1048576,MATCH('Financial Summary'!M$12,'Financial Statements'!$5:$5,0),FALSE)</f>
        <v>-69.478955107774112</v>
      </c>
      <c r="N30" s="141"/>
      <c r="O30" s="1" t="s">
        <v>320</v>
      </c>
      <c r="P30" s="142"/>
      <c r="Q30" s="140"/>
      <c r="R30" s="140"/>
      <c r="S30" s="140"/>
      <c r="T30" s="140"/>
      <c r="U30" s="140"/>
      <c r="V30" s="140"/>
      <c r="W30" s="140"/>
    </row>
    <row r="31" spans="1:31" x14ac:dyDescent="0.25">
      <c r="E31" s="146" t="s">
        <v>308</v>
      </c>
      <c r="F31" s="147" t="s">
        <v>28</v>
      </c>
      <c r="G31" s="277">
        <f>VLOOKUP($A32,'Financial Statements'!$1:$1048576,MATCH('Financial Summary'!G$12,'Financial Statements'!$5:$5,0),FALSE)</f>
        <v>7.1999999999999797</v>
      </c>
      <c r="H31" s="277">
        <f>VLOOKUP($A32,'Financial Statements'!$1:$1048576,MATCH('Financial Summary'!H$12,'Financial Statements'!$5:$5,0),FALSE)</f>
        <v>3.8000000000000078</v>
      </c>
      <c r="I31" s="277">
        <f>VLOOKUP($A32,'Financial Statements'!$1:$1048576,MATCH('Financial Summary'!I$12,'Financial Statements'!$5:$5,0),FALSE)</f>
        <v>13.63600000000007</v>
      </c>
      <c r="J31" s="277">
        <f>VLOOKUP($A32,'Financial Statements'!$1:$1048576,MATCH('Financial Summary'!J$12,'Financial Statements'!$5:$5,0),FALSE)</f>
        <v>25.74700000000005</v>
      </c>
      <c r="K31" s="277">
        <f>VLOOKUP($A32,'Financial Statements'!$1:$1048576,MATCH('Financial Summary'!K$12,'Financial Statements'!$5:$5,0),FALSE)</f>
        <v>36.673596139192775</v>
      </c>
      <c r="L31" s="277">
        <f>VLOOKUP($A32,'Financial Statements'!$1:$1048576,MATCH('Financial Summary'!L$12,'Financial Statements'!$5:$5,0),FALSE)</f>
        <v>67.227753370405665</v>
      </c>
      <c r="M31" s="277">
        <f>VLOOKUP($A32,'Financial Statements'!$1:$1048576,MATCH('Financial Summary'!M$12,'Financial Statements'!$5:$5,0),FALSE)</f>
        <v>102.25808910425357</v>
      </c>
      <c r="N31" s="141"/>
      <c r="O31" s="88" t="s">
        <v>15</v>
      </c>
      <c r="P31" s="274" t="s">
        <v>443</v>
      </c>
      <c r="Q31" s="143" t="s">
        <v>1</v>
      </c>
      <c r="R31" s="143" t="s">
        <v>4</v>
      </c>
      <c r="S31" s="143" t="s">
        <v>375</v>
      </c>
      <c r="T31" s="143" t="s">
        <v>376</v>
      </c>
      <c r="U31" s="143" t="s">
        <v>10</v>
      </c>
      <c r="V31" s="143" t="s">
        <v>13</v>
      </c>
      <c r="W31" s="143" t="s">
        <v>20</v>
      </c>
    </row>
    <row r="32" spans="1:31" x14ac:dyDescent="0.25">
      <c r="A32" s="8" t="s">
        <v>296</v>
      </c>
      <c r="E32" s="149" t="s">
        <v>27</v>
      </c>
      <c r="F32" s="144" t="s">
        <v>29</v>
      </c>
      <c r="G32" s="150"/>
      <c r="H32" s="148">
        <f t="shared" ref="H32:M32" si="10">H31/G31-1</f>
        <v>-0.47222222222221966</v>
      </c>
      <c r="I32" s="148">
        <f t="shared" si="10"/>
        <v>2.5884210526315901</v>
      </c>
      <c r="J32" s="148">
        <f t="shared" si="10"/>
        <v>0.88816368436491033</v>
      </c>
      <c r="K32" s="148">
        <f t="shared" si="10"/>
        <v>0.4243832733597197</v>
      </c>
      <c r="L32" s="148">
        <f>L31/K31-1</f>
        <v>0.83313774616610092</v>
      </c>
      <c r="M32" s="148">
        <f t="shared" si="10"/>
        <v>0.52106955799698951</v>
      </c>
      <c r="N32" s="141"/>
      <c r="O32" s="141" t="s">
        <v>70</v>
      </c>
      <c r="P32" s="144" t="s">
        <v>28</v>
      </c>
      <c r="Q32" s="225">
        <f>VLOOKUP($Y32,'Financial Statements'!$1:$1048576,MATCH('Financial Summary'!Q$31,'Financial Statements'!$5:$5,0),FALSE)</f>
        <v>7.2</v>
      </c>
      <c r="R32" s="225"/>
      <c r="S32" s="225">
        <f>VLOOKUP($Y32,'Financial Statements'!$1:$1048576,MATCH('Financial Summary'!S$31,'Financial Statements'!$5:$5,0),FALSE)</f>
        <v>13.6</v>
      </c>
      <c r="T32" s="225">
        <f>VLOOKUP($Y32,'Financial Statements'!$1:$1048576,MATCH('Financial Summary'!T$31,'Financial Statements'!$5:$5,0),FALSE)</f>
        <v>25.4</v>
      </c>
      <c r="U32" s="225">
        <f>VLOOKUP($Y32,'Financial Statements'!$1:$1048576,MATCH('Financial Summary'!U$31,'Financial Statements'!$5:$5,0),FALSE)</f>
        <v>36.67359613919276</v>
      </c>
      <c r="V32" s="225">
        <f>VLOOKUP($Y32,'Financial Statements'!$1:$1048576,MATCH('Financial Summary'!V$31,'Financial Statements'!$5:$5,0),FALSE)</f>
        <v>67.227753370405637</v>
      </c>
      <c r="W32" s="225">
        <f>VLOOKUP($Y32,'Financial Statements'!$1:$1048576,MATCH('Financial Summary'!W$31,'Financial Statements'!$5:$5,0),FALSE)</f>
        <v>102.25808910425351</v>
      </c>
      <c r="Y32" s="8" t="s">
        <v>602</v>
      </c>
    </row>
    <row r="33" spans="1:26" x14ac:dyDescent="0.25">
      <c r="E33" s="149" t="s">
        <v>643</v>
      </c>
      <c r="L33" s="148"/>
      <c r="M33" s="148">
        <f>+(M31/J31)^(0.333333333333333)-1</f>
        <v>0.58364200745811101</v>
      </c>
      <c r="N33" s="141"/>
      <c r="O33" s="141" t="s">
        <v>234</v>
      </c>
      <c r="P33" s="144" t="s">
        <v>28</v>
      </c>
      <c r="Q33" s="225">
        <f>VLOOKUP($Y33,'Financial Statements'!$1:$1048576,MATCH('Financial Summary'!Q$31,'Financial Statements'!$5:$5,0),FALSE)</f>
        <v>14.5</v>
      </c>
      <c r="R33" s="225"/>
      <c r="S33" s="225">
        <f>VLOOKUP($Y33,'Financial Statements'!$1:$1048576,MATCH('Financial Summary'!S$31,'Financial Statements'!$5:$5,0),FALSE)</f>
        <v>31.123000000000001</v>
      </c>
      <c r="T33" s="225">
        <f>VLOOKUP($Y33,'Financial Statements'!$1:$1048576,MATCH('Financial Summary'!T$31,'Financial Statements'!$5:$5,0),FALSE)</f>
        <v>39.680999999999997</v>
      </c>
      <c r="U33" s="225">
        <f>VLOOKUP($Y33,'Financial Statements'!$1:$1048576,MATCH('Financial Summary'!U$31,'Financial Statements'!$5:$5,0),FALSE)</f>
        <v>48.678844946163728</v>
      </c>
      <c r="V33" s="225">
        <f>VLOOKUP($Y33,'Financial Statements'!$1:$1048576,MATCH('Financial Summary'!V$31,'Financial Statements'!$5:$5,0),FALSE)</f>
        <v>58.4612023135942</v>
      </c>
      <c r="W33" s="225">
        <f>VLOOKUP($Y33,'Financial Statements'!$1:$1048576,MATCH('Financial Summary'!W$31,'Financial Statements'!$5:$5,0),FALSE)</f>
        <v>69.478955107774112</v>
      </c>
      <c r="Y33" s="8" t="s">
        <v>601</v>
      </c>
    </row>
    <row r="34" spans="1:26" x14ac:dyDescent="0.25">
      <c r="N34" s="141"/>
      <c r="O34" s="141" t="s">
        <v>586</v>
      </c>
      <c r="P34" s="144" t="s">
        <v>28</v>
      </c>
      <c r="Q34" s="225">
        <f>VLOOKUP($Y34,'Financial Statements'!$1:$1048576,MATCH('Financial Summary'!Q$31,'Financial Statements'!$5:$5,0),FALSE)</f>
        <v>-1.1000000000000001</v>
      </c>
      <c r="R34" s="225"/>
      <c r="S34" s="225">
        <f>VLOOKUP($Y34,'Financial Statements'!$1:$1048576,MATCH('Financial Summary'!S$31,'Financial Statements'!$5:$5,0),FALSE)</f>
        <v>10.541000000000002</v>
      </c>
      <c r="T34" s="225">
        <f>VLOOKUP($Y34,'Financial Statements'!$1:$1048576,MATCH('Financial Summary'!T$31,'Financial Statements'!$5:$5,0),FALSE)</f>
        <v>10.734000000000009</v>
      </c>
      <c r="U34" s="225">
        <f>VLOOKUP($Y34,'Financial Statements'!$1:$1048576,MATCH('Financial Summary'!U$31,'Financial Statements'!$5:$5,0),FALSE)</f>
        <v>6.782969941439184</v>
      </c>
      <c r="V34" s="225">
        <f>VLOOKUP($Y34,'Financial Statements'!$1:$1048576,MATCH('Financial Summary'!V$31,'Financial Statements'!$5:$5,0),FALSE)</f>
        <v>4.1105690866646398</v>
      </c>
      <c r="W34" s="225">
        <f>VLOOKUP($Y34,'Financial Statements'!$1:$1048576,MATCH('Financial Summary'!W$31,'Financial Statements'!$5:$5,0),FALSE)</f>
        <v>4.9549783956505262</v>
      </c>
      <c r="Y34" s="8" t="s">
        <v>603</v>
      </c>
    </row>
    <row r="35" spans="1:26" x14ac:dyDescent="0.25">
      <c r="A35" s="8" t="s">
        <v>315</v>
      </c>
      <c r="E35" s="141" t="s">
        <v>659</v>
      </c>
      <c r="F35" s="144" t="s">
        <v>28</v>
      </c>
      <c r="G35" s="93">
        <f>VLOOKUP($A35,'Financial Statements'!$1:$1048576,MATCH('Financial Summary'!G$12,'Financial Statements'!$5:$5,0),FALSE)</f>
        <v>-1.5999999999999996</v>
      </c>
      <c r="H35" s="93">
        <f>VLOOKUP($A35,'Financial Statements'!$1:$1048576,MATCH('Financial Summary'!H$12,'Financial Statements'!$5:$5,0),FALSE)</f>
        <v>3.8999999999999986</v>
      </c>
      <c r="I35" s="93">
        <f>VLOOKUP($A35,'Financial Statements'!$1:$1048576,MATCH('Financial Summary'!I$12,'Financial Statements'!$5:$5,0),FALSE)</f>
        <v>2.6170000000000009</v>
      </c>
      <c r="J35" s="93">
        <f>VLOOKUP($A35,'Financial Statements'!$1:$1048576,MATCH('Financial Summary'!J$12,'Financial Statements'!$5:$5,0),FALSE)</f>
        <v>3.7719999999999985</v>
      </c>
      <c r="K35" s="93">
        <f ca="1">VLOOKUP($A35,'Financial Statements'!$1:$1048576,MATCH('Financial Summary'!K$12,'Financial Statements'!$5:$5,0),FALSE)</f>
        <v>2.2553573548614345</v>
      </c>
      <c r="L35" s="93">
        <f ca="1">VLOOKUP($A35,'Financial Statements'!$1:$1048576,MATCH('Financial Summary'!L$12,'Financial Statements'!$5:$5,0),FALSE)</f>
        <v>-0.9287074099786139</v>
      </c>
      <c r="M35" s="93">
        <f ca="1">VLOOKUP($A35,'Financial Statements'!$1:$1048576,MATCH('Financial Summary'!M$12,'Financial Statements'!$5:$5,0),FALSE)</f>
        <v>-4.8335595771794679</v>
      </c>
      <c r="N35" s="141"/>
      <c r="O35" s="141" t="s">
        <v>128</v>
      </c>
      <c r="P35" s="144" t="s">
        <v>28</v>
      </c>
      <c r="Q35" s="225">
        <f>VLOOKUP($Y35,'Financial Statements'!$1:$1048576,MATCH('Financial Summary'!Q$31,'Financial Statements'!$5:$5,0),FALSE)</f>
        <v>-0.1</v>
      </c>
      <c r="R35" s="225"/>
      <c r="S35" s="225">
        <f>VLOOKUP($Y35,'Financial Statements'!$1:$1048576,MATCH('Financial Summary'!S$31,'Financial Statements'!$5:$5,0),FALSE)</f>
        <v>-6.5019999999999998</v>
      </c>
      <c r="T35" s="225">
        <f>VLOOKUP($Y35,'Financial Statements'!$1:$1048576,MATCH('Financial Summary'!T$31,'Financial Statements'!$5:$5,0),FALSE)</f>
        <v>-19.388999999999999</v>
      </c>
      <c r="U35" s="225">
        <f ca="1">VLOOKUP($Y35,'Financial Statements'!$1:$1048576,MATCH('Financial Summary'!U$31,'Financial Statements'!$5:$5,0),FALSE)</f>
        <v>-17.447820985833637</v>
      </c>
      <c r="V35" s="225">
        <f ca="1">VLOOKUP($Y35,'Financial Statements'!$1:$1048576,MATCH('Financial Summary'!V$31,'Financial Statements'!$5:$5,0),FALSE)</f>
        <v>-24.023059117884266</v>
      </c>
      <c r="W35" s="225">
        <f ca="1">VLOOKUP($Y35,'Financial Statements'!$1:$1048576,MATCH('Financial Summary'!W$31,'Financial Statements'!$5:$5,0),FALSE)</f>
        <v>-32.208640218972178</v>
      </c>
      <c r="Y35" s="8" t="s">
        <v>604</v>
      </c>
    </row>
    <row r="36" spans="1:26" x14ac:dyDescent="0.25">
      <c r="A36" s="8" t="s">
        <v>73</v>
      </c>
      <c r="E36" s="141" t="s">
        <v>309</v>
      </c>
      <c r="F36" s="144" t="s">
        <v>28</v>
      </c>
      <c r="G36" s="93">
        <f>VLOOKUP($A36,'Financial Statements'!$1:$1048576,MATCH('Financial Summary'!G$12,'Financial Statements'!$5:$5,0),FALSE)</f>
        <v>5.5999999999999801</v>
      </c>
      <c r="H36" s="93">
        <f>VLOOKUP($A36,'Financial Statements'!$1:$1048576,MATCH('Financial Summary'!H$12,'Financial Statements'!$5:$5,0),FALSE)</f>
        <v>7.7000000000000064</v>
      </c>
      <c r="I36" s="93">
        <f>VLOOKUP($A36,'Financial Statements'!$1:$1048576,MATCH('Financial Summary'!I$12,'Financial Statements'!$5:$5,0),FALSE)</f>
        <v>16.253000000000071</v>
      </c>
      <c r="J36" s="93">
        <f>VLOOKUP($A36,'Financial Statements'!$1:$1048576,MATCH('Financial Summary'!J$12,'Financial Statements'!$5:$5,0),FALSE)</f>
        <v>29.519000000000048</v>
      </c>
      <c r="K36" s="93">
        <f ca="1">VLOOKUP($A36,'Financial Statements'!$1:$1048576,MATCH('Financial Summary'!K$12,'Financial Statements'!$5:$5,0),FALSE)</f>
        <v>38.928953494054213</v>
      </c>
      <c r="L36" s="93">
        <f ca="1">VLOOKUP($A36,'Financial Statements'!$1:$1048576,MATCH('Financial Summary'!L$12,'Financial Statements'!$5:$5,0),FALSE)</f>
        <v>66.299045960427051</v>
      </c>
      <c r="M36" s="93">
        <f ca="1">VLOOKUP($A36,'Financial Statements'!$1:$1048576,MATCH('Financial Summary'!M$12,'Financial Statements'!$5:$5,0),FALSE)</f>
        <v>97.4245295270741</v>
      </c>
      <c r="N36" s="141"/>
      <c r="O36" s="141" t="s">
        <v>82</v>
      </c>
      <c r="P36" s="144" t="s">
        <v>28</v>
      </c>
      <c r="Q36" s="225">
        <f>+Q37-Q32-Q33-Q34-Q35</f>
        <v>-0.30000000000000704</v>
      </c>
      <c r="R36" s="225"/>
      <c r="S36" s="225">
        <f t="shared" ref="S36:V36" si="11">+S37-S32-S33-S34-S35</f>
        <v>7.5379999999999923</v>
      </c>
      <c r="T36" s="225">
        <f t="shared" si="11"/>
        <v>0.9009999999999927</v>
      </c>
      <c r="U36" s="225">
        <f t="shared" ca="1" si="11"/>
        <v>9.0179999999999723</v>
      </c>
      <c r="V36" s="225">
        <f t="shared" ca="1" si="11"/>
        <v>9.0179999999987288</v>
      </c>
      <c r="W36" s="225">
        <f t="shared" ref="W36" ca="1" si="12">+W37-W32-W33-W34-W35</f>
        <v>9.0179999999937621</v>
      </c>
    </row>
    <row r="37" spans="1:26" x14ac:dyDescent="0.25">
      <c r="A37" s="8" t="s">
        <v>297</v>
      </c>
      <c r="E37" s="141" t="s">
        <v>128</v>
      </c>
      <c r="F37" s="144" t="s">
        <v>28</v>
      </c>
      <c r="G37" s="93">
        <f>VLOOKUP($A37,'Financial Statements'!$1:$1048576,MATCH('Financial Summary'!G$12,'Financial Statements'!$5:$5,0),FALSE)</f>
        <v>-2.4</v>
      </c>
      <c r="H37" s="93">
        <f>VLOOKUP($A37,'Financial Statements'!$1:$1048576,MATCH('Financial Summary'!H$12,'Financial Statements'!$5:$5,0),FALSE)</f>
        <v>-4.7</v>
      </c>
      <c r="I37" s="93">
        <f>VLOOKUP($A37,'Financial Statements'!$1:$1048576,MATCH('Financial Summary'!I$12,'Financial Statements'!$5:$5,0),FALSE)</f>
        <v>-10.6</v>
      </c>
      <c r="J37" s="93">
        <f>VLOOKUP($A37,'Financial Statements'!$1:$1048576,MATCH('Financial Summary'!J$12,'Financial Statements'!$5:$5,0),FALSE)</f>
        <v>-14.7</v>
      </c>
      <c r="K37" s="93">
        <f ca="1">VLOOKUP($A37,'Financial Statements'!$1:$1048576,MATCH('Financial Summary'!K$12,'Financial Statements'!$5:$5,0),FALSE)</f>
        <v>-17.447820985833637</v>
      </c>
      <c r="L37" s="93">
        <f ca="1">VLOOKUP($A37,'Financial Statements'!$1:$1048576,MATCH('Financial Summary'!L$12,'Financial Statements'!$5:$5,0),FALSE)</f>
        <v>-24.023059117883751</v>
      </c>
      <c r="M37" s="93">
        <f ca="1">VLOOKUP($A37,'Financial Statements'!$1:$1048576,MATCH('Financial Summary'!M$12,'Financial Statements'!$5:$5,0),FALSE)</f>
        <v>-32.208640218964135</v>
      </c>
      <c r="N37" s="141"/>
      <c r="O37" s="146" t="s">
        <v>587</v>
      </c>
      <c r="P37" s="147" t="s">
        <v>28</v>
      </c>
      <c r="Q37" s="273">
        <f>VLOOKUP($Y37,'Financial Statements'!$1:$1048576,MATCH('Financial Summary'!Q$31,'Financial Statements'!$5:$5,0),FALSE)</f>
        <v>20.199999999999992</v>
      </c>
      <c r="R37" s="273"/>
      <c r="S37" s="273">
        <f>VLOOKUP($Y37,'Financial Statements'!$1:$1048576,MATCH('Financial Summary'!S$31,'Financial Statements'!$5:$5,0),FALSE)</f>
        <v>56.3</v>
      </c>
      <c r="T37" s="273">
        <f>VLOOKUP($Y37,'Financial Statements'!$1:$1048576,MATCH('Financial Summary'!T$31,'Financial Statements'!$5:$5,0),FALSE)</f>
        <v>57.326999999999998</v>
      </c>
      <c r="U37" s="273">
        <f ca="1">VLOOKUP($Y37,'Financial Statements'!$1:$1048576,MATCH('Financial Summary'!U$31,'Financial Statements'!$5:$5,0),FALSE)</f>
        <v>83.705590040962051</v>
      </c>
      <c r="V37" s="273">
        <f ca="1">VLOOKUP($Y37,'Financial Statements'!$1:$1048576,MATCH('Financial Summary'!V$31,'Financial Statements'!$5:$5,0),FALSE)</f>
        <v>114.79446565278022</v>
      </c>
      <c r="W37" s="273">
        <f ca="1">VLOOKUP($Y37,'Financial Statements'!$1:$1048576,MATCH('Financial Summary'!W$31,'Financial Statements'!$5:$5,0),FALSE)</f>
        <v>153.50138238870596</v>
      </c>
      <c r="Y37" s="8" t="s">
        <v>605</v>
      </c>
    </row>
    <row r="38" spans="1:26" x14ac:dyDescent="0.25">
      <c r="A38" s="8" t="s">
        <v>467</v>
      </c>
      <c r="E38" s="146" t="s">
        <v>620</v>
      </c>
      <c r="F38" s="147" t="s">
        <v>28</v>
      </c>
      <c r="G38" s="272">
        <f>VLOOKUP($A38,'Financial Statements'!$1:$1048576,MATCH('Financial Summary'!G$12,'Financial Statements'!$5:$5,0),FALSE)</f>
        <v>3.1999999999999802</v>
      </c>
      <c r="H38" s="272">
        <f>VLOOKUP($A38,'Financial Statements'!$1:$1048576,MATCH('Financial Summary'!H$12,'Financial Statements'!$5:$5,0),FALSE)</f>
        <v>3.0000000000000062</v>
      </c>
      <c r="I38" s="504">
        <f>VLOOKUP($A38,'Financial Statements'!$1:$1048576,MATCH('Financial Summary'!I$12,'Financial Statements'!$5:$5,0),FALSE)</f>
        <v>5.6530000000000715</v>
      </c>
      <c r="J38" s="504">
        <f>VLOOKUP($A38,'Financial Statements'!$1:$1048576,MATCH('Financial Summary'!J$12,'Financial Statements'!$5:$5,0),FALSE)</f>
        <v>14.819000000000049</v>
      </c>
      <c r="K38" s="504">
        <f ca="1">VLOOKUP($A38,'Financial Statements'!$1:$1048576,MATCH('Financial Summary'!K$12,'Financial Statements'!$5:$5,0),FALSE)</f>
        <v>21.481132508220576</v>
      </c>
      <c r="L38" s="504">
        <f ca="1">VLOOKUP($A38,'Financial Statements'!$1:$1048576,MATCH('Financial Summary'!L$12,'Financial Statements'!$5:$5,0),FALSE)</f>
        <v>42.275986842543304</v>
      </c>
      <c r="M38" s="504">
        <f ca="1">VLOOKUP($A38,'Financial Statements'!$1:$1048576,MATCH('Financial Summary'!M$12,'Financial Statements'!$5:$5,0),FALSE)</f>
        <v>65.215889308109965</v>
      </c>
      <c r="N38" s="141"/>
      <c r="O38" s="141" t="s">
        <v>588</v>
      </c>
      <c r="P38" s="144" t="s">
        <v>28</v>
      </c>
      <c r="Q38" s="225">
        <f>VLOOKUP($Y38,'Financial Statements'!$1:$1048576,MATCH('Financial Summary'!Q$31,'Financial Statements'!$5:$5,0),FALSE)</f>
        <v>-19.399999999999999</v>
      </c>
      <c r="R38" s="225"/>
      <c r="S38" s="225">
        <f>VLOOKUP($Y38,'Financial Statements'!$1:$1048576,MATCH('Financial Summary'!S$31,'Financial Statements'!$5:$5,0),FALSE)</f>
        <v>-33.496000000000002</v>
      </c>
      <c r="T38" s="225">
        <f>VLOOKUP($Y38,'Financial Statements'!$1:$1048576,MATCH('Financial Summary'!T$31,'Financial Statements'!$5:$5,0),FALSE)</f>
        <v>-61.326000000000001</v>
      </c>
      <c r="U38" s="225">
        <f>VLOOKUP($Y38,'Financial Statements'!$1:$1048576,MATCH('Financial Summary'!U$31,'Financial Statements'!$5:$5,0),FALSE)</f>
        <v>-54.749064549388166</v>
      </c>
      <c r="V38" s="225">
        <f>VLOOKUP($Y38,'Financial Statements'!$1:$1048576,MATCH('Financial Summary'!V$31,'Financial Statements'!$5:$5,0),FALSE)</f>
        <v>-73.021702175235447</v>
      </c>
      <c r="W38" s="225">
        <f>VLOOKUP($Y38,'Financial Statements'!$1:$1048576,MATCH('Financial Summary'!W$31,'Financial Statements'!$5:$5,0),FALSE)</f>
        <v>-66.566951191726858</v>
      </c>
      <c r="Y38" s="8" t="s">
        <v>606</v>
      </c>
    </row>
    <row r="39" spans="1:26" x14ac:dyDescent="0.25">
      <c r="E39" s="149" t="s">
        <v>27</v>
      </c>
      <c r="H39" s="148">
        <f t="shared" ref="H39:M39" si="13">H38/G38-1</f>
        <v>-6.2499999999992228E-2</v>
      </c>
      <c r="I39" s="148">
        <f t="shared" si="13"/>
        <v>0.88433333333335318</v>
      </c>
      <c r="J39" s="148">
        <f t="shared" si="13"/>
        <v>1.6214399433928643</v>
      </c>
      <c r="K39" s="148">
        <f t="shared" ca="1" si="13"/>
        <v>0.44956694164386968</v>
      </c>
      <c r="L39" s="148">
        <f t="shared" ca="1" si="13"/>
        <v>0.96805204876254924</v>
      </c>
      <c r="M39" s="148">
        <f t="shared" ca="1" si="13"/>
        <v>0.54262251880733636</v>
      </c>
      <c r="N39" s="141"/>
      <c r="O39" s="141" t="s">
        <v>589</v>
      </c>
      <c r="P39" s="144" t="s">
        <v>28</v>
      </c>
      <c r="Q39" s="225">
        <f>VLOOKUP($Y39,'Financial Statements'!$1:$1048576,MATCH('Financial Summary'!Q$31,'Financial Statements'!$5:$5,0),FALSE)</f>
        <v>-7</v>
      </c>
      <c r="R39" s="225"/>
      <c r="S39" s="225">
        <f>VLOOKUP($Y39,'Financial Statements'!$1:$1048576,MATCH('Financial Summary'!S$31,'Financial Statements'!$5:$5,0),FALSE)</f>
        <v>-6.3E-2</v>
      </c>
      <c r="T39" s="225">
        <f>VLOOKUP($Y39,'Financial Statements'!$1:$1048576,MATCH('Financial Summary'!T$31,'Financial Statements'!$5:$5,0),FALSE)</f>
        <v>-3.6999999999999998E-2</v>
      </c>
      <c r="U39" s="225">
        <f>VLOOKUP($Y39,'Financial Statements'!$1:$1048576,MATCH('Financial Summary'!U$31,'Financial Statements'!$5:$5,0),FALSE)</f>
        <v>-5.6572863866182574</v>
      </c>
      <c r="V39" s="225">
        <f>VLOOKUP($Y39,'Financial Statements'!$1:$1048576,MATCH('Financial Summary'!V$31,'Financial Statements'!$5:$5,0),FALSE)</f>
        <v>-10.304333346607692</v>
      </c>
      <c r="W39" s="225">
        <f>VLOOKUP($Y39,'Financial Statements'!$1:$1048576,MATCH('Financial Summary'!W$31,'Financial Statements'!$5:$5,0),FALSE)</f>
        <v>-12.505216485777636</v>
      </c>
      <c r="Y39" s="8" t="s">
        <v>607</v>
      </c>
    </row>
    <row r="40" spans="1:26" x14ac:dyDescent="0.25">
      <c r="E40" s="149" t="s">
        <v>643</v>
      </c>
      <c r="L40" s="148"/>
      <c r="M40" s="148">
        <f ca="1">+(M38/J38)^(0.333333333333333)-1</f>
        <v>0.63874548295113609</v>
      </c>
      <c r="N40" s="141"/>
      <c r="O40" s="141" t="s">
        <v>590</v>
      </c>
      <c r="P40" s="144" t="s">
        <v>28</v>
      </c>
      <c r="Q40" s="225">
        <f>Q41-Q38-Q39</f>
        <v>-5.3000000000000007</v>
      </c>
      <c r="R40" s="225"/>
      <c r="S40" s="225">
        <f t="shared" ref="S40:V40" si="14">S41-S38-S39</f>
        <v>-278.25900000000001</v>
      </c>
      <c r="T40" s="225">
        <f t="shared" si="14"/>
        <v>26.811999999999998</v>
      </c>
      <c r="U40" s="225">
        <f t="shared" si="14"/>
        <v>0</v>
      </c>
      <c r="V40" s="225">
        <f t="shared" si="14"/>
        <v>0</v>
      </c>
      <c r="W40" s="225">
        <f t="shared" ref="W40" si="15">W41-W38-W39</f>
        <v>0</v>
      </c>
    </row>
    <row r="41" spans="1:26" x14ac:dyDescent="0.25">
      <c r="N41" s="141"/>
      <c r="O41" s="146" t="s">
        <v>591</v>
      </c>
      <c r="P41" s="147" t="s">
        <v>28</v>
      </c>
      <c r="Q41" s="273">
        <f>VLOOKUP($Y41,'Financial Statements'!$1:$1048576,MATCH('Financial Summary'!Q$31,'Financial Statements'!$5:$5,0),FALSE)</f>
        <v>-31.7</v>
      </c>
      <c r="R41" s="273"/>
      <c r="S41" s="273">
        <f>VLOOKUP($Y41,'Financial Statements'!$1:$1048576,MATCH('Financial Summary'!S$31,'Financial Statements'!$5:$5,0),FALSE)</f>
        <v>-311.81799999999998</v>
      </c>
      <c r="T41" s="273">
        <f>VLOOKUP($Y41,'Financial Statements'!$1:$1048576,MATCH('Financial Summary'!T$31,'Financial Statements'!$5:$5,0),FALSE)</f>
        <v>-34.551000000000002</v>
      </c>
      <c r="U41" s="273">
        <f>VLOOKUP($Y41,'Financial Statements'!$1:$1048576,MATCH('Financial Summary'!U$31,'Financial Statements'!$5:$5,0),FALSE)</f>
        <v>-60.406350936006426</v>
      </c>
      <c r="V41" s="273">
        <f>VLOOKUP($Y41,'Financial Statements'!$1:$1048576,MATCH('Financial Summary'!V$31,'Financial Statements'!$5:$5,0),FALSE)</f>
        <v>-83.326035521843139</v>
      </c>
      <c r="W41" s="273">
        <f>VLOOKUP($Y41,'Financial Statements'!$1:$1048576,MATCH('Financial Summary'!W$31,'Financial Statements'!$5:$5,0),FALSE)</f>
        <v>-79.072167677504495</v>
      </c>
      <c r="Y41" s="8" t="s">
        <v>609</v>
      </c>
    </row>
    <row r="42" spans="1:26" x14ac:dyDescent="0.25">
      <c r="E42" s="141" t="s">
        <v>621</v>
      </c>
      <c r="F42" s="144" t="s">
        <v>28</v>
      </c>
      <c r="G42" s="17">
        <f t="shared" ref="G42:L42" si="16">+G43-G38</f>
        <v>0.70000000000001972</v>
      </c>
      <c r="H42" s="17">
        <f t="shared" si="16"/>
        <v>-5.300000000000006</v>
      </c>
      <c r="I42" s="17">
        <f t="shared" si="16"/>
        <v>-19.401000000000071</v>
      </c>
      <c r="J42" s="93">
        <f t="shared" si="16"/>
        <v>-0.34300000000004793</v>
      </c>
      <c r="K42" s="93">
        <f t="shared" ca="1" si="16"/>
        <v>0</v>
      </c>
      <c r="L42" s="93">
        <f t="shared" ca="1" si="16"/>
        <v>-8.1712414612411521E-13</v>
      </c>
      <c r="M42" s="93">
        <f t="shared" ref="M42" ca="1" si="17">+M43-M38</f>
        <v>-6.2527760746888816E-12</v>
      </c>
      <c r="N42" s="141"/>
      <c r="O42" s="141" t="s">
        <v>226</v>
      </c>
      <c r="P42" s="144" t="s">
        <v>28</v>
      </c>
      <c r="Q42" s="225">
        <f>VLOOKUP($Y42,'Financial Statements'!$1:$1048576,MATCH('Financial Summary'!Q$31,'Financial Statements'!$5:$5,0),FALSE)</f>
        <v>0</v>
      </c>
      <c r="R42" s="225"/>
      <c r="S42" s="225">
        <f>VLOOKUP($Y42,'Financial Statements'!$1:$1048576,MATCH('Financial Summary'!S$31,'Financial Statements'!$5:$5,0),FALSE)</f>
        <v>0</v>
      </c>
      <c r="T42" s="225">
        <f>VLOOKUP($Y42,'Financial Statements'!$1:$1048576,MATCH('Financial Summary'!T$31,'Financial Statements'!$5:$5,0),FALSE)</f>
        <v>0</v>
      </c>
      <c r="U42" s="225">
        <f ca="1">VLOOKUP($Y42,'Financial Statements'!$1:$1048576,MATCH('Financial Summary'!U$31,'Financial Statements'!$5:$5,0),FALSE)</f>
        <v>-15.442200135112525</v>
      </c>
      <c r="V42" s="225">
        <f ca="1">VLOOKUP($Y42,'Financial Statements'!$1:$1048576,MATCH('Financial Summary'!V$31,'Financial Statements'!$5:$5,0),FALSE)</f>
        <v>-30.391053613308198</v>
      </c>
      <c r="W42" s="225">
        <f ca="1">VLOOKUP($Y42,'Financial Statements'!$1:$1048576,MATCH('Financial Summary'!W$31,'Financial Statements'!$5:$5,0),FALSE)</f>
        <v>-46.88192367417345</v>
      </c>
      <c r="Y42" s="8" t="s">
        <v>608</v>
      </c>
    </row>
    <row r="43" spans="1:26" x14ac:dyDescent="0.25">
      <c r="A43" s="8" t="s">
        <v>317</v>
      </c>
      <c r="E43" s="141" t="s">
        <v>310</v>
      </c>
      <c r="F43" s="144" t="s">
        <v>28</v>
      </c>
      <c r="G43" s="145">
        <f>VLOOKUP($A43,'Financial Statements'!$1:$1048576,MATCH('Financial Summary'!G$12,'Financial Statements'!$5:$5,0),FALSE)</f>
        <v>3.9</v>
      </c>
      <c r="H43" s="145">
        <f>VLOOKUP($A43,'Financial Statements'!$1:$1048576,MATCH('Financial Summary'!H$12,'Financial Statements'!$5:$5,0),FALSE)</f>
        <v>-2.2999999999999998</v>
      </c>
      <c r="I43" s="145">
        <f>VLOOKUP($A43,'Financial Statements'!$1:$1048576,MATCH('Financial Summary'!I$12,'Financial Statements'!$5:$5,0),FALSE)</f>
        <v>-13.747999999999999</v>
      </c>
      <c r="J43" s="93">
        <f>VLOOKUP($A43,'Financial Statements'!$1:$1048576,MATCH('Financial Summary'!J$12,'Financial Statements'!$5:$5,0),FALSE)</f>
        <v>14.476000000000001</v>
      </c>
      <c r="K43" s="93">
        <f ca="1">VLOOKUP($A43,'Financial Statements'!$1:$1048576,MATCH('Financial Summary'!K$12,'Financial Statements'!$5:$5,0),FALSE)</f>
        <v>21.481132508220576</v>
      </c>
      <c r="L43" s="93">
        <f ca="1">VLOOKUP($A43,'Financial Statements'!$1:$1048576,MATCH('Financial Summary'!L$12,'Financial Statements'!$5:$5,0),FALSE)</f>
        <v>42.275986842543304</v>
      </c>
      <c r="M43" s="93">
        <f ca="1">VLOOKUP($A43,'Financial Statements'!$1:$1048576,MATCH('Financial Summary'!M$12,'Financial Statements'!$5:$5,0),FALSE)</f>
        <v>65.215889308109965</v>
      </c>
      <c r="N43" s="141"/>
      <c r="O43" s="141" t="s">
        <v>612</v>
      </c>
      <c r="P43" s="144" t="s">
        <v>28</v>
      </c>
      <c r="Q43" s="225">
        <f>VLOOKUP($Y43,'Financial Statements'!$1:$1048576,MATCH('Financial Summary'!Q$31,'Financial Statements'!$5:$5,0),FALSE)+VLOOKUP($Z$43,'Financial Statements'!$1:$1048576,MATCH('Financial Summary'!Q$12,'Financial Statements'!$5:$5,0),FALSE)</f>
        <v>0</v>
      </c>
      <c r="R43" s="225"/>
      <c r="S43" s="225">
        <f>VLOOKUP($Y43,'Financial Statements'!$1:$1048576,MATCH('Financial Summary'!S$31,'Financial Statements'!$5:$5,0),FALSE)+VLOOKUP($Z$43,'Financial Statements'!$1:$1048576,MATCH('Financial Summary'!S$12,'Financial Statements'!$5:$5,0),FALSE)</f>
        <v>-3</v>
      </c>
      <c r="T43" s="225">
        <f>VLOOKUP($Y43,'Financial Statements'!$1:$1048576,MATCH('Financial Summary'!T$31,'Financial Statements'!$5:$5,0),FALSE)+VLOOKUP($Z$43,'Financial Statements'!$1:$1048576,MATCH('Financial Summary'!T$12,'Financial Statements'!$5:$5,0),FALSE)</f>
        <v>0</v>
      </c>
      <c r="U43" s="225">
        <f>VLOOKUP($Y43,'Financial Statements'!$1:$1048576,MATCH('Financial Summary'!U$31,'Financial Statements'!$5:$5,0),FALSE)+VLOOKUP($Z$43,'Financial Statements'!$1:$1048576,MATCH('Financial Summary'!U$12,'Financial Statements'!$5:$5,0),FALSE)</f>
        <v>0</v>
      </c>
      <c r="V43" s="225">
        <f>VLOOKUP($Y43,'Financial Statements'!$1:$1048576,MATCH('Financial Summary'!V$31,'Financial Statements'!$5:$5,0),FALSE)+VLOOKUP($Z$43,'Financial Statements'!$1:$1048576,MATCH('Financial Summary'!V$12,'Financial Statements'!$5:$5,0),FALSE)</f>
        <v>0</v>
      </c>
      <c r="W43" s="225">
        <f>VLOOKUP($Y43,'Financial Statements'!$1:$1048576,MATCH('Financial Summary'!W$31,'Financial Statements'!$5:$5,0),FALSE)+VLOOKUP($Z$43,'Financial Statements'!$1:$1048576,MATCH('Financial Summary'!W$12,'Financial Statements'!$5:$5,0),FALSE)</f>
        <v>0</v>
      </c>
      <c r="Y43" s="8" t="s">
        <v>611</v>
      </c>
      <c r="Z43" s="8" t="s">
        <v>613</v>
      </c>
    </row>
    <row r="44" spans="1:26" x14ac:dyDescent="0.25">
      <c r="A44" s="8" t="s">
        <v>318</v>
      </c>
      <c r="E44" s="146" t="s">
        <v>644</v>
      </c>
      <c r="F44" s="147" t="s">
        <v>667</v>
      </c>
      <c r="G44" s="273">
        <f>VLOOKUP($A44,'Financial Statements'!$1:$1048576,MATCH('Financial Summary'!G$12,'Financial Statements'!$5:$5,0),FALSE)</f>
        <v>0</v>
      </c>
      <c r="H44" s="302" t="s">
        <v>569</v>
      </c>
      <c r="I44" s="273">
        <f>VLOOKUP($A44,'Financial Statements'!$1:$1048576,MATCH('Financial Summary'!I$12,'Financial Statements'!$5:$5,0),FALSE)</f>
        <v>5.0682904848956891</v>
      </c>
      <c r="J44" s="273">
        <f>VLOOKUP($A44,'Financial Statements'!$1:$1048576,MATCH('Financial Summary'!J$12,'Financial Statements'!$5:$5,0),FALSE)</f>
        <v>13.992731182647104</v>
      </c>
      <c r="K44" s="273">
        <f ca="1">VLOOKUP($A44,'Financial Statements'!$1:$1048576,MATCH('Financial Summary'!K$12,'Financial Statements'!$5:$5,0),FALSE)</f>
        <v>20.283400545674571</v>
      </c>
      <c r="L44" s="273">
        <f ca="1">VLOOKUP($A44,'Financial Statements'!$1:$1048576,MATCH('Financial Summary'!L$12,'Financial Statements'!$5:$5,0),FALSE)</f>
        <v>39.918787999786247</v>
      </c>
      <c r="M44" s="273">
        <f ca="1">VLOOKUP($A44,'Financial Statements'!$1:$1048576,MATCH('Financial Summary'!M$12,'Financial Statements'!$5:$5,0),FALSE)</f>
        <v>61.579621291966333</v>
      </c>
      <c r="N44" s="141"/>
      <c r="O44" s="141" t="s">
        <v>592</v>
      </c>
      <c r="P44" s="144" t="s">
        <v>28</v>
      </c>
      <c r="Q44" s="225">
        <f>+Q45-Q42-Q43</f>
        <v>1.8</v>
      </c>
      <c r="R44" s="225"/>
      <c r="S44" s="225">
        <f t="shared" ref="S44:V44" si="18">+S45-S42-S43</f>
        <v>257.93399999999997</v>
      </c>
      <c r="T44" s="225">
        <f t="shared" si="18"/>
        <v>0.67900000000000005</v>
      </c>
      <c r="U44" s="225">
        <f t="shared" ca="1" si="18"/>
        <v>-20.022005455769214</v>
      </c>
      <c r="V44" s="225">
        <f t="shared" ca="1" si="18"/>
        <v>-27.771951278803858</v>
      </c>
      <c r="W44" s="225">
        <f t="shared" ref="W44" ca="1" si="19">+W45-W42-W43</f>
        <v>-36.504037701529469</v>
      </c>
    </row>
    <row r="45" spans="1:26" x14ac:dyDescent="0.25">
      <c r="E45" s="149" t="s">
        <v>27</v>
      </c>
      <c r="F45" s="144" t="s">
        <v>29</v>
      </c>
      <c r="G45" s="275" t="s">
        <v>569</v>
      </c>
      <c r="H45" s="279" t="str">
        <f t="shared" ref="H45:M45" si="20">IFERROR(H44/G44-1,"na")</f>
        <v>na</v>
      </c>
      <c r="I45" s="279" t="str">
        <f t="shared" si="20"/>
        <v>na</v>
      </c>
      <c r="J45" s="279">
        <f t="shared" si="20"/>
        <v>1.7608384374075765</v>
      </c>
      <c r="K45" s="279">
        <f t="shared" ca="1" si="20"/>
        <v>0.44956694164386968</v>
      </c>
      <c r="L45" s="279">
        <f ca="1">IFERROR(L44/K44-1,"na")</f>
        <v>0.96805204876254924</v>
      </c>
      <c r="M45" s="279">
        <f t="shared" ca="1" si="20"/>
        <v>0.54262251880733636</v>
      </c>
      <c r="N45" s="141"/>
      <c r="O45" s="146" t="s">
        <v>593</v>
      </c>
      <c r="P45" s="147" t="s">
        <v>28</v>
      </c>
      <c r="Q45" s="273">
        <f>VLOOKUP($Y45,'Financial Statements'!$1:$1048576,MATCH('Financial Summary'!Q$31,'Financial Statements'!$5:$5,0),FALSE)</f>
        <v>1.8</v>
      </c>
      <c r="R45" s="273"/>
      <c r="S45" s="273">
        <f>VLOOKUP($Y45,'Financial Statements'!$1:$1048576,MATCH('Financial Summary'!S$31,'Financial Statements'!$5:$5,0),FALSE)</f>
        <v>254.934</v>
      </c>
      <c r="T45" s="273">
        <f>VLOOKUP($Y45,'Financial Statements'!$1:$1048576,MATCH('Financial Summary'!T$31,'Financial Statements'!$5:$5,0),FALSE)</f>
        <v>0.67900000000000005</v>
      </c>
      <c r="U45" s="273">
        <f ca="1">VLOOKUP($Y45,'Financial Statements'!$1:$1048576,MATCH('Financial Summary'!U$31,'Financial Statements'!$5:$5,0),FALSE)</f>
        <v>-35.464205590881768</v>
      </c>
      <c r="V45" s="273">
        <f ca="1">VLOOKUP($Y45,'Financial Statements'!$1:$1048576,MATCH('Financial Summary'!V$31,'Financial Statements'!$5:$5,0),FALSE)</f>
        <v>-58.163004892111893</v>
      </c>
      <c r="W45" s="273">
        <f ca="1">VLOOKUP($Y45,'Financial Statements'!$1:$1048576,MATCH('Financial Summary'!W$31,'Financial Statements'!$5:$5,0),FALSE)</f>
        <v>-83.385961375697008</v>
      </c>
      <c r="Y45" s="8" t="s">
        <v>610</v>
      </c>
    </row>
    <row r="46" spans="1:26" x14ac:dyDescent="0.25">
      <c r="E46" s="149" t="s">
        <v>643</v>
      </c>
      <c r="L46" s="148"/>
      <c r="M46" s="148">
        <f ca="1">+(M44/J44)^(0.333333333333333)-1</f>
        <v>0.63874548295113609</v>
      </c>
      <c r="N46" s="141"/>
      <c r="O46" s="146" t="s">
        <v>218</v>
      </c>
      <c r="P46" s="147" t="s">
        <v>28</v>
      </c>
      <c r="Q46" s="273">
        <f>VLOOKUP($Y46,'Financial Statements'!$1:$1048576,MATCH('Financial Summary'!Q$31,'Financial Statements'!$5:$5,0),FALSE)</f>
        <v>-9.7000000000000064</v>
      </c>
      <c r="R46" s="273"/>
      <c r="S46" s="273">
        <f>VLOOKUP($Y46,'Financial Statements'!$1:$1048576,MATCH('Financial Summary'!S$31,'Financial Statements'!$5:$5,0),FALSE)</f>
        <v>-0.58399999999997476</v>
      </c>
      <c r="T46" s="273">
        <f>VLOOKUP($Y46,'Financial Statements'!$1:$1048576,MATCH('Financial Summary'!T$31,'Financial Statements'!$5:$5,0),FALSE)</f>
        <v>23.454999999999995</v>
      </c>
      <c r="U46" s="273">
        <f ca="1">VLOOKUP($Y46,'Financial Statements'!$1:$1048576,MATCH('Financial Summary'!U$31,'Financial Statements'!$5:$5,0),FALSE)</f>
        <v>-12.164966485926143</v>
      </c>
      <c r="V46" s="273">
        <f ca="1">VLOOKUP($Y46,'Financial Statements'!$1:$1048576,MATCH('Financial Summary'!V$31,'Financial Statements'!$5:$5,0),FALSE)</f>
        <v>-26.694574761174813</v>
      </c>
      <c r="W46" s="273">
        <f ca="1">VLOOKUP($Y46,'Financial Statements'!$1:$1048576,MATCH('Financial Summary'!W$31,'Financial Statements'!$5:$5,0),FALSE)</f>
        <v>-8.9567466644955402</v>
      </c>
      <c r="Y46" s="8" t="s">
        <v>614</v>
      </c>
    </row>
    <row r="47" spans="1:26" x14ac:dyDescent="0.25">
      <c r="N47" s="141"/>
      <c r="P47" s="144"/>
      <c r="Q47" s="141"/>
      <c r="R47" s="141"/>
      <c r="S47" s="141"/>
      <c r="T47" s="141"/>
      <c r="U47" s="225"/>
      <c r="V47" s="141"/>
      <c r="W47" s="141"/>
    </row>
    <row r="48" spans="1:26" x14ac:dyDescent="0.25">
      <c r="E48" s="1" t="s">
        <v>25</v>
      </c>
      <c r="F48" s="142"/>
      <c r="G48" s="140"/>
      <c r="H48" s="140"/>
      <c r="I48" s="140"/>
      <c r="J48" s="140"/>
      <c r="K48" s="140"/>
      <c r="L48" s="140"/>
      <c r="M48" s="140"/>
      <c r="N48" s="141"/>
      <c r="O48" s="1" t="s">
        <v>618</v>
      </c>
      <c r="P48" s="142"/>
      <c r="Q48" s="140"/>
      <c r="R48" s="140"/>
      <c r="S48" s="140"/>
      <c r="T48" s="140"/>
      <c r="U48" s="140"/>
      <c r="V48" s="140"/>
      <c r="W48" s="140"/>
    </row>
    <row r="49" spans="1:26" x14ac:dyDescent="0.25">
      <c r="E49" s="88" t="s">
        <v>15</v>
      </c>
      <c r="F49" s="274" t="s">
        <v>443</v>
      </c>
      <c r="G49" s="143" t="s">
        <v>1</v>
      </c>
      <c r="H49" s="143" t="s">
        <v>4</v>
      </c>
      <c r="I49" s="143" t="s">
        <v>375</v>
      </c>
      <c r="J49" s="143" t="s">
        <v>376</v>
      </c>
      <c r="K49" s="143" t="s">
        <v>10</v>
      </c>
      <c r="L49" s="143" t="s">
        <v>13</v>
      </c>
      <c r="M49" s="143" t="s">
        <v>20</v>
      </c>
      <c r="N49" s="141"/>
      <c r="O49" s="88" t="s">
        <v>15</v>
      </c>
      <c r="P49" s="274" t="s">
        <v>443</v>
      </c>
      <c r="Q49" s="143" t="s">
        <v>1</v>
      </c>
      <c r="R49" s="143" t="s">
        <v>4</v>
      </c>
      <c r="S49" s="143" t="s">
        <v>6</v>
      </c>
      <c r="T49" s="143" t="s">
        <v>376</v>
      </c>
      <c r="U49" s="143" t="s">
        <v>10</v>
      </c>
      <c r="V49" s="143" t="s">
        <v>13</v>
      </c>
      <c r="W49" s="143" t="s">
        <v>20</v>
      </c>
    </row>
    <row r="50" spans="1:26" x14ac:dyDescent="0.25">
      <c r="A50" s="8" t="s">
        <v>447</v>
      </c>
      <c r="E50" s="141" t="s">
        <v>651</v>
      </c>
      <c r="F50" s="144" t="s">
        <v>28</v>
      </c>
      <c r="G50" s="17">
        <f>VLOOKUP($A50,Assumptions!$1:$1048576,MATCH('Financial Summary'!G$12,Assumptions!$5:$5,0),FALSE)</f>
        <v>535.4</v>
      </c>
      <c r="H50" s="17">
        <f>VLOOKUP($A50,Assumptions!$1:$1048576,MATCH('Financial Summary'!H$12,Assumptions!$5:$5,0),FALSE)</f>
        <v>702.9</v>
      </c>
      <c r="I50" s="17">
        <f>VLOOKUP($A50,Assumptions!$1:$1048576,MATCH('Financial Summary'!I$12,Assumptions!$5:$5,0),FALSE)</f>
        <v>894.6</v>
      </c>
      <c r="J50" s="17">
        <f>VLOOKUP($A50,Assumptions!$1:$1048576,MATCH('Financial Summary'!J$12,Assumptions!$5:$5,0),FALSE)</f>
        <v>1094.5999999999999</v>
      </c>
      <c r="K50" s="17">
        <f>VLOOKUP($A50,Assumptions!$1:$1048576,MATCH('Financial Summary'!K$12,Assumptions!$5:$5,0),FALSE)</f>
        <v>1314.6093626794257</v>
      </c>
      <c r="L50" s="17">
        <f>VLOOKUP($A50,Assumptions!$1:$1048576,MATCH('Financial Summary'!L$12,Assumptions!$5:$5,0),FALSE)</f>
        <v>1573.8672057416265</v>
      </c>
      <c r="M50" s="17">
        <f>VLOOKUP($A50,Assumptions!$1:$1048576,MATCH('Financial Summary'!M$12,Assumptions!$5:$5,0),FALSE)</f>
        <v>1879.0225695215308</v>
      </c>
      <c r="N50" s="141"/>
      <c r="O50" s="141" t="s">
        <v>646</v>
      </c>
      <c r="P50" s="144" t="s">
        <v>29</v>
      </c>
      <c r="Q50" s="18">
        <f t="shared" ref="Q50:R50" si="21">+G24/G17</f>
        <v>8.3372231226364099E-2</v>
      </c>
      <c r="R50" s="18">
        <f t="shared" si="21"/>
        <v>9.5592485549132952E-2</v>
      </c>
      <c r="S50" s="148">
        <f>+I24/I17</f>
        <v>0.10695194491707692</v>
      </c>
      <c r="T50" s="148">
        <f>+J24/J17</f>
        <v>0.1127292527465488</v>
      </c>
      <c r="U50" s="148">
        <f>+K24/K17</f>
        <v>0.11976294554147569</v>
      </c>
      <c r="V50" s="148">
        <f>+L24/L17</f>
        <v>0.14672288008507231</v>
      </c>
      <c r="W50" s="148">
        <f>+M24/M17</f>
        <v>0.16741233124177618</v>
      </c>
    </row>
    <row r="51" spans="1:26" x14ac:dyDescent="0.25">
      <c r="A51" s="8" t="s">
        <v>459</v>
      </c>
      <c r="E51" s="141" t="s">
        <v>615</v>
      </c>
      <c r="F51" s="144" t="s">
        <v>29</v>
      </c>
      <c r="G51" s="148">
        <f>VLOOKUP($A51,Assumptions!$1:$1048576,MATCH('Financial Summary'!G$12,Assumptions!$5:$5,0),FALSE)</f>
        <v>0</v>
      </c>
      <c r="H51" s="148">
        <f>VLOOKUP($A51,Assumptions!$1:$1048576,MATCH('Financial Summary'!H$12,Assumptions!$5:$5,0),FALSE)</f>
        <v>0.31285020545386621</v>
      </c>
      <c r="I51" s="148">
        <f>VLOOKUP($A51,Assumptions!$1:$1048576,MATCH('Financial Summary'!I$12,Assumptions!$5:$5,0),FALSE)</f>
        <v>0.27272727272727271</v>
      </c>
      <c r="J51" s="148">
        <f>VLOOKUP($A51,Assumptions!$1:$1048576,MATCH('Financial Summary'!J$12,Assumptions!$5:$5,0),FALSE)</f>
        <v>0.22356360384529395</v>
      </c>
      <c r="K51" s="148">
        <f>VLOOKUP($A51,Assumptions!$1:$1048576,MATCH('Financial Summary'!K$12,Assumptions!$5:$5,0),FALSE)</f>
        <v>0.20099521531100462</v>
      </c>
      <c r="L51" s="148">
        <f>VLOOKUP($A51,Assumptions!$1:$1048576,MATCH('Financial Summary'!L$12,Assumptions!$5:$5,0),FALSE)</f>
        <v>0.19721283783783772</v>
      </c>
      <c r="M51" s="148">
        <f>VLOOKUP($A51,Assumptions!$1:$1048576,MATCH('Financial Summary'!M$12,Assumptions!$5:$5,0),FALSE)</f>
        <v>0.193888888888889</v>
      </c>
      <c r="N51" s="141"/>
      <c r="O51" s="141" t="s">
        <v>645</v>
      </c>
      <c r="P51" s="144" t="s">
        <v>29</v>
      </c>
      <c r="Q51" s="18">
        <f t="shared" ref="Q51:T51" si="22">G28/G17</f>
        <v>0.11669367909238239</v>
      </c>
      <c r="R51" s="18">
        <f t="shared" si="22"/>
        <v>0.1058526011560694</v>
      </c>
      <c r="S51" s="148">
        <f t="shared" si="22"/>
        <v>0.12263512495307943</v>
      </c>
      <c r="T51" s="148">
        <f t="shared" si="22"/>
        <v>0.13970938364135263</v>
      </c>
      <c r="U51" s="148">
        <f>K28/K17</f>
        <v>0.14281200737014166</v>
      </c>
      <c r="V51" s="148">
        <f>L28/L17</f>
        <v>0.17334952661851463</v>
      </c>
      <c r="W51" s="148">
        <f>M28/M17</f>
        <v>0.1953587740685655</v>
      </c>
    </row>
    <row r="52" spans="1:26" x14ac:dyDescent="0.25">
      <c r="A52" s="8" t="s">
        <v>660</v>
      </c>
      <c r="E52" s="141" t="s">
        <v>654</v>
      </c>
      <c r="F52" s="144" t="s">
        <v>28</v>
      </c>
      <c r="G52" s="17">
        <f>VLOOKUP($A52,Assumptions!$1:$1048576,MATCH('Financial Summary'!G$12,Assumptions!$5:$5,0),FALSE)</f>
        <v>31.4</v>
      </c>
      <c r="H52" s="17">
        <f>VLOOKUP($A52,Assumptions!$1:$1048576,MATCH('Financial Summary'!H$12,Assumptions!$5:$5,0),FALSE)</f>
        <v>43.1</v>
      </c>
      <c r="I52" s="17">
        <f>VLOOKUP($A52,Assumptions!$1:$1048576,MATCH('Financial Summary'!I$12,Assumptions!$5:$5,0),FALSE)</f>
        <v>46.4</v>
      </c>
      <c r="J52" s="17">
        <f>VLOOKUP($A52,Assumptions!$1:$1048576,MATCH('Financial Summary'!J$12,Assumptions!$5:$5,0),FALSE)</f>
        <v>64.7</v>
      </c>
      <c r="K52" s="17">
        <f>VLOOKUP($A52,Assumptions!$1:$1048576,MATCH('Financial Summary'!K$12,Assumptions!$5:$5,0),FALSE)</f>
        <v>74.745526315789476</v>
      </c>
      <c r="L52" s="17">
        <f>VLOOKUP($A52,Assumptions!$1:$1048576,MATCH('Financial Summary'!L$12,Assumptions!$5:$5,0),FALSE)</f>
        <v>83.357510869565218</v>
      </c>
      <c r="M52" s="17">
        <f>VLOOKUP($A52,Assumptions!$1:$1048576,MATCH('Financial Summary'!M$12,Assumptions!$5:$5,0),FALSE)</f>
        <v>89.064294306020059</v>
      </c>
      <c r="N52" s="141"/>
      <c r="O52" s="141" t="s">
        <v>647</v>
      </c>
      <c r="P52" s="144" t="s">
        <v>29</v>
      </c>
      <c r="Q52" s="18">
        <f t="shared" ref="Q52:W52" si="23">G31/G17</f>
        <v>3.8897893030794058E-2</v>
      </c>
      <c r="R52" s="18">
        <f t="shared" si="23"/>
        <v>1.3728323699421993E-2</v>
      </c>
      <c r="S52" s="148">
        <f t="shared" si="23"/>
        <v>3.7361258380665278E-2</v>
      </c>
      <c r="T52" s="148">
        <f t="shared" si="23"/>
        <v>5.497795287360014E-2</v>
      </c>
      <c r="U52" s="148">
        <f t="shared" si="23"/>
        <v>6.1362391227713309E-2</v>
      </c>
      <c r="V52" s="148">
        <f t="shared" si="23"/>
        <v>9.2720153166724162E-2</v>
      </c>
      <c r="W52" s="148">
        <f t="shared" si="23"/>
        <v>0.11632327211441557</v>
      </c>
    </row>
    <row r="53" spans="1:26" x14ac:dyDescent="0.25">
      <c r="A53" s="8" t="s">
        <v>661</v>
      </c>
      <c r="E53" s="141" t="s">
        <v>658</v>
      </c>
      <c r="F53" s="144" t="s">
        <v>29</v>
      </c>
      <c r="G53" s="148">
        <f>VLOOKUP($A53,Assumptions!$1:$1048576,MATCH('Financial Summary'!G$12,Assumptions!$5:$5,0),FALSE)</f>
        <v>0.42727272727272725</v>
      </c>
      <c r="H53" s="148">
        <f>VLOOKUP($A53,Assumptions!$1:$1048576,MATCH('Financial Summary'!H$12,Assumptions!$5:$5,0),FALSE)</f>
        <v>0.37261146496815289</v>
      </c>
      <c r="I53" s="148">
        <f>VLOOKUP($A53,Assumptions!$1:$1048576,MATCH('Financial Summary'!I$12,Assumptions!$5:$5,0),FALSE)</f>
        <v>7.6566125290023157E-2</v>
      </c>
      <c r="J53" s="148">
        <f>VLOOKUP($A53,Assumptions!$1:$1048576,MATCH('Financial Summary'!J$12,Assumptions!$5:$5,0),FALSE)</f>
        <v>0.39439655172413812</v>
      </c>
      <c r="K53" s="148">
        <f>VLOOKUP($A53,Assumptions!$1:$1048576,MATCH('Financial Summary'!K$12,Assumptions!$5:$5,0),FALSE)</f>
        <v>0.15526315789473677</v>
      </c>
      <c r="L53" s="148">
        <f>VLOOKUP($A53,Assumptions!$1:$1048576,MATCH('Financial Summary'!L$12,Assumptions!$5:$5,0),FALSE)</f>
        <v>0.11521739130434772</v>
      </c>
      <c r="M53" s="148">
        <f>VLOOKUP($A53,Assumptions!$1:$1048576,MATCH('Financial Summary'!M$12,Assumptions!$5:$5,0),FALSE)</f>
        <v>6.8461538461538352E-2</v>
      </c>
      <c r="N53" s="141"/>
      <c r="O53" s="141" t="s">
        <v>648</v>
      </c>
      <c r="P53" s="144" t="s">
        <v>29</v>
      </c>
      <c r="Q53" s="18">
        <f t="shared" ref="Q53:W53" si="24">G38/G17</f>
        <v>1.7287952458130633E-2</v>
      </c>
      <c r="R53" s="18">
        <f t="shared" si="24"/>
        <v>1.0838150289017363E-2</v>
      </c>
      <c r="S53" s="148">
        <f t="shared" si="24"/>
        <v>1.5488647229825639E-2</v>
      </c>
      <c r="T53" s="148">
        <f t="shared" si="24"/>
        <v>3.1643231585578191E-2</v>
      </c>
      <c r="U53" s="148">
        <f t="shared" ca="1" si="24"/>
        <v>3.5942307156922162E-2</v>
      </c>
      <c r="V53" s="148">
        <f t="shared" ca="1" si="24"/>
        <v>5.8306811975671072E-2</v>
      </c>
      <c r="W53" s="148">
        <f t="shared" ca="1" si="24"/>
        <v>7.4186068844262459E-2</v>
      </c>
    </row>
    <row r="54" spans="1:26" x14ac:dyDescent="0.25">
      <c r="A54" s="8" t="s">
        <v>662</v>
      </c>
      <c r="E54" s="141" t="s">
        <v>653</v>
      </c>
      <c r="F54" s="144" t="s">
        <v>28</v>
      </c>
      <c r="G54" s="17">
        <f>VLOOKUP($A54,Assumptions!$1:$1048576,MATCH('Financial Summary'!G$12,Assumptions!$5:$5,0),FALSE)</f>
        <v>5.8</v>
      </c>
      <c r="H54" s="17">
        <f>VLOOKUP($A54,Assumptions!$1:$1048576,MATCH('Financial Summary'!H$12,Assumptions!$5:$5,0),FALSE)</f>
        <v>7</v>
      </c>
      <c r="I54" s="17">
        <f>VLOOKUP($A54,Assumptions!$1:$1048576,MATCH('Financial Summary'!I$12,Assumptions!$5:$5,0),FALSE)</f>
        <v>7.9</v>
      </c>
      <c r="J54" s="17">
        <f>VLOOKUP($A54,Assumptions!$1:$1048576,MATCH('Financial Summary'!J$12,Assumptions!$5:$5,0),FALSE)</f>
        <v>9.1</v>
      </c>
      <c r="K54" s="17">
        <f>VLOOKUP($A54,Assumptions!$1:$1048576,MATCH('Financial Summary'!K$12,Assumptions!$5:$5,0),FALSE)</f>
        <v>10.464999999999998</v>
      </c>
      <c r="L54" s="17">
        <f>VLOOKUP($A54,Assumptions!$1:$1048576,MATCH('Financial Summary'!L$12,Assumptions!$5:$5,0),FALSE)</f>
        <v>12.732416666666664</v>
      </c>
      <c r="M54" s="17">
        <f>VLOOKUP($A54,Assumptions!$1:$1048576,MATCH('Financial Summary'!M$12,Assumptions!$5:$5,0),FALSE)</f>
        <v>14.705941249999997</v>
      </c>
      <c r="N54" s="141"/>
      <c r="O54" s="141" t="s">
        <v>624</v>
      </c>
      <c r="P54" s="144" t="s">
        <v>29</v>
      </c>
      <c r="Q54" s="18">
        <f>-VLOOKUP($Y$54,Assumptions!$1:$1048576,MATCH('Financial Summary'!G$12,Assumptions!$5:$5,0),FALSE)/VLOOKUP($Z$54,Assumptions!$1:$1048576,MATCH('Financial Summary'!G$12,Assumptions!$5:$5,0),FALSE)</f>
        <v>6.468440271257174E-2</v>
      </c>
      <c r="R54" s="18">
        <f>-VLOOKUP($Y$54,Assumptions!$1:$1048576,MATCH('Financial Summary'!H$12,Assumptions!$5:$5,0),FALSE)/VLOOKUP($Z$54,Assumptions!$1:$1048576,MATCH('Financial Summary'!H$12,Assumptions!$5:$5,0),FALSE)</f>
        <v>6.6007905138339928E-2</v>
      </c>
      <c r="S54" s="148">
        <f>-VLOOKUP($Y$54,Assumptions!$1:$1048576,MATCH('Financial Summary'!I$12,Assumptions!$5:$5,0),FALSE)/VLOOKUP($Z$54,Assumptions!$1:$1048576,MATCH('Financial Summary'!I$12,Assumptions!$5:$5,0),FALSE)</f>
        <v>7.2105866416588532E-2</v>
      </c>
      <c r="T54" s="148">
        <f>-VLOOKUP($Y$54,Assumptions!$1:$1048576,MATCH('Financial Summary'!J$12,Assumptions!$5:$5,0),FALSE)/VLOOKUP($Z$54,Assumptions!$1:$1048576,MATCH('Financial Summary'!J$12,Assumptions!$5:$5,0),FALSE)</f>
        <v>7.2336100287989175E-2</v>
      </c>
      <c r="U54" s="148">
        <f>-VLOOKUP($Y$54,Assumptions!$1:$1048576,MATCH('Financial Summary'!K$12,Assumptions!$5:$5,0),FALSE)/VLOOKUP($Z$54,Assumptions!$1:$1048576,MATCH('Financial Summary'!K$12,Assumptions!$5:$5,0),FALSE)</f>
        <v>6.7079357835093265E-2</v>
      </c>
      <c r="V54" s="148">
        <f>-VLOOKUP($Y$54,Assumptions!$1:$1048576,MATCH('Financial Summary'!L$12,Assumptions!$5:$5,0),FALSE)/VLOOKUP($Z$54,Assumptions!$1:$1048576,MATCH('Financial Summary'!L$12,Assumptions!$5:$5,0),FALSE)</f>
        <v>6.1595360188515934E-2</v>
      </c>
      <c r="W54" s="148">
        <f>-VLOOKUP($Y$54,Assumptions!$1:$1048576,MATCH('Financial Summary'!M$12,Assumptions!$5:$5,0),FALSE)/VLOOKUP($Z$54,Assumptions!$1:$1048576,MATCH('Financial Summary'!M$12,Assumptions!$5:$5,0),FALSE)</f>
        <v>5.6854563763433057E-2</v>
      </c>
      <c r="Y54" t="s">
        <v>626</v>
      </c>
      <c r="Z54" s="8" t="s">
        <v>631</v>
      </c>
    </row>
    <row r="55" spans="1:26" x14ac:dyDescent="0.25">
      <c r="A55" s="8" t="s">
        <v>663</v>
      </c>
      <c r="E55" s="141" t="s">
        <v>657</v>
      </c>
      <c r="F55" s="144" t="s">
        <v>29</v>
      </c>
      <c r="G55" s="148">
        <f>VLOOKUP($A55,Assumptions!$1:$1048576,MATCH('Financial Summary'!G$12,Assumptions!$5:$5,0),FALSE)</f>
        <v>0.15999999999999992</v>
      </c>
      <c r="H55" s="148">
        <f>VLOOKUP($A55,Assumptions!$1:$1048576,MATCH('Financial Summary'!H$12,Assumptions!$5:$5,0),FALSE)</f>
        <v>0.2068965517241379</v>
      </c>
      <c r="I55" s="148">
        <f>VLOOKUP($A55,Assumptions!$1:$1048576,MATCH('Financial Summary'!I$12,Assumptions!$5:$5,0),FALSE)</f>
        <v>0.12857142857142856</v>
      </c>
      <c r="J55" s="148">
        <f>VLOOKUP($A55,Assumptions!$1:$1048576,MATCH('Financial Summary'!J$12,Assumptions!$5:$5,0),FALSE)</f>
        <v>0.15189873417721511</v>
      </c>
      <c r="K55" s="148">
        <f>VLOOKUP($A55,Assumptions!$1:$1048576,MATCH('Financial Summary'!K$12,Assumptions!$5:$5,0),FALSE)</f>
        <v>0.14999999999999991</v>
      </c>
      <c r="L55" s="148">
        <f>VLOOKUP($A55,Assumptions!$1:$1048576,MATCH('Financial Summary'!L$12,Assumptions!$5:$5,0),FALSE)</f>
        <v>0.21666666666666656</v>
      </c>
      <c r="M55" s="148">
        <f>VLOOKUP($A55,Assumptions!$1:$1048576,MATCH('Financial Summary'!M$12,Assumptions!$5:$5,0),FALSE)</f>
        <v>0.15500000000000003</v>
      </c>
      <c r="N55" s="141"/>
      <c r="O55" s="141" t="s">
        <v>625</v>
      </c>
      <c r="P55" s="144" t="s">
        <v>29</v>
      </c>
      <c r="Q55" s="58" t="s">
        <v>571</v>
      </c>
      <c r="R55" s="58" t="s">
        <v>571</v>
      </c>
      <c r="S55" s="148">
        <f>I38/S19</f>
        <v>8.541894266671006E-3</v>
      </c>
      <c r="T55" s="148">
        <f>J38/AVERAGE(S19:T19)</f>
        <v>2.0510797615216729E-2</v>
      </c>
      <c r="U55" s="148">
        <f ca="1">K38/AVERAGE(T19:U19)</f>
        <v>2.6378677237526009E-2</v>
      </c>
      <c r="V55" s="148">
        <f ca="1">L38/AVERAGE(U19:V19)</f>
        <v>4.7675718634908507E-2</v>
      </c>
      <c r="W55" s="148">
        <f ca="1">M38/AVERAGE(V19:W19)</f>
        <v>6.7051659079119669E-2</v>
      </c>
    </row>
    <row r="56" spans="1:26" x14ac:dyDescent="0.25">
      <c r="A56" s="8" t="s">
        <v>664</v>
      </c>
      <c r="E56" s="141" t="s">
        <v>652</v>
      </c>
      <c r="F56" s="144" t="s">
        <v>28</v>
      </c>
      <c r="G56" s="17">
        <f>VLOOKUP($A56,Assumptions!$1:$1048576,MATCH('Financial Summary'!G$12,Assumptions!$5:$5,0),FALSE)</f>
        <v>2.5</v>
      </c>
      <c r="H56" s="17">
        <f>VLOOKUP($A56,Assumptions!$1:$1048576,MATCH('Financial Summary'!H$12,Assumptions!$5:$5,0),FALSE)</f>
        <v>6</v>
      </c>
      <c r="I56" s="17">
        <f>VLOOKUP($A56,Assumptions!$1:$1048576,MATCH('Financial Summary'!I$12,Assumptions!$5:$5,0),FALSE)</f>
        <v>10.8</v>
      </c>
      <c r="J56" s="17">
        <f>VLOOKUP($A56,Assumptions!$1:$1048576,MATCH('Financial Summary'!J$12,Assumptions!$5:$5,0),FALSE)</f>
        <v>12.2</v>
      </c>
      <c r="K56" s="17">
        <f>VLOOKUP($A56,Assumptions!$1:$1048576,MATCH('Financial Summary'!K$12,Assumptions!$5:$5,0),FALSE)</f>
        <v>17.049499999999998</v>
      </c>
      <c r="L56" s="17">
        <f>VLOOKUP($A56,Assumptions!$1:$1048576,MATCH('Financial Summary'!L$12,Assumptions!$5:$5,0),FALSE)</f>
        <v>24.78735</v>
      </c>
      <c r="M56" s="17">
        <f>VLOOKUP($A56,Assumptions!$1:$1048576,MATCH('Financial Summary'!M$12,Assumptions!$5:$5,0),FALSE)</f>
        <v>34.702290000000005</v>
      </c>
      <c r="N56" s="141"/>
      <c r="O56" s="141" t="s">
        <v>470</v>
      </c>
      <c r="P56" s="144" t="s">
        <v>29</v>
      </c>
      <c r="Q56" s="58" t="s">
        <v>571</v>
      </c>
      <c r="R56" s="58" t="s">
        <v>571</v>
      </c>
      <c r="S56" s="148">
        <f>I38/S26</f>
        <v>1.5969873919074496E-2</v>
      </c>
      <c r="T56" s="148">
        <f>J38/AVERAGE(S26:T26)</f>
        <v>4.0373081161635488E-2</v>
      </c>
      <c r="U56" s="148">
        <f ca="1">K38/AVERAGE(T26:U26)</f>
        <v>5.5413377656374781E-2</v>
      </c>
      <c r="V56" s="148">
        <f ca="1">L38/AVERAGE(U26:V26)</f>
        <v>0.1042224115924794</v>
      </c>
      <c r="W56" s="148">
        <f ca="1">M38/AVERAGE(V26:W26)</f>
        <v>0.15174960980646118</v>
      </c>
    </row>
    <row r="57" spans="1:26" x14ac:dyDescent="0.25">
      <c r="A57" s="8" t="s">
        <v>637</v>
      </c>
      <c r="E57" s="141" t="s">
        <v>656</v>
      </c>
      <c r="F57" s="144" t="s">
        <v>29</v>
      </c>
      <c r="G57" s="148">
        <f>VLOOKUP($A57,Assumptions!$1:$1048576,MATCH('Financial Summary'!G$12,Assumptions!$5:$5,0),FALSE)</f>
        <v>0</v>
      </c>
      <c r="H57" s="148">
        <f>VLOOKUP($A57,Assumptions!$1:$1048576,MATCH('Financial Summary'!H$12,Assumptions!$5:$5,0),FALSE)</f>
        <v>1.4</v>
      </c>
      <c r="I57" s="148">
        <f>VLOOKUP($A57,Assumptions!$1:$1048576,MATCH('Financial Summary'!I$12,Assumptions!$5:$5,0),FALSE)</f>
        <v>0.8</v>
      </c>
      <c r="J57" s="148">
        <f>VLOOKUP($A57,Assumptions!$1:$1048576,MATCH('Financial Summary'!J$12,Assumptions!$5:$5,0),FALSE)</f>
        <v>0.12962962962962954</v>
      </c>
      <c r="K57" s="148">
        <f>VLOOKUP($A57,Assumptions!$1:$1048576,MATCH('Financial Summary'!K$12,Assumptions!$5:$5,0),FALSE)</f>
        <v>0.39749999999999996</v>
      </c>
      <c r="L57" s="148">
        <f>VLOOKUP($A57,Assumptions!$1:$1048576,MATCH('Financial Summary'!L$12,Assumptions!$5:$5,0),FALSE)</f>
        <v>0.45384615384615401</v>
      </c>
      <c r="M57" s="148">
        <f>VLOOKUP($A57,Assumptions!$1:$1048576,MATCH('Financial Summary'!M$12,Assumptions!$5:$5,0),FALSE)</f>
        <v>0.40000000000000013</v>
      </c>
      <c r="N57" s="141"/>
      <c r="P57" s="144"/>
      <c r="Q57" s="141"/>
      <c r="R57" s="141"/>
      <c r="S57" s="141"/>
      <c r="T57" s="141"/>
      <c r="U57" s="141"/>
      <c r="V57" s="141"/>
      <c r="W57" s="141"/>
    </row>
    <row r="58" spans="1:26" x14ac:dyDescent="0.25">
      <c r="N58" s="141"/>
      <c r="P58" s="144"/>
      <c r="Q58" s="141"/>
      <c r="R58" s="141"/>
      <c r="S58" s="141"/>
      <c r="T58" s="141"/>
      <c r="U58" s="141"/>
      <c r="V58" s="141"/>
      <c r="W58" s="141"/>
    </row>
    <row r="59" spans="1:26" x14ac:dyDescent="0.25">
      <c r="E59" s="1" t="s">
        <v>321</v>
      </c>
      <c r="F59" s="142"/>
      <c r="G59" s="140"/>
      <c r="H59" s="140"/>
      <c r="I59" s="140"/>
      <c r="J59" s="140"/>
      <c r="K59" s="140"/>
      <c r="L59" s="140"/>
      <c r="M59" s="140"/>
      <c r="N59" s="141"/>
      <c r="O59" s="1" t="s">
        <v>539</v>
      </c>
      <c r="P59" s="142"/>
      <c r="Q59" s="140"/>
      <c r="R59" s="140"/>
      <c r="S59" s="140"/>
      <c r="T59" s="140"/>
      <c r="U59" s="140"/>
      <c r="V59" s="140"/>
      <c r="W59" s="140"/>
    </row>
    <row r="60" spans="1:26" x14ac:dyDescent="0.25">
      <c r="E60" s="88" t="s">
        <v>15</v>
      </c>
      <c r="F60" s="274" t="s">
        <v>443</v>
      </c>
      <c r="G60" s="143" t="s">
        <v>1</v>
      </c>
      <c r="H60" s="143" t="s">
        <v>4</v>
      </c>
      <c r="I60" s="143" t="s">
        <v>375</v>
      </c>
      <c r="J60" s="143" t="s">
        <v>376</v>
      </c>
      <c r="K60" s="143" t="s">
        <v>10</v>
      </c>
      <c r="L60" s="143" t="s">
        <v>13</v>
      </c>
      <c r="M60" s="143" t="s">
        <v>20</v>
      </c>
      <c r="N60" s="141"/>
      <c r="O60" s="88" t="s">
        <v>15</v>
      </c>
      <c r="P60" s="274" t="s">
        <v>443</v>
      </c>
      <c r="Q60" s="143" t="s">
        <v>1</v>
      </c>
      <c r="R60" s="143" t="s">
        <v>4</v>
      </c>
      <c r="S60" s="143" t="s">
        <v>375</v>
      </c>
      <c r="T60" s="143" t="s">
        <v>376</v>
      </c>
      <c r="U60" s="143" t="s">
        <v>10</v>
      </c>
      <c r="V60" s="143" t="s">
        <v>13</v>
      </c>
      <c r="W60" s="143" t="s">
        <v>20</v>
      </c>
    </row>
    <row r="61" spans="1:26" x14ac:dyDescent="0.25">
      <c r="A61" s="8" t="s">
        <v>454</v>
      </c>
      <c r="E61" s="141" t="s">
        <v>340</v>
      </c>
      <c r="F61" s="144" t="s">
        <v>29</v>
      </c>
      <c r="G61" s="148">
        <f>VLOOKUP($A61,Assumptions!$1:$1048576,MATCH('Financial Summary'!G$12,Assumptions!$5:$5,0),FALSE)</f>
        <v>0.182</v>
      </c>
      <c r="H61" s="148">
        <f>VLOOKUP($A61,Assumptions!$1:$1048576,MATCH('Financial Summary'!H$12,Assumptions!$5:$5,0),FALSE)</f>
        <v>0.15</v>
      </c>
      <c r="I61" s="148">
        <f>VLOOKUP($A61,Assumptions!$1:$1048576,MATCH('Financial Summary'!I$12,Assumptions!$5:$5,0),FALSE)</f>
        <v>8.1000000000000003E-2</v>
      </c>
      <c r="J61" s="148">
        <f>VLOOKUP($A61,Assumptions!$1:$1048576,MATCH('Financial Summary'!J$12,Assumptions!$5:$5,0),FALSE)</f>
        <v>9.6000000000000002E-2</v>
      </c>
      <c r="K61" s="148">
        <f>VLOOKUP($A61,Assumptions!$1:$1048576,MATCH('Financial Summary'!K$12,Assumptions!$5:$5,0),FALSE)</f>
        <v>0.06</v>
      </c>
      <c r="L61" s="148">
        <f>VLOOKUP($A61,Assumptions!$1:$1048576,MATCH('Financial Summary'!L$12,Assumptions!$5:$5,0),FALSE)</f>
        <v>0.05</v>
      </c>
      <c r="M61" s="148">
        <f>VLOOKUP($A61,Assumptions!$1:$1048576,MATCH('Financial Summary'!M$12,Assumptions!$5:$5,0),FALSE)</f>
        <v>0.05</v>
      </c>
      <c r="N61" s="141"/>
      <c r="O61" s="141" t="s">
        <v>538</v>
      </c>
      <c r="P61" s="144" t="s">
        <v>617</v>
      </c>
      <c r="Q61" s="275" t="s">
        <v>571</v>
      </c>
      <c r="R61" s="275" t="s">
        <v>571</v>
      </c>
      <c r="S61" s="296">
        <f t="shared" ref="S61:T61" si="25">$F$7/(I$44/100)</f>
        <v>463.66718857243353</v>
      </c>
      <c r="T61" s="296">
        <f t="shared" si="25"/>
        <v>167.94433976651541</v>
      </c>
      <c r="U61" s="296">
        <f ca="1">$F$7/(K$44/100)</f>
        <v>115.85828494133528</v>
      </c>
      <c r="V61" s="296">
        <f t="shared" ref="V61:W61" ca="1" si="26">$F$7/(L$44/100)</f>
        <v>58.86952279244008</v>
      </c>
      <c r="W61" s="296">
        <f t="shared" ca="1" si="26"/>
        <v>38.161975515536021</v>
      </c>
    </row>
    <row r="62" spans="1:26" x14ac:dyDescent="0.25">
      <c r="A62" s="8" t="s">
        <v>462</v>
      </c>
      <c r="E62" s="141" t="s">
        <v>655</v>
      </c>
      <c r="F62" s="144" t="s">
        <v>29</v>
      </c>
      <c r="G62" s="148">
        <f>VLOOKUP($A62,Assumptions!$1:$1048576,MATCH('Financial Summary'!G$12,Assumptions!$5:$5,0),FALSE)</f>
        <v>0</v>
      </c>
      <c r="H62" s="148">
        <f>VLOOKUP($A62,Assumptions!$1:$1048576,MATCH('Financial Summary'!H$12,Assumptions!$5:$5,0),FALSE)</f>
        <v>0.1399999999999999</v>
      </c>
      <c r="I62" s="148">
        <f>VLOOKUP($A62,Assumptions!$1:$1048576,MATCH('Financial Summary'!I$12,Assumptions!$5:$5,0),FALSE)</f>
        <v>0.13450292397660824</v>
      </c>
      <c r="J62" s="148">
        <f>VLOOKUP($A62,Assumptions!$1:$1048576,MATCH('Financial Summary'!J$12,Assumptions!$5:$5,0),FALSE)</f>
        <v>0.15463917525773185</v>
      </c>
      <c r="K62" s="148">
        <f>VLOOKUP($A62,Assumptions!$1:$1048576,MATCH('Financial Summary'!K$12,Assumptions!$5:$5,0),FALSE)</f>
        <v>0.14285714285714279</v>
      </c>
      <c r="L62" s="148">
        <f>VLOOKUP($A62,Assumptions!$1:$1048576,MATCH('Financial Summary'!L$12,Assumptions!$5:$5,0),FALSE)</f>
        <v>0.13671875</v>
      </c>
      <c r="M62" s="148">
        <f>VLOOKUP($A62,Assumptions!$1:$1048576,MATCH('Financial Summary'!M$12,Assumptions!$5:$5,0),FALSE)</f>
        <v>0.13745704467353947</v>
      </c>
      <c r="N62" s="141"/>
      <c r="O62" s="141" t="s">
        <v>649</v>
      </c>
      <c r="P62" s="144" t="s">
        <v>617</v>
      </c>
      <c r="Q62" s="275" t="s">
        <v>571</v>
      </c>
      <c r="R62" s="275" t="s">
        <v>571</v>
      </c>
      <c r="S62" s="297">
        <f ca="1">S68/I24</f>
        <v>53.472869962853871</v>
      </c>
      <c r="T62" s="297">
        <f ca="1">T68/J24</f>
        <v>39.779107738176421</v>
      </c>
      <c r="U62" s="297">
        <f ca="1">U68/K24</f>
        <v>29.509681516356896</v>
      </c>
      <c r="V62" s="297">
        <f ca="1">V68/L24</f>
        <v>20.105747026441065</v>
      </c>
      <c r="W62" s="297">
        <f ca="1">W68/M24</f>
        <v>14.59448692151418</v>
      </c>
    </row>
    <row r="63" spans="1:26" x14ac:dyDescent="0.25">
      <c r="A63" s="8" t="s">
        <v>455</v>
      </c>
      <c r="E63" s="141" t="s">
        <v>616</v>
      </c>
      <c r="F63" s="144" t="s">
        <v>29</v>
      </c>
      <c r="G63" s="148">
        <f>VLOOKUP($A63,Assumptions!$1:$1048576,MATCH('Financial Summary'!G$12,Assumptions!$5:$5,0),FALSE)</f>
        <v>0.14099999999999999</v>
      </c>
      <c r="H63" s="148">
        <f>VLOOKUP($A63,Assumptions!$1:$1048576,MATCH('Financial Summary'!H$12,Assumptions!$5:$5,0),FALSE)</f>
        <v>0.14399999999999999</v>
      </c>
      <c r="I63" s="148">
        <f>VLOOKUP($A63,Assumptions!$1:$1048576,MATCH('Financial Summary'!I$12,Assumptions!$5:$5,0),FALSE)</f>
        <v>0.17399999999999999</v>
      </c>
      <c r="J63" s="148">
        <f>VLOOKUP($A63,Assumptions!$1:$1048576,MATCH('Financial Summary'!J$12,Assumptions!$5:$5,0),FALSE)</f>
        <v>0.17899999999999999</v>
      </c>
      <c r="K63" s="148">
        <f>VLOOKUP($A63,Assumptions!$1:$1048576,MATCH('Financial Summary'!K$12,Assumptions!$5:$5,0),FALSE)</f>
        <v>0.1835</v>
      </c>
      <c r="L63" s="148">
        <f>VLOOKUP($A63,Assumptions!$1:$1048576,MATCH('Financial Summary'!L$12,Assumptions!$5:$5,0),FALSE)</f>
        <v>0.19022927981651383</v>
      </c>
      <c r="M63" s="148">
        <f>VLOOKUP($A63,Assumptions!$1:$1048576,MATCH('Financial Summary'!M$12,Assumptions!$5:$5,0),FALSE)</f>
        <v>0.19613577981651387</v>
      </c>
      <c r="N63" s="141"/>
      <c r="O63" s="141" t="s">
        <v>650</v>
      </c>
      <c r="P63" s="144" t="s">
        <v>617</v>
      </c>
      <c r="Q63" s="275" t="s">
        <v>571</v>
      </c>
      <c r="R63" s="275" t="s">
        <v>571</v>
      </c>
      <c r="S63" s="297">
        <f ca="1">S68/I28</f>
        <v>46.634497620590196</v>
      </c>
      <c r="T63" s="297">
        <f ca="1">T68/J28</f>
        <v>32.097121706303085</v>
      </c>
      <c r="U63" s="297">
        <f ca="1">U68/K28</f>
        <v>24.746983432771543</v>
      </c>
      <c r="V63" s="297">
        <f ca="1">V68/L28</f>
        <v>17.017485813348848</v>
      </c>
      <c r="W63" s="297">
        <f ca="1">W68/M28</f>
        <v>12.506717911481022</v>
      </c>
    </row>
    <row r="64" spans="1:26" x14ac:dyDescent="0.25">
      <c r="J64" s="15"/>
      <c r="K64" s="15"/>
      <c r="L64" s="15"/>
      <c r="M64" s="15"/>
      <c r="N64" s="141"/>
    </row>
    <row r="65" spans="6:23" x14ac:dyDescent="0.25">
      <c r="N65" s="141"/>
    </row>
    <row r="66" spans="6:23" x14ac:dyDescent="0.25">
      <c r="N66" s="141"/>
    </row>
    <row r="67" spans="6:23" x14ac:dyDescent="0.25">
      <c r="N67" s="141"/>
    </row>
    <row r="68" spans="6:23" outlineLevel="1" x14ac:dyDescent="0.25">
      <c r="N68" s="141"/>
      <c r="O68" s="8" t="s">
        <v>628</v>
      </c>
      <c r="S68" s="271">
        <f ca="1">$F$8+S27</f>
        <v>2087.3134789999999</v>
      </c>
      <c r="T68" s="271">
        <f ca="1">$F$8+T27</f>
        <v>2100.050479</v>
      </c>
      <c r="U68" s="271">
        <f ca="1">$F$8+U27</f>
        <v>2112.2154454859265</v>
      </c>
      <c r="V68" s="271">
        <f ca="1">$F$8+V27</f>
        <v>2138.9100202471059</v>
      </c>
      <c r="W68" s="271">
        <f ca="1">$F$8+W27</f>
        <v>2147.8667669115434</v>
      </c>
    </row>
    <row r="69" spans="6:23" x14ac:dyDescent="0.25">
      <c r="N69" s="141"/>
      <c r="O69" s="141"/>
      <c r="P69" s="144"/>
      <c r="Q69" s="141"/>
      <c r="R69" s="141"/>
      <c r="S69" s="141"/>
      <c r="T69" s="141"/>
      <c r="U69" s="141"/>
      <c r="V69" s="141"/>
      <c r="W69" s="141"/>
    </row>
    <row r="70" spans="6:23" x14ac:dyDescent="0.25">
      <c r="N70" s="141"/>
    </row>
    <row r="71" spans="6:23" x14ac:dyDescent="0.25">
      <c r="N71" s="141"/>
      <c r="P71" s="8"/>
    </row>
    <row r="72" spans="6:23" x14ac:dyDescent="0.25">
      <c r="P72" s="8"/>
    </row>
    <row r="73" spans="6:23" x14ac:dyDescent="0.25">
      <c r="F73" s="21"/>
      <c r="G73" s="21"/>
      <c r="H73" s="21"/>
      <c r="I73" s="21"/>
      <c r="P73" s="8"/>
    </row>
    <row r="74" spans="6:23" x14ac:dyDescent="0.25">
      <c r="P74" s="8"/>
    </row>
    <row r="75" spans="6:23" x14ac:dyDescent="0.25">
      <c r="P75" s="8"/>
    </row>
    <row r="79" spans="6:23" x14ac:dyDescent="0.25">
      <c r="P79" s="8"/>
    </row>
    <row r="80" spans="6:23" x14ac:dyDescent="0.25">
      <c r="P80" s="8"/>
    </row>
    <row r="81" spans="16:16" x14ac:dyDescent="0.25">
      <c r="P81" s="8"/>
    </row>
    <row r="82" spans="16:16" x14ac:dyDescent="0.25">
      <c r="P82" s="8"/>
    </row>
    <row r="83" spans="16:16" x14ac:dyDescent="0.25">
      <c r="P83" s="8"/>
    </row>
    <row r="92" spans="16:16" x14ac:dyDescent="0.25">
      <c r="P92" s="8"/>
    </row>
  </sheetData>
  <pageMargins left="0.7" right="0.7" top="0.75" bottom="0.75" header="0.3" footer="0.3"/>
  <pageSetup paperSize="9" scale="66" orientation="landscape" horizontalDpi="300" verticalDpi="300" r:id="rId1"/>
  <ignoredErrors>
    <ignoredError sqref="G15:G16 H15:L15 S36:V36 S40:V40 Q40 Q36 S23:V23 T18:V18 S18 M15:W17 M20:W22 M18:R18 W18 M24:W25 M23:R23 W23 M37:W39 M36:P36 R36 M41:W48 M40:P40 R40 W40 W36 M32:W32 M31:S31 U31:W31 M61:W63 M60:S60 U60:W60 M52:W59 M49:S49 U49:W49 M50:U50 W50 M27:W30 N26:W26 M51:T51 N19:W19 M34:W35 N33:W33" formula="1"/>
    <ignoredError sqref="K18:L18" evalErro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05E45-D6E4-4B9B-9DA5-EB5F009D8169}">
  <sheetPr codeName="Sheet1">
    <tabColor rgb="FFCCECFF"/>
  </sheetPr>
  <dimension ref="A1:XEH167"/>
  <sheetViews>
    <sheetView showGridLines="0" zoomScale="85" zoomScaleNormal="85" workbookViewId="0">
      <pane xSplit="3" ySplit="5" topLeftCell="E35" activePane="bottomRight" state="frozen"/>
      <selection activeCell="F40" sqref="F40"/>
      <selection pane="topRight" activeCell="F40" sqref="F40"/>
      <selection pane="bottomLeft" activeCell="F40" sqref="F40"/>
      <selection pane="bottomRight" activeCell="P50" sqref="P50"/>
    </sheetView>
  </sheetViews>
  <sheetFormatPr defaultColWidth="8.85546875" defaultRowHeight="15" outlineLevelRow="1" outlineLevelCol="1" x14ac:dyDescent="0.25"/>
  <cols>
    <col min="1" max="1" width="20.7109375" style="8" customWidth="1"/>
    <col min="2" max="2" width="39.140625" style="8" customWidth="1"/>
    <col min="3" max="3" width="8.85546875" style="22"/>
    <col min="4" max="6" width="8.85546875" style="8"/>
    <col min="7" max="8" width="8.85546875" style="8" customWidth="1" outlineLevel="1"/>
    <col min="9" max="9" width="9" style="8" customWidth="1"/>
    <col min="10" max="11" width="8.85546875" style="8" customWidth="1" outlineLevel="1"/>
    <col min="12" max="12" width="9" style="8" customWidth="1"/>
    <col min="13" max="13" width="8.85546875" style="289" customWidth="1" outlineLevel="1"/>
    <col min="14" max="14" width="10.28515625" style="8" customWidth="1" outlineLevel="1"/>
    <col min="15" max="15" width="9" style="8" customWidth="1"/>
    <col min="16" max="17" width="8.85546875" style="8" customWidth="1" outlineLevel="1"/>
    <col min="18" max="18" width="8.85546875" style="8" customWidth="1"/>
    <col min="19" max="20" width="8.85546875" style="8" hidden="1" customWidth="1" outlineLevel="1"/>
    <col min="21" max="21" width="8.85546875" style="8" customWidth="1" collapsed="1"/>
    <col min="22" max="23" width="8.85546875" style="8" hidden="1" customWidth="1" outlineLevel="1"/>
    <col min="24" max="24" width="8.85546875" style="8" customWidth="1" collapsed="1"/>
    <col min="25" max="26" width="8.85546875" style="8" hidden="1" customWidth="1" outlineLevel="1"/>
    <col min="27" max="27" width="8.85546875" style="8" customWidth="1" collapsed="1"/>
    <col min="28" max="29" width="8.85546875" style="8" hidden="1" customWidth="1" outlineLevel="1"/>
    <col min="30" max="30" width="8.85546875" style="8" customWidth="1" collapsed="1"/>
    <col min="31" max="32" width="8.85546875" style="8" hidden="1" customWidth="1" outlineLevel="1"/>
    <col min="33" max="33" width="8.85546875" style="8" customWidth="1" collapsed="1"/>
    <col min="34" max="35" width="8.85546875" style="8" hidden="1" customWidth="1" outlineLevel="1"/>
    <col min="36" max="36" width="8.85546875" style="8" customWidth="1" collapsed="1"/>
    <col min="37" max="38" width="8.85546875" style="8" hidden="1" customWidth="1" outlineLevel="1"/>
    <col min="39" max="39" width="8.85546875" style="8" customWidth="1" collapsed="1"/>
    <col min="40" max="41" width="8.85546875" style="8" hidden="1" customWidth="1" outlineLevel="1"/>
    <col min="42" max="42" width="8.85546875" style="8" customWidth="1" collapsed="1"/>
    <col min="43" max="44" width="8.85546875" style="8" hidden="1" customWidth="1" outlineLevel="1"/>
    <col min="45" max="45" width="9.7109375" style="8" customWidth="1" collapsed="1"/>
    <col min="46" max="47" width="8.85546875" style="8" hidden="1" customWidth="1" outlineLevel="1"/>
    <col min="48" max="48" width="9.7109375" style="8" customWidth="1" collapsed="1"/>
    <col min="49" max="50" width="8.85546875" style="8"/>
    <col min="51" max="51" width="17.85546875" style="8" customWidth="1"/>
    <col min="52" max="52" width="57.5703125" customWidth="1" outlineLevel="1"/>
    <col min="53" max="57" width="8.85546875" customWidth="1" outlineLevel="1"/>
    <col min="58" max="61" width="8.85546875" style="8"/>
    <col min="62" max="62" width="14.85546875" style="8" customWidth="1"/>
    <col min="63" max="16384" width="8.85546875" style="8"/>
  </cols>
  <sheetData>
    <row r="1" spans="1:48" x14ac:dyDescent="0.25">
      <c r="A1" s="1"/>
      <c r="B1" s="1"/>
      <c r="C1" s="2"/>
      <c r="D1" s="2"/>
      <c r="E1" s="2"/>
      <c r="F1" s="2"/>
      <c r="G1" s="1"/>
      <c r="H1" s="1"/>
      <c r="I1" s="1"/>
      <c r="J1" s="1"/>
      <c r="K1" s="1"/>
      <c r="L1" s="1"/>
      <c r="M1" s="42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ht="23.25" x14ac:dyDescent="0.35">
      <c r="A2" s="1"/>
      <c r="B2" s="3" t="s">
        <v>14</v>
      </c>
      <c r="C2" s="2"/>
      <c r="D2" s="2"/>
      <c r="E2" s="2"/>
      <c r="F2" s="2"/>
      <c r="G2" s="1"/>
      <c r="H2" s="1"/>
      <c r="I2" s="1"/>
      <c r="J2" s="1"/>
      <c r="K2" s="1"/>
      <c r="L2" s="1"/>
      <c r="M2" s="42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x14ac:dyDescent="0.25">
      <c r="A3" s="1"/>
      <c r="B3" s="1" t="s">
        <v>62</v>
      </c>
      <c r="C3" s="2"/>
      <c r="D3" s="2"/>
      <c r="E3" s="2"/>
      <c r="F3" s="2"/>
      <c r="G3" s="1"/>
      <c r="H3" s="1"/>
      <c r="I3" s="1"/>
      <c r="J3" s="1"/>
      <c r="K3" s="1"/>
      <c r="L3" s="1"/>
      <c r="M3" s="42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</row>
    <row r="4" spans="1:48" x14ac:dyDescent="0.25">
      <c r="A4" s="1"/>
      <c r="B4" s="1"/>
      <c r="C4" s="2"/>
      <c r="D4" s="2"/>
      <c r="E4" s="2"/>
      <c r="F4" s="2" t="s">
        <v>21</v>
      </c>
      <c r="G4" s="2" t="s">
        <v>21</v>
      </c>
      <c r="H4" s="2" t="s">
        <v>21</v>
      </c>
      <c r="I4" s="2" t="s">
        <v>21</v>
      </c>
      <c r="J4" s="2" t="s">
        <v>21</v>
      </c>
      <c r="K4" s="2"/>
      <c r="L4" s="2"/>
      <c r="M4" s="422"/>
      <c r="N4" s="2"/>
      <c r="O4" s="2"/>
      <c r="P4" s="5"/>
      <c r="Q4" s="5"/>
      <c r="R4" s="5"/>
      <c r="S4" s="6"/>
      <c r="T4" s="5"/>
      <c r="U4" s="5"/>
      <c r="V4" s="6"/>
      <c r="W4" s="5"/>
      <c r="X4" s="5"/>
      <c r="Y4" s="6"/>
      <c r="Z4" s="5"/>
      <c r="AA4" s="5"/>
      <c r="AB4" s="6"/>
      <c r="AC4" s="5"/>
      <c r="AD4" s="5"/>
      <c r="AE4" s="6"/>
      <c r="AF4" s="5"/>
      <c r="AG4" s="5"/>
      <c r="AH4" s="6"/>
      <c r="AI4" s="5"/>
      <c r="AJ4" s="5"/>
      <c r="AK4" s="6"/>
      <c r="AL4" s="5"/>
      <c r="AM4" s="5"/>
      <c r="AN4" s="6"/>
      <c r="AO4" s="5"/>
      <c r="AP4" s="5"/>
      <c r="AQ4" s="6"/>
      <c r="AR4" s="5"/>
      <c r="AS4" s="5"/>
      <c r="AT4" s="6"/>
      <c r="AU4" s="5"/>
      <c r="AV4" s="5"/>
    </row>
    <row r="5" spans="1:48" x14ac:dyDescent="0.25">
      <c r="A5" s="1"/>
      <c r="B5" s="1" t="s">
        <v>15</v>
      </c>
      <c r="C5" s="2" t="s">
        <v>0</v>
      </c>
      <c r="D5" s="4" t="s">
        <v>16</v>
      </c>
      <c r="E5" s="4" t="s">
        <v>17</v>
      </c>
      <c r="F5" s="4" t="s">
        <v>1</v>
      </c>
      <c r="G5" s="4" t="s">
        <v>2</v>
      </c>
      <c r="H5" s="4" t="s">
        <v>3</v>
      </c>
      <c r="I5" s="4" t="s">
        <v>4</v>
      </c>
      <c r="J5" s="4" t="s">
        <v>5</v>
      </c>
      <c r="K5" s="4" t="s">
        <v>673</v>
      </c>
      <c r="L5" s="4" t="s">
        <v>375</v>
      </c>
      <c r="M5" s="423" t="s">
        <v>679</v>
      </c>
      <c r="N5" s="4" t="s">
        <v>680</v>
      </c>
      <c r="O5" s="4" t="s">
        <v>376</v>
      </c>
      <c r="P5" s="4" t="s">
        <v>8</v>
      </c>
      <c r="Q5" s="4" t="s">
        <v>9</v>
      </c>
      <c r="R5" s="4" t="s">
        <v>10</v>
      </c>
      <c r="S5" s="4" t="s">
        <v>11</v>
      </c>
      <c r="T5" s="4" t="s">
        <v>12</v>
      </c>
      <c r="U5" s="4" t="s">
        <v>13</v>
      </c>
      <c r="V5" s="4" t="s">
        <v>18</v>
      </c>
      <c r="W5" s="4" t="s">
        <v>19</v>
      </c>
      <c r="X5" s="4" t="s">
        <v>20</v>
      </c>
      <c r="Y5" s="4" t="s">
        <v>355</v>
      </c>
      <c r="Z5" s="4" t="s">
        <v>356</v>
      </c>
      <c r="AA5" s="4" t="s">
        <v>252</v>
      </c>
      <c r="AB5" s="4" t="str">
        <f>+Assumptions!AB5</f>
        <v>1H30e</v>
      </c>
      <c r="AC5" s="4" t="str">
        <f>+Assumptions!AC5</f>
        <v>2H30e</v>
      </c>
      <c r="AD5" s="4" t="str">
        <f>+Assumptions!AD5</f>
        <v>FY30e</v>
      </c>
      <c r="AE5" s="4" t="str">
        <f>+Assumptions!AE5</f>
        <v>1H31e</v>
      </c>
      <c r="AF5" s="4" t="str">
        <f>+Assumptions!AF5</f>
        <v>2H31e</v>
      </c>
      <c r="AG5" s="4" t="str">
        <f>+Assumptions!AG5</f>
        <v>FY31e</v>
      </c>
      <c r="AH5" s="4" t="str">
        <f>+Assumptions!AH5</f>
        <v>1H32e</v>
      </c>
      <c r="AI5" s="4" t="str">
        <f>+Assumptions!AI5</f>
        <v>2H32e</v>
      </c>
      <c r="AJ5" s="4" t="str">
        <f>+Assumptions!AJ5</f>
        <v>FY32e</v>
      </c>
      <c r="AK5" s="4" t="str">
        <f>+Assumptions!AK5</f>
        <v>1H33e</v>
      </c>
      <c r="AL5" s="4" t="str">
        <f>+Assumptions!AL5</f>
        <v>2H33e</v>
      </c>
      <c r="AM5" s="4" t="str">
        <f>+Assumptions!AM5</f>
        <v>FY33e</v>
      </c>
      <c r="AN5" s="4" t="str">
        <f>+Assumptions!AN5</f>
        <v>1H34e</v>
      </c>
      <c r="AO5" s="4" t="str">
        <f>+Assumptions!AO5</f>
        <v>2H34e</v>
      </c>
      <c r="AP5" s="4" t="str">
        <f>+Assumptions!AP5</f>
        <v>FY34e</v>
      </c>
      <c r="AQ5" s="4" t="s">
        <v>553</v>
      </c>
      <c r="AR5" s="4" t="s">
        <v>554</v>
      </c>
      <c r="AS5" s="4" t="s">
        <v>285</v>
      </c>
      <c r="AT5" s="4" t="s">
        <v>688</v>
      </c>
      <c r="AU5" s="4" t="s">
        <v>689</v>
      </c>
      <c r="AV5" s="4" t="s">
        <v>509</v>
      </c>
    </row>
    <row r="7" spans="1:48" ht="15.75" x14ac:dyDescent="0.25">
      <c r="A7" s="49" t="s">
        <v>23</v>
      </c>
      <c r="B7" s="1" t="s">
        <v>63</v>
      </c>
      <c r="C7" s="2"/>
      <c r="D7" s="2"/>
      <c r="E7" s="2"/>
      <c r="F7" s="2"/>
      <c r="G7" s="1"/>
      <c r="H7" s="1"/>
      <c r="I7" s="1"/>
      <c r="J7" s="1"/>
      <c r="K7" s="1"/>
      <c r="L7" s="1"/>
      <c r="M7" s="42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</row>
    <row r="9" spans="1:48" x14ac:dyDescent="0.25">
      <c r="B9" s="12" t="s">
        <v>46</v>
      </c>
      <c r="C9" s="56"/>
      <c r="D9" s="12"/>
      <c r="E9" s="12"/>
      <c r="F9" s="63"/>
      <c r="G9" s="63"/>
      <c r="H9" s="63"/>
      <c r="I9" s="63"/>
      <c r="J9" s="52"/>
      <c r="K9" s="63"/>
      <c r="L9" s="63"/>
      <c r="M9" s="424"/>
      <c r="N9" s="110"/>
      <c r="O9" s="63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  <c r="AA9" s="63"/>
      <c r="AB9" s="63"/>
      <c r="AC9" s="63"/>
      <c r="AD9" s="63"/>
      <c r="AE9" s="63"/>
      <c r="AF9" s="63"/>
      <c r="AG9" s="63"/>
      <c r="AH9" s="63"/>
      <c r="AI9" s="63"/>
      <c r="AJ9" s="63"/>
      <c r="AK9" s="63"/>
      <c r="AL9" s="63"/>
      <c r="AM9" s="63"/>
      <c r="AN9" s="63"/>
      <c r="AO9" s="63"/>
      <c r="AP9" s="63"/>
      <c r="AQ9" s="63"/>
      <c r="AR9" s="63"/>
      <c r="AS9" s="63"/>
      <c r="AT9" s="63"/>
      <c r="AU9" s="63"/>
      <c r="AV9" s="63"/>
    </row>
    <row r="10" spans="1:48" x14ac:dyDescent="0.25">
      <c r="B10" s="8" t="s">
        <v>228</v>
      </c>
      <c r="C10" s="22" t="s">
        <v>28</v>
      </c>
      <c r="D10" s="12"/>
      <c r="E10" s="12"/>
      <c r="F10" s="21">
        <f>+Assumptions!F18</f>
        <v>168.02699999999999</v>
      </c>
      <c r="G10" s="21">
        <f>+Assumptions!G18</f>
        <v>119.34399999999999</v>
      </c>
      <c r="H10" s="21">
        <f>+Assumptions!H18</f>
        <v>132.03750000000002</v>
      </c>
      <c r="I10" s="21">
        <f>+Assumptions!I18</f>
        <v>251.38150000000002</v>
      </c>
      <c r="J10" s="19">
        <f>+Assumptions!J18</f>
        <v>161.96799999999999</v>
      </c>
      <c r="K10" s="21">
        <f>+Assumptions!K18</f>
        <v>167.57399999999998</v>
      </c>
      <c r="L10" s="21">
        <f>+Assumptions!L18</f>
        <v>329.54199999999997</v>
      </c>
      <c r="M10" s="286">
        <f>+Assumptions!M18</f>
        <v>207.99199999999999</v>
      </c>
      <c r="N10" s="21">
        <f>+Assumptions!N18</f>
        <v>216.56150000000002</v>
      </c>
      <c r="O10" s="21">
        <f>+Assumptions!O18</f>
        <v>424.55349999999999</v>
      </c>
      <c r="P10" s="21">
        <f>+Assumptions!P18</f>
        <v>262.83515226679452</v>
      </c>
      <c r="Q10" s="21">
        <f>+Assumptions!Q18</f>
        <v>287.2256929739786</v>
      </c>
      <c r="R10" s="21">
        <f>+Assumptions!R18</f>
        <v>550.06084524077312</v>
      </c>
      <c r="S10" s="21">
        <f>+Assumptions!S18</f>
        <v>316.33268939588362</v>
      </c>
      <c r="T10" s="21">
        <f>+Assumptions!T18</f>
        <v>348.9408066641945</v>
      </c>
      <c r="U10" s="21">
        <f>+Assumptions!U18</f>
        <v>665.27349606007817</v>
      </c>
      <c r="V10" s="21">
        <f>+Assumptions!V18</f>
        <v>386.77367511627915</v>
      </c>
      <c r="W10" s="21">
        <f>+Assumptions!W18</f>
        <v>417.73339039735271</v>
      </c>
      <c r="X10" s="21">
        <f>+Assumptions!X18</f>
        <v>804.5070655136318</v>
      </c>
      <c r="Y10" s="21">
        <f>+Assumptions!Y18</f>
        <v>463.95662582797661</v>
      </c>
      <c r="Z10" s="21">
        <f>+Assumptions!Z18</f>
        <v>501.8004282417877</v>
      </c>
      <c r="AA10" s="21">
        <f>+Assumptions!AA18</f>
        <v>965.75705406976431</v>
      </c>
      <c r="AB10" s="21">
        <f>+Assumptions!AB18</f>
        <v>543.69980187518047</v>
      </c>
      <c r="AC10" s="21">
        <f>+Assumptions!AC18</f>
        <v>589.26058801684235</v>
      </c>
      <c r="AD10" s="21">
        <f>+Assumptions!AD18</f>
        <v>1132.9603898920227</v>
      </c>
      <c r="AE10" s="21">
        <f>+Assumptions!AE18</f>
        <v>627.1866671234684</v>
      </c>
      <c r="AF10" s="21">
        <f>+Assumptions!AF18</f>
        <v>677.48037684420399</v>
      </c>
      <c r="AG10" s="21">
        <f>+Assumptions!AG18</f>
        <v>1304.6670439676723</v>
      </c>
      <c r="AH10" s="21">
        <f>+Assumptions!AH18</f>
        <v>717.74931778264261</v>
      </c>
      <c r="AI10" s="21">
        <f>+Assumptions!AI18</f>
        <v>773.14119608333067</v>
      </c>
      <c r="AJ10" s="21">
        <f>+Assumptions!AJ18</f>
        <v>1490.8905138659734</v>
      </c>
      <c r="AK10" s="21">
        <f>+Assumptions!AK18</f>
        <v>815.88334013508916</v>
      </c>
      <c r="AL10" s="21">
        <f>+Assumptions!AL18</f>
        <v>876.76262492770002</v>
      </c>
      <c r="AM10" s="21">
        <f>+Assumptions!AM18</f>
        <v>1692.6459650627892</v>
      </c>
      <c r="AN10" s="21">
        <f>+Assumptions!AN18</f>
        <v>902.39843135189915</v>
      </c>
      <c r="AO10" s="21">
        <f>+Assumptions!AO18</f>
        <v>964.07682967877167</v>
      </c>
      <c r="AP10" s="21">
        <f>+Assumptions!AP18</f>
        <v>1866.4752610306709</v>
      </c>
      <c r="AQ10" s="21">
        <f>+Assumptions!AQ18</f>
        <v>985.96392551235647</v>
      </c>
      <c r="AR10" s="21">
        <f>+Assumptions!AR18</f>
        <v>1051.9548573921966</v>
      </c>
      <c r="AS10" s="21">
        <f>+Assumptions!AS18</f>
        <v>2037.9187829045532</v>
      </c>
      <c r="AT10" s="21">
        <f>+Assumptions!AT18</f>
        <v>1073.1680212237679</v>
      </c>
      <c r="AU10" s="21">
        <f>+Assumptions!AU18</f>
        <v>1143.6384112882527</v>
      </c>
      <c r="AV10" s="21">
        <f>+Assumptions!AV18</f>
        <v>2216.8064325120208</v>
      </c>
    </row>
    <row r="11" spans="1:48" x14ac:dyDescent="0.25">
      <c r="B11" s="8" t="s">
        <v>229</v>
      </c>
      <c r="C11" s="22" t="s">
        <v>28</v>
      </c>
      <c r="D11" s="12"/>
      <c r="E11" s="12"/>
      <c r="F11" s="21">
        <f>+Assumptions!F19</f>
        <v>1.099</v>
      </c>
      <c r="G11" s="21">
        <f>+Assumptions!G19</f>
        <v>0.75250000000000006</v>
      </c>
      <c r="H11" s="21">
        <f>+Assumptions!H19</f>
        <v>0.75600000000000012</v>
      </c>
      <c r="I11" s="21">
        <f>+Assumptions!I19</f>
        <v>1.5085000000000002</v>
      </c>
      <c r="J11" s="19">
        <f>+Assumptions!J19</f>
        <v>0.77700000000000002</v>
      </c>
      <c r="K11" s="21">
        <f>+Assumptions!K19</f>
        <v>0.84700000000000009</v>
      </c>
      <c r="L11" s="21">
        <f>+Assumptions!L19</f>
        <v>1.6240000000000001</v>
      </c>
      <c r="M11" s="291">
        <f>+Assumptions!M19</f>
        <v>1.0570000000000002</v>
      </c>
      <c r="N11" s="19">
        <f>+Assumptions!N19</f>
        <v>1.2075000000000002</v>
      </c>
      <c r="O11" s="19">
        <f>+Assumptions!O19</f>
        <v>2.2645000000000004</v>
      </c>
      <c r="P11" s="21">
        <f>+Assumptions!P19</f>
        <v>1.2098364864864866</v>
      </c>
      <c r="Q11" s="21">
        <f>+Assumptions!Q19</f>
        <v>1.4062569345661455</v>
      </c>
      <c r="R11" s="21">
        <f>+Assumptions!R19</f>
        <v>2.6160934210526321</v>
      </c>
      <c r="S11" s="21">
        <f>+Assumptions!S19</f>
        <v>1.3665653040540542</v>
      </c>
      <c r="T11" s="21">
        <f>+Assumptions!T19</f>
        <v>1.5509475763807286</v>
      </c>
      <c r="U11" s="21">
        <f>+Assumptions!U19</f>
        <v>2.9175128804347827</v>
      </c>
      <c r="V11" s="21">
        <f>+Assumptions!V19</f>
        <v>1.4611530594130895</v>
      </c>
      <c r="W11" s="21">
        <f>+Assumptions!W19</f>
        <v>1.6560972412976129</v>
      </c>
      <c r="X11" s="21">
        <f>+Assumptions!X19</f>
        <v>3.1172503007107024</v>
      </c>
      <c r="Y11" s="21">
        <f>+Assumptions!Y19</f>
        <v>1.5581204897195944</v>
      </c>
      <c r="Z11" s="21">
        <f>+Assumptions!Z19</f>
        <v>1.763977687894954</v>
      </c>
      <c r="AA11" s="21">
        <f>+Assumptions!AA19</f>
        <v>3.3220981776145484</v>
      </c>
      <c r="AB11" s="21">
        <f>+Assumptions!AB19</f>
        <v>1.6576817481304906</v>
      </c>
      <c r="AC11" s="21">
        <f>+Assumptions!AC19</f>
        <v>1.8748159807329787</v>
      </c>
      <c r="AD11" s="21">
        <f>+Assumptions!AD19</f>
        <v>3.5324977288634694</v>
      </c>
      <c r="AE11" s="21">
        <f>+Assumptions!AE19</f>
        <v>1.7600370179753733</v>
      </c>
      <c r="AF11" s="21">
        <f>+Assumptions!AF19</f>
        <v>1.9888261967809835</v>
      </c>
      <c r="AG11" s="21">
        <f>+Assumptions!AG19</f>
        <v>3.7488632147563568</v>
      </c>
      <c r="AH11" s="21">
        <f>+Assumptions!AH19</f>
        <v>1.8653765469616603</v>
      </c>
      <c r="AI11" s="21">
        <f>+Assumptions!AI19</f>
        <v>2.1062132470243382</v>
      </c>
      <c r="AJ11" s="21">
        <f>+Assumptions!AJ19</f>
        <v>3.9715897939859985</v>
      </c>
      <c r="AK11" s="21">
        <f>+Assumptions!AK19</f>
        <v>1.9738836615947821</v>
      </c>
      <c r="AL11" s="21">
        <f>+Assumptions!AL19</f>
        <v>2.2271757649326291</v>
      </c>
      <c r="AM11" s="21">
        <f>+Assumptions!AM19</f>
        <v>4.2010594265274115</v>
      </c>
      <c r="AN11" s="21">
        <f>+Assumptions!AN19</f>
        <v>2.0857370690851531</v>
      </c>
      <c r="AO11" s="21">
        <f>+Assumptions!AO19</f>
        <v>2.3519083356730124</v>
      </c>
      <c r="AP11" s="21">
        <f>+Assumptions!AP19</f>
        <v>4.4376454047581655</v>
      </c>
      <c r="AQ11" s="21">
        <f>+Assumptions!AQ19</f>
        <v>2.2011126512611292</v>
      </c>
      <c r="AR11" s="21">
        <f>+Assumptions!AR19</f>
        <v>2.4806032507587354</v>
      </c>
      <c r="AS11" s="21">
        <f>+Assumptions!AS19</f>
        <v>4.6817159020198647</v>
      </c>
      <c r="AT11" s="21">
        <f>+Assumptions!AT19</f>
        <v>2.3201848898654962</v>
      </c>
      <c r="AU11" s="21">
        <f>+Assumptions!AU19</f>
        <v>2.6134519154535321</v>
      </c>
      <c r="AV11" s="21">
        <f>+Assumptions!AV19</f>
        <v>4.9336368053190283</v>
      </c>
    </row>
    <row r="12" spans="1:48" x14ac:dyDescent="0.25">
      <c r="B12" s="8" t="s">
        <v>230</v>
      </c>
      <c r="C12" s="22" t="s">
        <v>28</v>
      </c>
      <c r="D12" s="12"/>
      <c r="E12" s="12"/>
      <c r="F12" s="21">
        <f>+Assumptions!F20</f>
        <v>0.17399999999999999</v>
      </c>
      <c r="G12" s="21">
        <f>+Assumptions!G20</f>
        <v>9.6000000000000002E-2</v>
      </c>
      <c r="H12" s="21">
        <f>+Assumptions!H20</f>
        <v>0.11399999999999999</v>
      </c>
      <c r="I12" s="21">
        <f>+Assumptions!I20</f>
        <v>0.21</v>
      </c>
      <c r="J12" s="19">
        <f>+Assumptions!J20</f>
        <v>0.126</v>
      </c>
      <c r="K12" s="21">
        <f>+Assumptions!K20</f>
        <v>0.11099999999999999</v>
      </c>
      <c r="L12" s="21">
        <f>+Assumptions!L20</f>
        <v>0.23699999999999999</v>
      </c>
      <c r="M12" s="291">
        <f>+Assumptions!M20</f>
        <v>0.13799999999999998</v>
      </c>
      <c r="N12" s="19">
        <f>+Assumptions!N20</f>
        <v>0.13499999999999998</v>
      </c>
      <c r="O12" s="19">
        <f>+Assumptions!O20</f>
        <v>0.27299999999999996</v>
      </c>
      <c r="P12" s="21">
        <f>+Assumptions!P20</f>
        <v>0.15179999999999999</v>
      </c>
      <c r="Q12" s="21">
        <f>+Assumptions!Q20</f>
        <v>0.16214999999999996</v>
      </c>
      <c r="R12" s="21">
        <f>+Assumptions!R20</f>
        <v>0.31394999999999995</v>
      </c>
      <c r="S12" s="21">
        <f>+Assumptions!S20</f>
        <v>0.18698999999999996</v>
      </c>
      <c r="T12" s="21">
        <f>+Assumptions!T20</f>
        <v>0.19498249999999992</v>
      </c>
      <c r="U12" s="21">
        <f>+Assumptions!U20</f>
        <v>0.38197249999999988</v>
      </c>
      <c r="V12" s="21">
        <f>+Assumptions!V20</f>
        <v>0.21753169999999994</v>
      </c>
      <c r="W12" s="21">
        <f>+Assumptions!W20</f>
        <v>0.22364653749999996</v>
      </c>
      <c r="X12" s="21">
        <f>+Assumptions!X20</f>
        <v>0.4411782374999999</v>
      </c>
      <c r="Y12" s="21">
        <f>+Assumptions!Y20</f>
        <v>0.24695572468421048</v>
      </c>
      <c r="Z12" s="21">
        <f>+Assumptions!Z20</f>
        <v>0.25157568369078931</v>
      </c>
      <c r="AA12" s="21">
        <f>+Assumptions!AA20</f>
        <v>0.49853140837499982</v>
      </c>
      <c r="AB12" s="21">
        <f>+Assumptions!AB20</f>
        <v>0.27583880726684201</v>
      </c>
      <c r="AC12" s="21">
        <f>+Assumptions!AC20</f>
        <v>0.27919282739065771</v>
      </c>
      <c r="AD12" s="21">
        <f>+Assumptions!AD20</f>
        <v>0.55503163465749972</v>
      </c>
      <c r="AE12" s="21">
        <f>+Assumptions!AE20</f>
        <v>0.30454647572683557</v>
      </c>
      <c r="AF12" s="21">
        <f>+Assumptions!AF20</f>
        <v>0.30678122473163905</v>
      </c>
      <c r="AG12" s="21">
        <f>+Assumptions!AG20</f>
        <v>0.61132770045847462</v>
      </c>
      <c r="AH12" s="21">
        <f>+Assumptions!AH20</f>
        <v>0.33333102972295259</v>
      </c>
      <c r="AI12" s="21">
        <f>+Assumptions!AI20</f>
        <v>0.33454448302793105</v>
      </c>
      <c r="AJ12" s="21">
        <f>+Assumptions!AJ20</f>
        <v>0.66787551275088364</v>
      </c>
      <c r="AK12" s="21">
        <f>+Assumptions!AK20</f>
        <v>0.36237844802738128</v>
      </c>
      <c r="AL12" s="21">
        <f>+Assumptions!AL20</f>
        <v>0.36263752525885584</v>
      </c>
      <c r="AM12" s="21">
        <f>+Assumptions!AM20</f>
        <v>0.72501597328623713</v>
      </c>
      <c r="AN12" s="21">
        <f>+Assumptions!AN20</f>
        <v>0.39183331162345303</v>
      </c>
      <c r="AO12" s="21">
        <f>+Assumptions!AO20</f>
        <v>0.39118393952568309</v>
      </c>
      <c r="AP12" s="21">
        <f>+Assumptions!AP20</f>
        <v>0.78301725114913612</v>
      </c>
      <c r="AQ12" s="21">
        <f>+Assumptions!AQ20</f>
        <v>0.42181311616394507</v>
      </c>
      <c r="AR12" s="21">
        <f>+Assumptions!AR20</f>
        <v>0.42028634575371676</v>
      </c>
      <c r="AS12" s="21">
        <f>+Assumptions!AS20</f>
        <v>0.84209946191766183</v>
      </c>
      <c r="AT12" s="21">
        <f>+Assumptions!AT20</f>
        <v>0.45241700395371209</v>
      </c>
      <c r="AU12" s="21">
        <f>+Assumptions!AU20</f>
        <v>0.45003291940138213</v>
      </c>
      <c r="AV12" s="21">
        <f>+Assumptions!AV20</f>
        <v>0.90244992335509422</v>
      </c>
    </row>
    <row r="13" spans="1:48" x14ac:dyDescent="0.25">
      <c r="B13" s="8" t="s">
        <v>26</v>
      </c>
      <c r="C13" s="22" t="s">
        <v>28</v>
      </c>
      <c r="D13" s="12"/>
      <c r="E13" s="12"/>
      <c r="F13" s="21">
        <f>+Assumptions!F21</f>
        <v>2.5</v>
      </c>
      <c r="G13" s="21">
        <f>+Assumptions!G21</f>
        <v>1.5</v>
      </c>
      <c r="H13" s="21">
        <f>+Assumptions!H21</f>
        <v>4.5</v>
      </c>
      <c r="I13" s="21">
        <f>+Assumptions!I21</f>
        <v>6</v>
      </c>
      <c r="J13" s="19">
        <f>+Assumptions!J21</f>
        <v>5.6</v>
      </c>
      <c r="K13" s="21">
        <f>+Assumptions!K21</f>
        <v>5.2000000000000011</v>
      </c>
      <c r="L13" s="21">
        <f>+Assumptions!L21</f>
        <v>10.8</v>
      </c>
      <c r="M13" s="292">
        <f>+Assumptions!M21</f>
        <v>3.3360000000000003</v>
      </c>
      <c r="N13" s="19">
        <f>+Assumptions!N21</f>
        <v>5.8639999999999999</v>
      </c>
      <c r="O13" s="19">
        <f>+Assumptions!O21</f>
        <v>9.2000000000000011</v>
      </c>
      <c r="P13" s="21">
        <f>+Assumptions!P21</f>
        <v>5.4134693877551028</v>
      </c>
      <c r="Q13" s="21">
        <f>+Assumptions!Q21</f>
        <v>7.1694426369863011</v>
      </c>
      <c r="R13" s="21">
        <f>+Assumptions!R21</f>
        <v>12.73775</v>
      </c>
      <c r="S13" s="21">
        <f>+Assumptions!S21</f>
        <v>7.825499999999999</v>
      </c>
      <c r="T13" s="21">
        <f>+Assumptions!T21</f>
        <v>10.327420761986303</v>
      </c>
      <c r="U13" s="21">
        <f>+Assumptions!U21</f>
        <v>18.382575000000003</v>
      </c>
      <c r="V13" s="21">
        <f>+Assumptions!V21</f>
        <v>11.527799999999999</v>
      </c>
      <c r="W13" s="21">
        <f>+Assumptions!W21</f>
        <v>13.642629092465759</v>
      </c>
      <c r="X13" s="21">
        <f>+Assumptions!X21</f>
        <v>25.615605000000006</v>
      </c>
      <c r="Y13" s="21">
        <f>+Assumptions!Y21</f>
        <v>12.096690000000001</v>
      </c>
      <c r="Z13" s="21">
        <f>+Assumptions!Z21</f>
        <v>14.317260547089047</v>
      </c>
      <c r="AA13" s="21">
        <f>+Assumptions!AA21</f>
        <v>26.881385250000008</v>
      </c>
      <c r="AB13" s="21">
        <f>+Assumptions!AB21</f>
        <v>12.694024500000003</v>
      </c>
      <c r="AC13" s="21">
        <f>+Assumptions!AC21</f>
        <v>15.0256235744435</v>
      </c>
      <c r="AD13" s="21">
        <f>+Assumptions!AD21</f>
        <v>28.210454512500011</v>
      </c>
      <c r="AE13" s="21">
        <f>+Assumptions!AE21</f>
        <v>13.321225725000003</v>
      </c>
      <c r="AF13" s="21">
        <f>+Assumptions!AF21</f>
        <v>15.769404753165674</v>
      </c>
      <c r="AG13" s="21">
        <f>+Assumptions!AG21</f>
        <v>29.605977238125011</v>
      </c>
      <c r="AH13" s="21">
        <f>+Assumptions!AH21</f>
        <v>13.979787011250002</v>
      </c>
      <c r="AI13" s="21">
        <f>+Assumptions!AI21</f>
        <v>16.550374990823954</v>
      </c>
      <c r="AJ13" s="21">
        <f>+Assumptions!AJ21</f>
        <v>31.071276100031255</v>
      </c>
      <c r="AK13" s="21">
        <f>+Assumptions!AK21</f>
        <v>14.671276361812502</v>
      </c>
      <c r="AL13" s="21">
        <f>+Assumptions!AL21</f>
        <v>17.370393740365159</v>
      </c>
      <c r="AM13" s="21">
        <f>+Assumptions!AM21</f>
        <v>32.609839905032821</v>
      </c>
      <c r="AN13" s="21">
        <f>+Assumptions!AN21</f>
        <v>15.397340179903129</v>
      </c>
      <c r="AO13" s="21">
        <f>+Assumptions!AO21</f>
        <v>18.231413427383412</v>
      </c>
      <c r="AP13" s="21">
        <f>+Assumptions!AP21</f>
        <v>34.225331900284459</v>
      </c>
      <c r="AQ13" s="21">
        <f>+Assumptions!AQ21</f>
        <v>16.159707188898285</v>
      </c>
      <c r="AR13" s="21">
        <f>+Assumptions!AR21</f>
        <v>19.135484098752585</v>
      </c>
      <c r="AS13" s="21">
        <f>+Assumptions!AS21</f>
        <v>35.921598495298689</v>
      </c>
      <c r="AT13" s="21">
        <f>+Assumptions!AT21</f>
        <v>16.960192548343201</v>
      </c>
      <c r="AU13" s="21">
        <f>+Assumptions!AU21</f>
        <v>20.084758303690226</v>
      </c>
      <c r="AV13" s="21">
        <f>+Assumptions!AV21</f>
        <v>37.702678420063634</v>
      </c>
    </row>
    <row r="14" spans="1:48" x14ac:dyDescent="0.25">
      <c r="A14" s="8" t="s">
        <v>676</v>
      </c>
      <c r="B14" s="8" t="s">
        <v>82</v>
      </c>
      <c r="C14" s="22" t="s">
        <v>28</v>
      </c>
      <c r="D14" s="12"/>
      <c r="E14" s="12"/>
      <c r="F14" s="19">
        <f>+Assumptions!F178</f>
        <v>13.3</v>
      </c>
      <c r="G14" s="19">
        <f>+Assumptions!G178</f>
        <v>8.6999999999999993</v>
      </c>
      <c r="H14" s="19">
        <f>+Assumptions!H178</f>
        <v>9</v>
      </c>
      <c r="I14" s="19">
        <f>+Assumptions!I178</f>
        <v>17.7</v>
      </c>
      <c r="J14" s="19">
        <f>+Assumptions!J178</f>
        <v>11.7</v>
      </c>
      <c r="K14" s="19">
        <f>+Assumptions!K178</f>
        <v>11.074000000000002</v>
      </c>
      <c r="L14" s="19">
        <f>+Assumptions!L178</f>
        <v>22.774000000000001</v>
      </c>
      <c r="M14" s="291">
        <f>+Assumptions!M178</f>
        <v>14.711</v>
      </c>
      <c r="N14" s="19">
        <f>+Assumptions!N178</f>
        <v>17.313000000000002</v>
      </c>
      <c r="O14" s="19">
        <f>+Assumptions!O178</f>
        <v>32.024000000000001</v>
      </c>
      <c r="P14" s="19">
        <f>+Assumptions!P178</f>
        <v>15.741794974236598</v>
      </c>
      <c r="Q14" s="19">
        <f>+Assumptions!Q178</f>
        <v>16.185482397238424</v>
      </c>
      <c r="R14" s="19">
        <f>+Assumptions!R178</f>
        <v>31.927277371475022</v>
      </c>
      <c r="S14" s="19">
        <f>+Assumptions!S178</f>
        <v>18.42045169254753</v>
      </c>
      <c r="T14" s="19">
        <f>+Assumptions!T178</f>
        <v>19.684845137107231</v>
      </c>
      <c r="U14" s="19">
        <f>+Assumptions!U178</f>
        <v>38.105296829654762</v>
      </c>
      <c r="V14" s="19">
        <f>+Assumptions!V178</f>
        <v>21.943393460782879</v>
      </c>
      <c r="W14" s="19">
        <f>+Assumptions!W178</f>
        <v>23.460898101838438</v>
      </c>
      <c r="X14" s="19">
        <f>+Assumptions!X178</f>
        <v>45.404291562621317</v>
      </c>
      <c r="Y14" s="19">
        <f>+Assumptions!Y178</f>
        <v>25.949759661056905</v>
      </c>
      <c r="Z14" s="19">
        <f>+Assumptions!Z178</f>
        <v>27.621680091570557</v>
      </c>
      <c r="AA14" s="19">
        <f>+Assumptions!AA178</f>
        <v>53.571439752627462</v>
      </c>
      <c r="AB14" s="19">
        <f>+Assumptions!AB178</f>
        <v>30.167497820527842</v>
      </c>
      <c r="AC14" s="19">
        <f>+Assumptions!AC178</f>
        <v>31.865750680145808</v>
      </c>
      <c r="AD14" s="19">
        <f>+Assumptions!AD178</f>
        <v>62.03324850067365</v>
      </c>
      <c r="AE14" s="19">
        <f>+Assumptions!AE178</f>
        <v>34.662051032900187</v>
      </c>
      <c r="AF14" s="19">
        <f>+Assumptions!AF178</f>
        <v>36.52845492410713</v>
      </c>
      <c r="AG14" s="19">
        <f>+Assumptions!AG178</f>
        <v>71.190505957007318</v>
      </c>
      <c r="AH14" s="19">
        <f>+Assumptions!AH178</f>
        <v>39.59930216784641</v>
      </c>
      <c r="AI14" s="19">
        <f>+Assumptions!AI178</f>
        <v>41.649394509224216</v>
      </c>
      <c r="AJ14" s="19">
        <f>+Assumptions!AJ178</f>
        <v>81.248696677070626</v>
      </c>
      <c r="AK14" s="19">
        <f>+Assumptions!AK178</f>
        <v>45.016121616401044</v>
      </c>
      <c r="AL14" s="19">
        <f>+Assumptions!AL178</f>
        <v>47.266712669611117</v>
      </c>
      <c r="AM14" s="19">
        <f>+Assumptions!AM178</f>
        <v>92.282834286012161</v>
      </c>
      <c r="AN14" s="19">
        <f>+Assumptions!AN178</f>
        <v>49.811221500351337</v>
      </c>
      <c r="AO14" s="19">
        <f>+Assumptions!AO178</f>
        <v>52.057438163472341</v>
      </c>
      <c r="AP14" s="19">
        <f>+Assumptions!AP178</f>
        <v>101.86865966382368</v>
      </c>
      <c r="AQ14" s="19">
        <f>+Assumptions!AQ178</f>
        <v>54.70155073535232</v>
      </c>
      <c r="AR14" s="19">
        <f>+Assumptions!AR178</f>
        <v>57.117188939904132</v>
      </c>
      <c r="AS14" s="19">
        <f>+Assumptions!AS178</f>
        <v>111.81873967525645</v>
      </c>
      <c r="AT14" s="19">
        <f>+Assumptions!AT178</f>
        <v>59.908702697232805</v>
      </c>
      <c r="AU14" s="19">
        <f>+Assumptions!AU178</f>
        <v>62.504870001042313</v>
      </c>
      <c r="AV14" s="19">
        <f>+Assumptions!AV178</f>
        <v>122.41357269827512</v>
      </c>
    </row>
    <row r="15" spans="1:48" x14ac:dyDescent="0.25">
      <c r="A15" s="8" t="s">
        <v>295</v>
      </c>
      <c r="B15" s="76" t="s">
        <v>231</v>
      </c>
      <c r="C15" s="162" t="s">
        <v>28</v>
      </c>
      <c r="D15" s="76"/>
      <c r="E15" s="76"/>
      <c r="F15" s="77">
        <f>SUM(F10:F14)</f>
        <v>185.1</v>
      </c>
      <c r="G15" s="77">
        <f t="shared" ref="G15:X15" si="0">SUM(G10:G14)</f>
        <v>130.39249999999998</v>
      </c>
      <c r="H15" s="77">
        <f t="shared" si="0"/>
        <v>146.40750000000003</v>
      </c>
      <c r="I15" s="77">
        <f t="shared" si="0"/>
        <v>276.8</v>
      </c>
      <c r="J15" s="77">
        <f t="shared" si="0"/>
        <v>180.17099999999996</v>
      </c>
      <c r="K15" s="77">
        <f t="shared" ref="K15:M15" si="1">SUM(K10:K14)</f>
        <v>184.80599999999998</v>
      </c>
      <c r="L15" s="77">
        <f t="shared" si="1"/>
        <v>364.97700000000003</v>
      </c>
      <c r="M15" s="425">
        <f t="shared" si="1"/>
        <v>227.23400000000001</v>
      </c>
      <c r="N15" s="77">
        <f t="shared" si="0"/>
        <v>241.08100000000002</v>
      </c>
      <c r="O15" s="77">
        <f t="shared" si="0"/>
        <v>468.315</v>
      </c>
      <c r="P15" s="77">
        <f t="shared" si="0"/>
        <v>285.35205311527272</v>
      </c>
      <c r="Q15" s="77">
        <f t="shared" si="0"/>
        <v>312.14902494276947</v>
      </c>
      <c r="R15" s="77">
        <f t="shared" si="0"/>
        <v>597.65591603330074</v>
      </c>
      <c r="S15" s="77">
        <f t="shared" si="0"/>
        <v>344.13219639248518</v>
      </c>
      <c r="T15" s="77">
        <f t="shared" si="0"/>
        <v>380.69900263966872</v>
      </c>
      <c r="U15" s="77">
        <f t="shared" si="0"/>
        <v>725.06085327016763</v>
      </c>
      <c r="V15" s="77">
        <f t="shared" si="0"/>
        <v>421.92355333647515</v>
      </c>
      <c r="W15" s="77">
        <f t="shared" si="0"/>
        <v>456.71666137045452</v>
      </c>
      <c r="X15" s="77">
        <f t="shared" si="0"/>
        <v>879.08539061446379</v>
      </c>
      <c r="Y15" s="77">
        <f t="shared" ref="Y15:AA15" si="2">SUM(Y10:Y14)</f>
        <v>503.80815170343737</v>
      </c>
      <c r="Z15" s="77">
        <f t="shared" si="2"/>
        <v>545.754922252033</v>
      </c>
      <c r="AA15" s="77">
        <f t="shared" si="2"/>
        <v>1050.0305086583812</v>
      </c>
      <c r="AB15" s="77">
        <f t="shared" ref="AB15:AP15" si="3">SUM(AB10:AB14)</f>
        <v>588.49484475110557</v>
      </c>
      <c r="AC15" s="77">
        <f t="shared" si="3"/>
        <v>638.30597107955509</v>
      </c>
      <c r="AD15" s="77">
        <f t="shared" si="3"/>
        <v>1227.2916222687174</v>
      </c>
      <c r="AE15" s="77">
        <f t="shared" si="3"/>
        <v>677.2345273750708</v>
      </c>
      <c r="AF15" s="77">
        <f t="shared" si="3"/>
        <v>732.07384394298936</v>
      </c>
      <c r="AG15" s="77">
        <f t="shared" si="3"/>
        <v>1409.8237180780195</v>
      </c>
      <c r="AH15" s="77">
        <f t="shared" si="3"/>
        <v>773.52711453842358</v>
      </c>
      <c r="AI15" s="77">
        <f t="shared" si="3"/>
        <v>833.78172331343103</v>
      </c>
      <c r="AJ15" s="77">
        <f t="shared" si="3"/>
        <v>1607.8499519498123</v>
      </c>
      <c r="AK15" s="77">
        <f t="shared" si="3"/>
        <v>877.90700022292481</v>
      </c>
      <c r="AL15" s="77">
        <f t="shared" si="3"/>
        <v>943.98954462786776</v>
      </c>
      <c r="AM15" s="77">
        <f t="shared" si="3"/>
        <v>1822.4647146536477</v>
      </c>
      <c r="AN15" s="77">
        <f t="shared" si="3"/>
        <v>970.08456341286228</v>
      </c>
      <c r="AO15" s="77">
        <f t="shared" si="3"/>
        <v>1037.1087735448261</v>
      </c>
      <c r="AP15" s="77">
        <f t="shared" si="3"/>
        <v>2007.7899152506861</v>
      </c>
      <c r="AQ15" s="77">
        <f t="shared" ref="AQ15:AS15" si="4">SUM(AQ10:AQ14)</f>
        <v>1059.4481092040321</v>
      </c>
      <c r="AR15" s="77">
        <f t="shared" si="4"/>
        <v>1131.1084200273658</v>
      </c>
      <c r="AS15" s="77">
        <f t="shared" si="4"/>
        <v>2191.182936439046</v>
      </c>
      <c r="AT15" s="77">
        <f t="shared" ref="AT15:AV15" si="5">SUM(AT10:AT14)</f>
        <v>1152.8095183631633</v>
      </c>
      <c r="AU15" s="77">
        <f t="shared" si="5"/>
        <v>1229.2915244278399</v>
      </c>
      <c r="AV15" s="77">
        <f t="shared" si="5"/>
        <v>2382.7587703590334</v>
      </c>
    </row>
    <row r="16" spans="1:48" x14ac:dyDescent="0.25">
      <c r="B16" s="11" t="s">
        <v>27</v>
      </c>
      <c r="C16" s="56" t="s">
        <v>29</v>
      </c>
      <c r="D16" s="12"/>
      <c r="E16" s="12"/>
      <c r="F16" s="52"/>
      <c r="G16" s="52"/>
      <c r="H16" s="52"/>
      <c r="I16" s="28">
        <f>I15/F15-1</f>
        <v>0.49540788762830923</v>
      </c>
      <c r="J16" s="303">
        <f t="shared" ref="J16:X16" si="6">J15/G15-1</f>
        <v>0.38175892018329272</v>
      </c>
      <c r="K16" s="303">
        <f t="shared" ref="K16" si="7">K15/H15-1</f>
        <v>0.26227140003073579</v>
      </c>
      <c r="L16" s="303">
        <f t="shared" ref="L16" si="8">L15/I15-1</f>
        <v>0.31855852601156065</v>
      </c>
      <c r="M16" s="426">
        <f t="shared" si="6"/>
        <v>0.26121295880025119</v>
      </c>
      <c r="N16" s="28">
        <f t="shared" si="6"/>
        <v>0.30450851162841053</v>
      </c>
      <c r="O16" s="28">
        <f t="shared" si="6"/>
        <v>0.2831356496436761</v>
      </c>
      <c r="P16" s="28">
        <f t="shared" si="6"/>
        <v>0.25576301572507942</v>
      </c>
      <c r="Q16" s="28">
        <f t="shared" si="6"/>
        <v>0.29478899184410823</v>
      </c>
      <c r="R16" s="28">
        <f t="shared" si="6"/>
        <v>0.27618358590542846</v>
      </c>
      <c r="S16" s="28">
        <f t="shared" si="6"/>
        <v>0.20599166060132479</v>
      </c>
      <c r="T16" s="28">
        <f t="shared" si="6"/>
        <v>0.2196065732047936</v>
      </c>
      <c r="U16" s="28">
        <f t="shared" si="6"/>
        <v>0.21317439319009113</v>
      </c>
      <c r="V16" s="28">
        <f t="shared" si="6"/>
        <v>0.22605079605881562</v>
      </c>
      <c r="W16" s="28">
        <f t="shared" si="6"/>
        <v>0.19967916438892397</v>
      </c>
      <c r="X16" s="28">
        <f t="shared" si="6"/>
        <v>0.21242980730460781</v>
      </c>
      <c r="Y16" s="28">
        <f t="shared" ref="Y16" si="9">Y15/V15-1</f>
        <v>0.19407448984404296</v>
      </c>
      <c r="Z16" s="28">
        <f t="shared" ref="Z16" si="10">Z15/W15-1</f>
        <v>0.19495295094863474</v>
      </c>
      <c r="AA16" s="28">
        <f t="shared" ref="AA16" si="11">AA15/X15-1</f>
        <v>0.1944579216865725</v>
      </c>
      <c r="AB16" s="28">
        <f t="shared" ref="AB16" si="12">AB15/Y15-1</f>
        <v>0.16809313775756118</v>
      </c>
      <c r="AC16" s="28">
        <f t="shared" ref="AC16" si="13">AC15/Z15-1</f>
        <v>0.16958353475881505</v>
      </c>
      <c r="AD16" s="28">
        <f t="shared" ref="AD16" si="14">AD15/AA15-1</f>
        <v>0.16881520312854703</v>
      </c>
      <c r="AE16" s="28">
        <f t="shared" ref="AE16" si="15">AE15/AB15-1</f>
        <v>0.15079092606409539</v>
      </c>
      <c r="AF16" s="28">
        <f t="shared" ref="AF16" si="16">AF15/AC15-1</f>
        <v>0.14690113693413576</v>
      </c>
      <c r="AG16" s="28">
        <f t="shared" ref="AG16" si="17">AG15/AD15-1</f>
        <v>0.14872756604651238</v>
      </c>
      <c r="AH16" s="28">
        <f t="shared" ref="AH16" si="18">AH15/AE15-1</f>
        <v>0.14218499392902828</v>
      </c>
      <c r="AI16" s="28">
        <f t="shared" ref="AI16" si="19">AI15/AF15-1</f>
        <v>0.13893117506102604</v>
      </c>
      <c r="AJ16" s="28">
        <f t="shared" ref="AJ16" si="20">AJ15/AG15-1</f>
        <v>0.14046169839003508</v>
      </c>
      <c r="AK16" s="28">
        <f t="shared" ref="AK16" si="21">AK15/AH15-1</f>
        <v>0.13494017691517701</v>
      </c>
      <c r="AL16" s="28">
        <f t="shared" ref="AL16" si="22">AL15/AI15-1</f>
        <v>0.13217826468595772</v>
      </c>
      <c r="AM16" s="28">
        <f t="shared" ref="AM16" si="23">AM15/AJ15-1</f>
        <v>0.13347934764906122</v>
      </c>
      <c r="AN16" s="28">
        <f t="shared" ref="AN16" si="24">AN15/AK15-1</f>
        <v>0.10499695658712271</v>
      </c>
      <c r="AO16" s="28">
        <f t="shared" ref="AO16" si="25">AO15/AL15-1</f>
        <v>9.864434351724416E-2</v>
      </c>
      <c r="AP16" s="28">
        <f t="shared" ref="AP16" si="26">AP15/AM15-1</f>
        <v>0.10168932166802414</v>
      </c>
      <c r="AQ16" s="28">
        <f t="shared" ref="AQ16" si="27">AQ15/AN15-1</f>
        <v>9.2119335944053304E-2</v>
      </c>
      <c r="AR16" s="28">
        <f t="shared" ref="AR16" si="28">AR15/AO15-1</f>
        <v>9.0636246534922194E-2</v>
      </c>
      <c r="AS16" s="28">
        <f t="shared" ref="AS16" si="29">AS15/AP15-1</f>
        <v>9.1340742273557041E-2</v>
      </c>
      <c r="AT16" s="28">
        <f t="shared" ref="AT16" si="30">AT15/AQ15-1</f>
        <v>8.8122682317375522E-2</v>
      </c>
      <c r="AU16" s="28">
        <f t="shared" ref="AU16" si="31">AU15/AR15-1</f>
        <v>8.6802558147430986E-2</v>
      </c>
      <c r="AV16" s="28">
        <f t="shared" ref="AV16" si="32">AV15/AS15-1</f>
        <v>8.7430323928737286E-2</v>
      </c>
    </row>
    <row r="17" spans="1:57" x14ac:dyDescent="0.25">
      <c r="F17" s="19"/>
      <c r="G17" s="19"/>
      <c r="H17" s="19"/>
      <c r="I17" s="19"/>
      <c r="J17" s="19"/>
      <c r="K17" s="19"/>
      <c r="L17" s="19"/>
      <c r="M17" s="291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</row>
    <row r="18" spans="1:57" x14ac:dyDescent="0.25">
      <c r="A18" s="8" t="s">
        <v>312</v>
      </c>
      <c r="B18" s="8" t="s">
        <v>64</v>
      </c>
      <c r="C18" s="22" t="s">
        <v>28</v>
      </c>
      <c r="F18" s="8">
        <f>Assumptions!F208</f>
        <v>-44.2</v>
      </c>
      <c r="G18" s="8">
        <f>Assumptions!G208</f>
        <v>-32.9</v>
      </c>
      <c r="H18" s="8">
        <f>Assumptions!H208</f>
        <v>-37.500000000000007</v>
      </c>
      <c r="I18" s="8">
        <f>Assumptions!I208</f>
        <v>-70.400000000000006</v>
      </c>
      <c r="J18" s="8">
        <f>Assumptions!J208</f>
        <v>-43.2</v>
      </c>
      <c r="K18" s="19">
        <f>Assumptions!K208</f>
        <v>-44.379999999999995</v>
      </c>
      <c r="L18" s="19">
        <f>Assumptions!L208</f>
        <v>-87.58</v>
      </c>
      <c r="M18" s="291">
        <f>Assumptions!M208</f>
        <v>-55.070999999999998</v>
      </c>
      <c r="N18" s="19">
        <f>Assumptions!N208</f>
        <v>-58.876999999999995</v>
      </c>
      <c r="O18" s="19">
        <f>+M18+N18</f>
        <v>-113.94799999999999</v>
      </c>
      <c r="P18" s="19">
        <v>-74.560760947537673</v>
      </c>
      <c r="Q18" s="19">
        <v>-83.228511289591509</v>
      </c>
      <c r="R18" s="21">
        <f t="shared" ref="R18" si="33">+P18+Q18</f>
        <v>-157.78927223712918</v>
      </c>
      <c r="S18" s="19">
        <v>-90.509340540334989</v>
      </c>
      <c r="T18" s="19">
        <v>-101.37452825095545</v>
      </c>
      <c r="U18" s="21">
        <f t="shared" ref="U18" si="34">+S18+T18</f>
        <v>-191.88386879129044</v>
      </c>
      <c r="V18" s="19">
        <v>-110.54824518104169</v>
      </c>
      <c r="W18" s="19">
        <v>-122.53885469634642</v>
      </c>
      <c r="X18" s="21">
        <f t="shared" ref="X18" si="35">+V18+W18</f>
        <v>-233.08709987738811</v>
      </c>
      <c r="Y18" s="19">
        <v>-130.43738328667217</v>
      </c>
      <c r="Z18" s="19">
        <v>-143.82865570417704</v>
      </c>
      <c r="AA18" s="21">
        <f t="shared" ref="AA18" si="36">+Y18+Z18</f>
        <v>-274.26603899084921</v>
      </c>
      <c r="AB18" s="19">
        <v>-151.42873957479799</v>
      </c>
      <c r="AC18" s="19">
        <v>-165.47742005666407</v>
      </c>
      <c r="AD18" s="21">
        <f t="shared" ref="AD18" si="37">+AB18+AC18</f>
        <v>-316.90615963146206</v>
      </c>
      <c r="AE18" s="19">
        <v>-173.50018634446837</v>
      </c>
      <c r="AF18" s="19">
        <v>-189.09403446904264</v>
      </c>
      <c r="AG18" s="21">
        <f t="shared" ref="AG18" si="38">+AE18+AF18</f>
        <v>-362.59422081351101</v>
      </c>
      <c r="AH18" s="19">
        <v>-197.400824840924</v>
      </c>
      <c r="AI18" s="19">
        <v>-214.6603906138042</v>
      </c>
      <c r="AJ18" s="21">
        <f t="shared" ref="AJ18" si="39">+AH18+AI18</f>
        <v>-412.0612154547282</v>
      </c>
      <c r="AK18" s="19">
        <v>-223.25828580449047</v>
      </c>
      <c r="AL18" s="19">
        <v>-242.31211603227962</v>
      </c>
      <c r="AM18" s="21">
        <f t="shared" ref="AM18" si="40">+AK18+AL18</f>
        <v>-465.57040183677009</v>
      </c>
      <c r="AN18" s="19">
        <v>-246.2134360985238</v>
      </c>
      <c r="AO18" s="19">
        <v>-265.7938817173885</v>
      </c>
      <c r="AP18" s="21">
        <f t="shared" ref="AP18" si="41">+AN18+AO18</f>
        <v>-512.0073178159123</v>
      </c>
      <c r="AQ18" s="19">
        <v>-268.41787253161925</v>
      </c>
      <c r="AR18" s="19">
        <v>-289.43619309039337</v>
      </c>
      <c r="AS18" s="21">
        <f t="shared" ref="AS18" si="42">+AQ18+AR18</f>
        <v>-557.85406562201263</v>
      </c>
      <c r="AT18" s="19">
        <v>-291.73875652857379</v>
      </c>
      <c r="AU18" s="19">
        <v>-314.26401443329559</v>
      </c>
      <c r="AV18" s="21">
        <f t="shared" ref="AV18" si="43">+AT18+AU18</f>
        <v>-606.00277096186937</v>
      </c>
    </row>
    <row r="19" spans="1:57" x14ac:dyDescent="0.25">
      <c r="B19" s="11" t="s">
        <v>27</v>
      </c>
      <c r="C19" s="22" t="s">
        <v>29</v>
      </c>
      <c r="I19" s="14">
        <f>I18/F18-1</f>
        <v>0.59276018099547523</v>
      </c>
      <c r="J19" s="254">
        <f t="shared" ref="J19" si="44">J18/G18-1</f>
        <v>0.31306990881458985</v>
      </c>
      <c r="K19" s="254">
        <f t="shared" ref="K19" si="45">K18/H18-1</f>
        <v>0.18346666666666622</v>
      </c>
      <c r="L19" s="254">
        <f t="shared" ref="L19:M19" si="46">L18/I18-1</f>
        <v>0.24403409090909078</v>
      </c>
      <c r="M19" s="287">
        <f t="shared" si="46"/>
        <v>0.27479166666666655</v>
      </c>
      <c r="N19" s="14">
        <f>N18/K18-1</f>
        <v>0.32665615141955828</v>
      </c>
      <c r="O19" s="14">
        <f>O18/L18-1</f>
        <v>0.30107330440739899</v>
      </c>
      <c r="P19" s="14">
        <f t="shared" ref="P19" si="47">P18/M18-1</f>
        <v>0.35390243408577438</v>
      </c>
      <c r="Q19" s="14">
        <f t="shared" ref="Q19" si="48">Q18/N18-1</f>
        <v>0.41359972976869597</v>
      </c>
      <c r="R19" s="14">
        <f t="shared" ref="R19" si="49">R18/O18-1</f>
        <v>0.38474806259986294</v>
      </c>
      <c r="S19" s="14">
        <f t="shared" ref="S19" si="50">S18/P18-1</f>
        <v>0.21390044025997845</v>
      </c>
      <c r="T19" s="14">
        <f t="shared" ref="T19" si="51">T18/Q18-1</f>
        <v>0.21802645127491616</v>
      </c>
      <c r="U19" s="14">
        <f t="shared" ref="U19" si="52">U18/R18-1</f>
        <v>0.21607677170171069</v>
      </c>
      <c r="V19" s="14">
        <f t="shared" ref="V19" si="53">V18/S18-1</f>
        <v>0.2214015097345281</v>
      </c>
      <c r="W19" s="14">
        <f t="shared" ref="W19" si="54">W18/T18-1</f>
        <v>0.20877361217403734</v>
      </c>
      <c r="X19" s="14">
        <f t="shared" ref="X19" si="55">X18/U18-1</f>
        <v>0.21473004138202922</v>
      </c>
      <c r="Y19" s="14">
        <f t="shared" ref="Y19" si="56">Y18/V18-1</f>
        <v>0.17991364831760648</v>
      </c>
      <c r="Z19" s="14">
        <f t="shared" ref="Z19" si="57">Z18/W18-1</f>
        <v>0.17373918713853786</v>
      </c>
      <c r="AA19" s="14">
        <f t="shared" ref="AA19" si="58">AA18/X18-1</f>
        <v>0.17666760251906966</v>
      </c>
      <c r="AB19" s="14">
        <f t="shared" ref="AB19" si="59">AB18/Y18-1</f>
        <v>0.16093052282405496</v>
      </c>
      <c r="AC19" s="14">
        <f t="shared" ref="AC19" si="60">AC18/Z18-1</f>
        <v>0.15051774103356452</v>
      </c>
      <c r="AD19" s="14">
        <f t="shared" ref="AD19" si="61">AD18/AA18-1</f>
        <v>0.15546992546910099</v>
      </c>
      <c r="AE19" s="14">
        <f t="shared" ref="AE19" si="62">AE18/AB18-1</f>
        <v>0.14575467531226605</v>
      </c>
      <c r="AF19" s="14">
        <f t="shared" ref="AF19" si="63">AF18/AC18-1</f>
        <v>0.14271804820435063</v>
      </c>
      <c r="AG19" s="14">
        <f t="shared" ref="AG19" si="64">AG18/AD18-1</f>
        <v>0.14416905381448153</v>
      </c>
      <c r="AH19" s="14">
        <f t="shared" ref="AH19" si="65">AH18/AE18-1</f>
        <v>0.13775569352417372</v>
      </c>
      <c r="AI19" s="14">
        <f t="shared" ref="AI19" si="66">AI18/AF18-1</f>
        <v>0.13520445643115786</v>
      </c>
      <c r="AJ19" s="14">
        <f t="shared" ref="AJ19" si="67">AJ18/AG18-1</f>
        <v>0.13642521530054652</v>
      </c>
      <c r="AK19" s="14">
        <f t="shared" ref="AK19" si="68">AK18/AH18-1</f>
        <v>0.13098962977689577</v>
      </c>
      <c r="AL19" s="14">
        <f t="shared" ref="AL19" si="69">AL18/AI18-1</f>
        <v>0.12881615159372228</v>
      </c>
      <c r="AM19" s="14">
        <f t="shared" ref="AM19" si="70">AM18/AJ18-1</f>
        <v>0.12985737161162358</v>
      </c>
      <c r="AN19" s="14">
        <f t="shared" ref="AN19" si="71">AN18/AK18-1</f>
        <v>0.10281880563275214</v>
      </c>
      <c r="AO19" s="14">
        <f t="shared" ref="AO19" si="72">AO18/AL18-1</f>
        <v>9.6907105057762566E-2</v>
      </c>
      <c r="AP19" s="14">
        <f t="shared" ref="AP19" si="73">AP18/AM18-1</f>
        <v>9.9741984876914769E-2</v>
      </c>
      <c r="AQ19" s="14">
        <f t="shared" ref="AQ19" si="74">AQ18/AN18-1</f>
        <v>9.0183690967255759E-2</v>
      </c>
      <c r="AR19" s="14">
        <f t="shared" ref="AR19" si="75">AR18/AO18-1</f>
        <v>8.8949795308468138E-2</v>
      </c>
      <c r="AS19" s="14">
        <f t="shared" ref="AS19" si="76">AS18/AP18-1</f>
        <v>8.9543149503547026E-2</v>
      </c>
      <c r="AT19" s="14">
        <f t="shared" ref="AT19" si="77">AT18/AQ18-1</f>
        <v>8.6882754031989418E-2</v>
      </c>
      <c r="AU19" s="14">
        <f t="shared" ref="AU19" si="78">AU18/AR18-1</f>
        <v>8.5779947137254675E-2</v>
      </c>
      <c r="AV19" s="14">
        <f t="shared" ref="AV19" si="79">AV18/AS18-1</f>
        <v>8.6310575304619386E-2</v>
      </c>
    </row>
    <row r="20" spans="1:57" x14ac:dyDescent="0.25"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</row>
    <row r="21" spans="1:57" s="12" customFormat="1" x14ac:dyDescent="0.25">
      <c r="B21" s="12" t="s">
        <v>227</v>
      </c>
      <c r="C21" s="56" t="s">
        <v>28</v>
      </c>
      <c r="F21" s="52">
        <f>F15+F18</f>
        <v>140.89999999999998</v>
      </c>
      <c r="G21" s="52">
        <f t="shared" ref="G21:X21" si="80">G15+G18</f>
        <v>97.492499999999978</v>
      </c>
      <c r="H21" s="52">
        <f t="shared" ref="H21:M21" si="81">H15+H18</f>
        <v>108.90750000000003</v>
      </c>
      <c r="I21" s="52">
        <f t="shared" si="81"/>
        <v>206.4</v>
      </c>
      <c r="J21" s="52">
        <f t="shared" si="81"/>
        <v>136.97099999999995</v>
      </c>
      <c r="K21" s="52">
        <f t="shared" si="81"/>
        <v>140.42599999999999</v>
      </c>
      <c r="L21" s="52">
        <f t="shared" si="81"/>
        <v>277.39700000000005</v>
      </c>
      <c r="M21" s="424">
        <f t="shared" si="81"/>
        <v>172.16300000000001</v>
      </c>
      <c r="N21" s="52">
        <f t="shared" si="80"/>
        <v>182.20400000000001</v>
      </c>
      <c r="O21" s="52">
        <f t="shared" si="80"/>
        <v>354.36700000000002</v>
      </c>
      <c r="P21" s="52">
        <f t="shared" si="80"/>
        <v>210.79129216773504</v>
      </c>
      <c r="Q21" s="52">
        <f t="shared" si="80"/>
        <v>228.92051365317798</v>
      </c>
      <c r="R21" s="52">
        <f t="shared" si="80"/>
        <v>439.86664379617156</v>
      </c>
      <c r="S21" s="52">
        <f t="shared" si="80"/>
        <v>253.6228558521502</v>
      </c>
      <c r="T21" s="52">
        <f t="shared" si="80"/>
        <v>279.32447438871327</v>
      </c>
      <c r="U21" s="52">
        <f t="shared" si="80"/>
        <v>533.17698447887722</v>
      </c>
      <c r="V21" s="52">
        <f t="shared" si="80"/>
        <v>311.37530815543346</v>
      </c>
      <c r="W21" s="52">
        <f t="shared" si="80"/>
        <v>334.17780667410807</v>
      </c>
      <c r="X21" s="52">
        <f t="shared" si="80"/>
        <v>645.99829073707565</v>
      </c>
      <c r="Y21" s="52">
        <f t="shared" ref="Y21:AA21" si="82">Y15+Y18</f>
        <v>373.3707684167652</v>
      </c>
      <c r="Z21" s="52">
        <f t="shared" si="82"/>
        <v>401.92626654785596</v>
      </c>
      <c r="AA21" s="52">
        <f t="shared" si="82"/>
        <v>775.76446966753201</v>
      </c>
      <c r="AB21" s="52">
        <f t="shared" ref="AB21:AP21" si="83">AB15+AB18</f>
        <v>437.06610517630759</v>
      </c>
      <c r="AC21" s="52">
        <f t="shared" si="83"/>
        <v>472.82855102289102</v>
      </c>
      <c r="AD21" s="52">
        <f t="shared" si="83"/>
        <v>910.38546263725539</v>
      </c>
      <c r="AE21" s="52">
        <f t="shared" si="83"/>
        <v>503.73434103060242</v>
      </c>
      <c r="AF21" s="52">
        <f t="shared" si="83"/>
        <v>542.97980947394672</v>
      </c>
      <c r="AG21" s="52">
        <f t="shared" si="83"/>
        <v>1047.2294972645086</v>
      </c>
      <c r="AH21" s="52">
        <f t="shared" si="83"/>
        <v>576.1262896974996</v>
      </c>
      <c r="AI21" s="52">
        <f t="shared" si="83"/>
        <v>619.12133269962681</v>
      </c>
      <c r="AJ21" s="52">
        <f t="shared" si="83"/>
        <v>1195.7887364950841</v>
      </c>
      <c r="AK21" s="52">
        <f t="shared" si="83"/>
        <v>654.64871441843434</v>
      </c>
      <c r="AL21" s="52">
        <f t="shared" si="83"/>
        <v>701.67742859558814</v>
      </c>
      <c r="AM21" s="52">
        <f t="shared" si="83"/>
        <v>1356.8943128168776</v>
      </c>
      <c r="AN21" s="52">
        <f t="shared" si="83"/>
        <v>723.87112731433854</v>
      </c>
      <c r="AO21" s="52">
        <f t="shared" si="83"/>
        <v>771.31489182743758</v>
      </c>
      <c r="AP21" s="52">
        <f t="shared" si="83"/>
        <v>1495.7825974347738</v>
      </c>
      <c r="AQ21" s="52">
        <f t="shared" ref="AQ21:AS21" si="84">AQ15+AQ18</f>
        <v>791.03023667241291</v>
      </c>
      <c r="AR21" s="52">
        <f t="shared" si="84"/>
        <v>841.67222693697249</v>
      </c>
      <c r="AS21" s="52">
        <f t="shared" si="84"/>
        <v>1633.3288708170335</v>
      </c>
      <c r="AT21" s="52">
        <f t="shared" ref="AT21:AV21" si="85">AT15+AT18</f>
        <v>861.07076183458958</v>
      </c>
      <c r="AU21" s="52">
        <f t="shared" si="85"/>
        <v>915.02750999454429</v>
      </c>
      <c r="AV21" s="52">
        <f t="shared" si="85"/>
        <v>1776.755999397164</v>
      </c>
      <c r="AZ21"/>
      <c r="BA21"/>
      <c r="BB21"/>
      <c r="BC21"/>
      <c r="BD21"/>
      <c r="BE21"/>
    </row>
    <row r="22" spans="1:57" x14ac:dyDescent="0.25">
      <c r="B22" s="11" t="s">
        <v>27</v>
      </c>
      <c r="C22" s="22" t="s">
        <v>29</v>
      </c>
      <c r="I22" s="28">
        <f>I21/F21-1</f>
        <v>0.46486870120652979</v>
      </c>
      <c r="J22" s="28">
        <f>J21/G21-1</f>
        <v>0.404938841449342</v>
      </c>
      <c r="K22" s="28">
        <f>K21/H21-1</f>
        <v>0.28940614741868065</v>
      </c>
      <c r="L22" s="303">
        <f>L21/I21-1</f>
        <v>0.34397771317829484</v>
      </c>
      <c r="M22" s="426">
        <f>M21/J21-1</f>
        <v>0.25693029911441156</v>
      </c>
      <c r="N22" s="28">
        <f t="shared" ref="N22" si="86">N21/K21-1</f>
        <v>0.29750900830330584</v>
      </c>
      <c r="O22" s="28">
        <f t="shared" ref="O22" si="87">O21/L21-1</f>
        <v>0.27747235910986756</v>
      </c>
      <c r="P22" s="28">
        <f t="shared" ref="P22" si="88">P21/M21-1</f>
        <v>0.22437046384957871</v>
      </c>
      <c r="Q22" s="28">
        <f t="shared" ref="Q22" si="89">Q21/N21-1</f>
        <v>0.2563967511864611</v>
      </c>
      <c r="R22" s="28">
        <f t="shared" ref="R22" si="90">R21/O21-1</f>
        <v>0.24127428286542352</v>
      </c>
      <c r="S22" s="28">
        <f t="shared" ref="S22" si="91">S21/P21-1</f>
        <v>0.20319417962641628</v>
      </c>
      <c r="T22" s="28">
        <f t="shared" ref="T22" si="92">T21/Q21-1</f>
        <v>0.22018105730751136</v>
      </c>
      <c r="U22" s="28">
        <f t="shared" ref="U22" si="93">U21/R21-1</f>
        <v>0.2121332499264128</v>
      </c>
      <c r="V22" s="28">
        <f t="shared" ref="V22" si="94">V21/S21-1</f>
        <v>0.22770996765745011</v>
      </c>
      <c r="W22" s="28">
        <f t="shared" ref="W22" si="95">W21/T21-1</f>
        <v>0.19637853935083349</v>
      </c>
      <c r="X22" s="28">
        <f t="shared" ref="X22" si="96">X21/U21-1</f>
        <v>0.21160198122293106</v>
      </c>
      <c r="Y22" s="28">
        <f t="shared" ref="Y22" si="97">Y21/V21-1</f>
        <v>0.19910204386015296</v>
      </c>
      <c r="Z22" s="28">
        <f t="shared" ref="Z22" si="98">Z21/W21-1</f>
        <v>0.20273177488359218</v>
      </c>
      <c r="AA22" s="28">
        <f t="shared" ref="AA22" si="99">AA21/X21-1</f>
        <v>0.20087696947679978</v>
      </c>
      <c r="AB22" s="28">
        <f t="shared" ref="AB22" si="100">AB21/Y21-1</f>
        <v>0.17059540314212329</v>
      </c>
      <c r="AC22" s="28">
        <f t="shared" ref="AC22" si="101">AC21/Z21-1</f>
        <v>0.17640619779347766</v>
      </c>
      <c r="AD22" s="28">
        <f t="shared" ref="AD22" si="102">AD21/AA21-1</f>
        <v>0.17353333161470741</v>
      </c>
      <c r="AE22" s="28">
        <f t="shared" ref="AE22" si="103">AE21/AB21-1</f>
        <v>0.15253581795687765</v>
      </c>
      <c r="AF22" s="28">
        <f t="shared" ref="AF22" si="104">AF21/AC21-1</f>
        <v>0.14836510675866421</v>
      </c>
      <c r="AG22" s="28">
        <f t="shared" ref="AG22" si="105">AG21/AD21-1</f>
        <v>0.15031438906200867</v>
      </c>
      <c r="AH22" s="28">
        <f t="shared" ref="AH22" si="106">AH21/AE21-1</f>
        <v>0.14371056878669175</v>
      </c>
      <c r="AI22" s="28">
        <f t="shared" ref="AI22" si="107">AI21/AF21-1</f>
        <v>0.14022901385494979</v>
      </c>
      <c r="AJ22" s="28">
        <f t="shared" ref="AJ22" si="108">AJ21/AG21-1</f>
        <v>0.14185929599827962</v>
      </c>
      <c r="AK22" s="28">
        <f t="shared" ref="AK22" si="109">AK21/AH21-1</f>
        <v>0.1362937712183967</v>
      </c>
      <c r="AL22" s="28">
        <f t="shared" ref="AL22" si="110">AL21/AI21-1</f>
        <v>0.13334396916349567</v>
      </c>
      <c r="AM22" s="28">
        <f t="shared" ref="AM22" si="111">AM21/AJ21-1</f>
        <v>0.13472745762265825</v>
      </c>
      <c r="AN22" s="28">
        <f t="shared" ref="AN22" si="112">AN21/AK21-1</f>
        <v>0.10573978283513297</v>
      </c>
      <c r="AO22" s="28">
        <f t="shared" ref="AO22" si="113">AO21/AL21-1</f>
        <v>9.9244268653801981E-2</v>
      </c>
      <c r="AP22" s="28">
        <f t="shared" ref="AP22" si="114">AP21/AM21-1</f>
        <v>0.10235748157096158</v>
      </c>
      <c r="AQ22" s="28">
        <f t="shared" ref="AQ22" si="115">AQ21/AN21-1</f>
        <v>9.2777715292007734E-2</v>
      </c>
      <c r="AR22" s="28">
        <f t="shared" ref="AR22" si="116">AR21/AO21-1</f>
        <v>9.1217394938195584E-2</v>
      </c>
      <c r="AS22" s="28">
        <f t="shared" ref="AS22" si="117">AS21/AP21-1</f>
        <v>9.1956059402046542E-2</v>
      </c>
      <c r="AT22" s="28">
        <f t="shared" ref="AT22" si="118">AT21/AQ21-1</f>
        <v>8.8543423392780207E-2</v>
      </c>
      <c r="AU22" s="28">
        <f t="shared" ref="AU22" si="119">AU21/AR21-1</f>
        <v>8.7154215988006989E-2</v>
      </c>
      <c r="AV22" s="28">
        <f t="shared" ref="AV22" si="120">AV21/AS21-1</f>
        <v>8.781276762002288E-2</v>
      </c>
    </row>
    <row r="23" spans="1:57" x14ac:dyDescent="0.25">
      <c r="B23" s="11" t="s">
        <v>232</v>
      </c>
      <c r="C23" s="22" t="s">
        <v>29</v>
      </c>
      <c r="I23" s="14">
        <f>+I21/I15</f>
        <v>0.74566473988439308</v>
      </c>
      <c r="J23" s="14">
        <f>+J21/J15</f>
        <v>0.76022778360557453</v>
      </c>
      <c r="K23" s="14">
        <f>+K21/K15</f>
        <v>0.7598562817224549</v>
      </c>
      <c r="L23" s="254">
        <f>+L21/L15</f>
        <v>0.76003967373286541</v>
      </c>
      <c r="M23" s="287">
        <f>+M21/M15</f>
        <v>0.75764630293001933</v>
      </c>
      <c r="N23" s="14">
        <f t="shared" ref="N23:X23" si="121">+N21/N15</f>
        <v>0.75577917795263827</v>
      </c>
      <c r="O23" s="14">
        <f t="shared" si="121"/>
        <v>0.75668513714059982</v>
      </c>
      <c r="P23" s="14">
        <f t="shared" si="121"/>
        <v>0.73870606454891141</v>
      </c>
      <c r="Q23" s="14">
        <f t="shared" si="121"/>
        <v>0.73336930555893642</v>
      </c>
      <c r="R23" s="14">
        <f t="shared" si="121"/>
        <v>0.73598642964267535</v>
      </c>
      <c r="S23" s="14">
        <f t="shared" si="121"/>
        <v>0.73699252354432876</v>
      </c>
      <c r="T23" s="14">
        <f t="shared" si="121"/>
        <v>0.73371475221093141</v>
      </c>
      <c r="U23" s="14">
        <f t="shared" si="121"/>
        <v>0.73535480790907926</v>
      </c>
      <c r="V23" s="14">
        <f t="shared" si="121"/>
        <v>0.73798986971253111</v>
      </c>
      <c r="W23" s="14">
        <f t="shared" si="121"/>
        <v>0.73169611476698004</v>
      </c>
      <c r="X23" s="14">
        <f t="shared" si="121"/>
        <v>0.73485272037740867</v>
      </c>
      <c r="Y23" s="14">
        <f t="shared" ref="Y23:AA23" si="122">+Y21/Y15</f>
        <v>0.74109711634151343</v>
      </c>
      <c r="Z23" s="14">
        <f t="shared" si="122"/>
        <v>0.73645926066836997</v>
      </c>
      <c r="AA23" s="14">
        <f t="shared" si="122"/>
        <v>0.7388018379187119</v>
      </c>
      <c r="AB23" s="14">
        <f t="shared" ref="AB23:AP23" si="123">+AB21/AB15</f>
        <v>0.74268467952537065</v>
      </c>
      <c r="AC23" s="14">
        <f t="shared" si="123"/>
        <v>0.74075533121397064</v>
      </c>
      <c r="AD23" s="14">
        <f t="shared" si="123"/>
        <v>0.74178414169759976</v>
      </c>
      <c r="AE23" s="14">
        <f t="shared" si="123"/>
        <v>0.74381077849508503</v>
      </c>
      <c r="AF23" s="14">
        <f t="shared" si="123"/>
        <v>0.74170087343843361</v>
      </c>
      <c r="AG23" s="14">
        <f t="shared" si="123"/>
        <v>0.74280882342664278</v>
      </c>
      <c r="AH23" s="14">
        <f t="shared" si="123"/>
        <v>0.74480425943605566</v>
      </c>
      <c r="AI23" s="14">
        <f t="shared" si="123"/>
        <v>0.74254605898442061</v>
      </c>
      <c r="AJ23" s="14">
        <f t="shared" si="123"/>
        <v>0.743719110757177</v>
      </c>
      <c r="AK23" s="14">
        <f t="shared" si="123"/>
        <v>0.74569255542124735</v>
      </c>
      <c r="AL23" s="14">
        <f t="shared" si="123"/>
        <v>0.74331059341573325</v>
      </c>
      <c r="AM23" s="14">
        <f t="shared" si="123"/>
        <v>0.74453804340170726</v>
      </c>
      <c r="AN23" s="14">
        <f t="shared" si="123"/>
        <v>0.74619384187259075</v>
      </c>
      <c r="AO23" s="14">
        <f t="shared" si="123"/>
        <v>0.74371648519671851</v>
      </c>
      <c r="AP23" s="14">
        <f t="shared" si="123"/>
        <v>0.74498959581038404</v>
      </c>
      <c r="AQ23" s="14">
        <f t="shared" ref="AQ23:AS23" si="124">+AQ21/AQ15</f>
        <v>0.74664368155484018</v>
      </c>
      <c r="AR23" s="14">
        <f t="shared" si="124"/>
        <v>0.74411277648928587</v>
      </c>
      <c r="AS23" s="14">
        <f t="shared" si="124"/>
        <v>0.74540963406341731</v>
      </c>
      <c r="AT23" s="14">
        <f t="shared" ref="AT23:AV23" si="125">+AT21/AT15</f>
        <v>0.74693238398759576</v>
      </c>
      <c r="AU23" s="14">
        <f t="shared" si="125"/>
        <v>0.74435354983874447</v>
      </c>
      <c r="AV23" s="14">
        <f t="shared" si="125"/>
        <v>0.74567179082481894</v>
      </c>
    </row>
    <row r="24" spans="1:57" x14ac:dyDescent="0.25">
      <c r="K24" s="21"/>
      <c r="L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1"/>
    </row>
    <row r="25" spans="1:57" s="12" customFormat="1" x14ac:dyDescent="0.25">
      <c r="A25" s="8" t="s">
        <v>313</v>
      </c>
      <c r="B25" s="12" t="s">
        <v>233</v>
      </c>
      <c r="C25" s="56" t="s">
        <v>28</v>
      </c>
      <c r="F25" s="63">
        <f>+Assumptions!F211+Assumptions!F214+Assumptions!F217+Assumptions!F220</f>
        <v>-119.3</v>
      </c>
      <c r="G25" s="63">
        <f>+Assumptions!G211+Assumptions!G214+Assumptions!G217+Assumptions!G220</f>
        <v>-82.899999999999991</v>
      </c>
      <c r="H25" s="63">
        <f>+Assumptions!H211+Assumptions!H214+Assumptions!H217+Assumptions!H220</f>
        <v>-94.2</v>
      </c>
      <c r="I25" s="63">
        <f>+Assumptions!I211+Assumptions!I214+Assumptions!I217+Assumptions!I220</f>
        <v>-177.1</v>
      </c>
      <c r="J25" s="63">
        <f>+Assumptions!J211+Assumptions!J214+Assumptions!J217+Assumptions!J220</f>
        <v>-111.39999999999999</v>
      </c>
      <c r="K25" s="63">
        <f>+Assumptions!K211+Assumptions!K214+Assumptions!K217+Assumptions!K220</f>
        <v>-121.238</v>
      </c>
      <c r="L25" s="63">
        <f>+Assumptions!L211+Assumptions!L214+Assumptions!L217+Assumptions!L220</f>
        <v>-232.63799999999998</v>
      </c>
      <c r="M25" s="290">
        <f>+Assumptions!M211+Assumptions!M214+Assumptions!M217+Assumptions!M220</f>
        <v>-140.48099999999999</v>
      </c>
      <c r="N25" s="290">
        <f>+Assumptions!N211+Assumptions!N214+Assumptions!N217+Assumptions!N220</f>
        <v>-148.458</v>
      </c>
      <c r="O25" s="290">
        <f>+Assumptions!O211+Assumptions!O214+Assumptions!O217+Assumptions!O220</f>
        <v>-288.93899999999996</v>
      </c>
      <c r="P25" s="63">
        <f t="shared" ref="P25:AA25" si="126">+P29-P21</f>
        <v>-170.26079980634273</v>
      </c>
      <c r="Q25" s="63">
        <f t="shared" si="126"/>
        <v>-184.09856492921378</v>
      </c>
      <c r="R25" s="63">
        <f t="shared" si="126"/>
        <v>-354.51420271081508</v>
      </c>
      <c r="S25" s="63">
        <f t="shared" si="126"/>
        <v>-195.69520172675297</v>
      </c>
      <c r="T25" s="63">
        <f t="shared" si="126"/>
        <v>-211.56317283011066</v>
      </c>
      <c r="U25" s="63">
        <f t="shared" si="126"/>
        <v>-407.48802879487732</v>
      </c>
      <c r="V25" s="63">
        <f t="shared" si="126"/>
        <v>-227.18235225689529</v>
      </c>
      <c r="W25" s="63">
        <f t="shared" si="126"/>
        <v>-246.63371836061862</v>
      </c>
      <c r="X25" s="63">
        <f t="shared" si="126"/>
        <v>-474.26124652504797</v>
      </c>
      <c r="Y25" s="63">
        <f t="shared" si="126"/>
        <v>-262.86130770807</v>
      </c>
      <c r="Z25" s="63">
        <f t="shared" si="126"/>
        <v>-285.65118436859461</v>
      </c>
      <c r="AA25" s="63">
        <f t="shared" si="126"/>
        <v>-548.97992677957552</v>
      </c>
      <c r="AB25" s="63">
        <f t="shared" ref="AB25:AP25" si="127">+AB29-AB21</f>
        <v>-301.82936151565906</v>
      </c>
      <c r="AC25" s="63">
        <f t="shared" si="127"/>
        <v>-325.27400508890457</v>
      </c>
      <c r="AD25" s="63">
        <f t="shared" si="127"/>
        <v>-627.59417304262047</v>
      </c>
      <c r="AE25" s="63">
        <f t="shared" si="127"/>
        <v>-340.83412910483264</v>
      </c>
      <c r="AF25" s="63">
        <f t="shared" si="127"/>
        <v>-366.30369537390175</v>
      </c>
      <c r="AG25" s="63">
        <f t="shared" si="127"/>
        <v>-707.65317123869386</v>
      </c>
      <c r="AH25" s="63">
        <f t="shared" si="127"/>
        <v>-382.73060557918154</v>
      </c>
      <c r="AI25" s="63">
        <f t="shared" si="127"/>
        <v>-410.35039951697877</v>
      </c>
      <c r="AJ25" s="63">
        <f t="shared" si="127"/>
        <v>-793.622119194118</v>
      </c>
      <c r="AK25" s="63">
        <f t="shared" si="127"/>
        <v>-427.69083632013024</v>
      </c>
      <c r="AL25" s="63">
        <f t="shared" si="127"/>
        <v>-457.59217984210949</v>
      </c>
      <c r="AM25" s="63">
        <f t="shared" si="127"/>
        <v>-885.85118596509494</v>
      </c>
      <c r="AN25" s="63">
        <f t="shared" si="127"/>
        <v>-467.96857814515749</v>
      </c>
      <c r="AO25" s="63">
        <f t="shared" si="127"/>
        <v>-498.12083595213932</v>
      </c>
      <c r="AP25" s="63">
        <f t="shared" si="127"/>
        <v>-966.68599239029459</v>
      </c>
      <c r="AQ25" s="63">
        <f t="shared" ref="AQ25:AS25" si="128">+AQ29-AQ21</f>
        <v>-508.8709504210621</v>
      </c>
      <c r="AR25" s="63">
        <f t="shared" si="128"/>
        <v>-540.97832245975769</v>
      </c>
      <c r="AS25" s="63">
        <f t="shared" si="128"/>
        <v>-1050.4756800884679</v>
      </c>
      <c r="AT25" s="63">
        <f t="shared" ref="AT25:AV25" si="129">+AT29-AT21</f>
        <v>-551.83656681226921</v>
      </c>
      <c r="AU25" s="63">
        <f t="shared" si="129"/>
        <v>-585.98854911912758</v>
      </c>
      <c r="AV25" s="63">
        <f t="shared" si="129"/>
        <v>-1138.4828434994272</v>
      </c>
      <c r="AZ25"/>
      <c r="BA25"/>
      <c r="BB25"/>
      <c r="BC25"/>
      <c r="BD25"/>
      <c r="BE25"/>
    </row>
    <row r="26" spans="1:57" x14ac:dyDescent="0.25">
      <c r="B26" s="11" t="s">
        <v>27</v>
      </c>
      <c r="C26" s="56"/>
      <c r="D26" s="12"/>
      <c r="E26" s="12"/>
      <c r="F26" s="12"/>
      <c r="G26" s="12"/>
      <c r="H26" s="12"/>
      <c r="I26" s="14">
        <f>I25/F25-1</f>
        <v>0.4844928751047779</v>
      </c>
      <c r="J26" s="254">
        <f t="shared" ref="J26" si="130">J25/G25-1</f>
        <v>0.34378769601930048</v>
      </c>
      <c r="K26" s="14">
        <f>K25/H25-1</f>
        <v>0.28702760084925694</v>
      </c>
      <c r="L26" s="254">
        <f t="shared" ref="L26:M26" si="131">L25/I25-1</f>
        <v>0.31359683794466386</v>
      </c>
      <c r="M26" s="287">
        <f t="shared" si="131"/>
        <v>0.26105026929982045</v>
      </c>
      <c r="N26" s="14">
        <f t="shared" ref="N26" si="132">N25/K25-1</f>
        <v>0.22451706560649298</v>
      </c>
      <c r="O26" s="14">
        <f t="shared" ref="O26" si="133">O25/L25-1</f>
        <v>0.24201119335620147</v>
      </c>
      <c r="P26" s="14">
        <f t="shared" ref="P26" si="134">P25/M25-1</f>
        <v>0.21198453745590329</v>
      </c>
      <c r="Q26" s="14">
        <f t="shared" ref="Q26" si="135">Q25/N25-1</f>
        <v>0.24007170330473127</v>
      </c>
      <c r="R26" s="14">
        <f t="shared" ref="R26" si="136">R25/O25-1</f>
        <v>0.22695171891234867</v>
      </c>
      <c r="S26" s="14">
        <f t="shared" ref="S26" si="137">S25/P25-1</f>
        <v>0.14938495501806481</v>
      </c>
      <c r="T26" s="14">
        <f t="shared" ref="T26" si="138">T25/Q25-1</f>
        <v>0.14918425850552963</v>
      </c>
      <c r="U26" s="14">
        <f t="shared" ref="U26" si="139">U25/R25-1</f>
        <v>0.14942652700228809</v>
      </c>
      <c r="V26" s="14">
        <f t="shared" ref="V26" si="140">V25/S25-1</f>
        <v>0.16089894004712213</v>
      </c>
      <c r="W26" s="14">
        <f t="shared" ref="W26" si="141">W25/T25-1</f>
        <v>0.16576866881586372</v>
      </c>
      <c r="X26" s="14">
        <f t="shared" ref="X26" si="142">X25/U25-1</f>
        <v>0.16386547091370662</v>
      </c>
      <c r="Y26" s="14">
        <f t="shared" ref="Y26" si="143">Y25/V25-1</f>
        <v>0.15704985487089829</v>
      </c>
      <c r="Z26" s="14">
        <f t="shared" ref="Z26" si="144">Z25/W25-1</f>
        <v>0.15820004769553098</v>
      </c>
      <c r="AA26" s="14">
        <f t="shared" ref="AA26" si="145">AA25/X25-1</f>
        <v>0.15754751374268428</v>
      </c>
      <c r="AB26" s="14">
        <f t="shared" ref="AB26" si="146">AB25/Y25-1</f>
        <v>0.14824568190487142</v>
      </c>
      <c r="AC26" s="14">
        <f t="shared" ref="AC26" si="147">AC25/Z25-1</f>
        <v>0.13871050738995727</v>
      </c>
      <c r="AD26" s="14">
        <f t="shared" ref="AD26" si="148">AD25/AA25-1</f>
        <v>0.14320058426218174</v>
      </c>
      <c r="AE26" s="14">
        <f t="shared" ref="AE26" si="149">AE25/AB25-1</f>
        <v>0.12922787694778326</v>
      </c>
      <c r="AF26" s="14">
        <f t="shared" ref="AF26" si="150">AF25/AC25-1</f>
        <v>0.1261388541447781</v>
      </c>
      <c r="AG26" s="14">
        <f t="shared" ref="AG26" si="151">AG25/AD25-1</f>
        <v>0.12756491636616341</v>
      </c>
      <c r="AH26" s="14">
        <f t="shared" ref="AH26" si="152">AH25/AE25-1</f>
        <v>0.12292336035826534</v>
      </c>
      <c r="AI26" s="14">
        <f t="shared" ref="AI26" si="153">AI25/AF25-1</f>
        <v>0.12024640946664955</v>
      </c>
      <c r="AJ26" s="14">
        <f t="shared" ref="AJ26" si="154">AJ25/AG25-1</f>
        <v>0.12148457952211533</v>
      </c>
      <c r="AK26" s="14">
        <f t="shared" ref="AK26" si="155">AK25/AH25-1</f>
        <v>0.11747226400384392</v>
      </c>
      <c r="AL26" s="14">
        <f t="shared" ref="AL26" si="156">AL25/AI25-1</f>
        <v>0.11512546443414884</v>
      </c>
      <c r="AM26" s="14">
        <f t="shared" ref="AM26" si="157">AM25/AJ25-1</f>
        <v>0.11621282287927004</v>
      </c>
      <c r="AN26" s="14">
        <f t="shared" ref="AN26" si="158">AN25/AK25-1</f>
        <v>9.4174900195614697E-2</v>
      </c>
      <c r="AO26" s="14">
        <f t="shared" ref="AO26" si="159">AO25/AL25-1</f>
        <v>8.8569380980273893E-2</v>
      </c>
      <c r="AP26" s="14">
        <f t="shared" ref="AP26" si="160">AP25/AM25-1</f>
        <v>9.1250999835975621E-2</v>
      </c>
      <c r="AQ26" s="14">
        <f t="shared" ref="AQ26" si="161">AQ25/AN25-1</f>
        <v>8.7404099732562024E-2</v>
      </c>
      <c r="AR26" s="14">
        <f t="shared" ref="AR26" si="162">AR25/AO25-1</f>
        <v>8.6038333300589409E-2</v>
      </c>
      <c r="AS26" s="14">
        <f t="shared" ref="AS26" si="163">AS25/AP25-1</f>
        <v>8.6677254411217097E-2</v>
      </c>
      <c r="AT26" s="14">
        <f t="shared" ref="AT26" si="164">AT25/AQ25-1</f>
        <v>8.4433226843968034E-2</v>
      </c>
      <c r="AU26" s="14">
        <f t="shared" ref="AU26" si="165">AU25/AR25-1</f>
        <v>8.3201534683893241E-2</v>
      </c>
      <c r="AV26" s="14">
        <f t="shared" ref="AV26" si="166">AV25/AS25-1</f>
        <v>8.3778392093330156E-2</v>
      </c>
    </row>
    <row r="27" spans="1:57" x14ac:dyDescent="0.25">
      <c r="J27" s="254"/>
      <c r="M27" s="287"/>
      <c r="O27" s="74"/>
      <c r="R27" s="74"/>
      <c r="U27" s="74"/>
      <c r="X27" s="74"/>
      <c r="AA27" s="74"/>
      <c r="AD27" s="74"/>
      <c r="AG27" s="74"/>
      <c r="AJ27" s="74"/>
      <c r="AM27" s="74"/>
      <c r="AP27" s="74"/>
      <c r="AS27" s="74"/>
      <c r="AV27" s="74"/>
    </row>
    <row r="28" spans="1:57" x14ac:dyDescent="0.25">
      <c r="M28" s="292"/>
    </row>
    <row r="29" spans="1:57" s="12" customFormat="1" x14ac:dyDescent="0.25">
      <c r="A29" s="8" t="s">
        <v>669</v>
      </c>
      <c r="B29" s="76" t="s">
        <v>668</v>
      </c>
      <c r="C29" s="162" t="s">
        <v>28</v>
      </c>
      <c r="D29" s="76"/>
      <c r="E29" s="76"/>
      <c r="F29" s="77">
        <f>+F21+F25</f>
        <v>21.59999999999998</v>
      </c>
      <c r="G29" s="77">
        <f t="shared" ref="G29:H29" si="167">+G21+G25</f>
        <v>14.592499999999987</v>
      </c>
      <c r="H29" s="77">
        <f t="shared" si="167"/>
        <v>14.707500000000024</v>
      </c>
      <c r="I29" s="77">
        <f>+I21+I25</f>
        <v>29.300000000000011</v>
      </c>
      <c r="J29" s="77">
        <f>+J21+J25</f>
        <v>25.570999999999955</v>
      </c>
      <c r="K29" s="77">
        <f>+K21+K25</f>
        <v>19.187999999999988</v>
      </c>
      <c r="L29" s="77">
        <f>+L21+L25</f>
        <v>44.759000000000071</v>
      </c>
      <c r="M29" s="425">
        <f>+M21+M25</f>
        <v>31.682000000000016</v>
      </c>
      <c r="N29" s="425">
        <f t="shared" ref="N29:O29" si="168">+N21+N25</f>
        <v>33.746000000000009</v>
      </c>
      <c r="O29" s="425">
        <f t="shared" si="168"/>
        <v>65.428000000000054</v>
      </c>
      <c r="P29" s="77">
        <f>+Assumptions!P285</f>
        <v>40.530492361392298</v>
      </c>
      <c r="Q29" s="77">
        <f>+Assumptions!Q285</f>
        <v>44.821948723964191</v>
      </c>
      <c r="R29" s="77">
        <f>+Assumptions!R285</f>
        <v>85.352441085356503</v>
      </c>
      <c r="S29" s="77">
        <f>+Assumptions!S285</f>
        <v>57.927654125397225</v>
      </c>
      <c r="T29" s="77">
        <f>+Assumptions!T285</f>
        <v>67.761301558602611</v>
      </c>
      <c r="U29" s="77">
        <f>+Assumptions!U285</f>
        <v>125.68895568399986</v>
      </c>
      <c r="V29" s="77">
        <f>+Assumptions!V285</f>
        <v>84.192955898538173</v>
      </c>
      <c r="W29" s="77">
        <f>+Assumptions!W285</f>
        <v>87.544088313489453</v>
      </c>
      <c r="X29" s="77">
        <f>+Assumptions!X285</f>
        <v>171.73704421202768</v>
      </c>
      <c r="Y29" s="77">
        <f>+Assumptions!Y285</f>
        <v>110.50946070869522</v>
      </c>
      <c r="Z29" s="77">
        <f>+Assumptions!Z285</f>
        <v>116.27508217926136</v>
      </c>
      <c r="AA29" s="77">
        <f>+Assumptions!AA285</f>
        <v>226.78454288795652</v>
      </c>
      <c r="AB29" s="77">
        <f>+Assumptions!AB285</f>
        <v>135.23674366064853</v>
      </c>
      <c r="AC29" s="77">
        <f>+Assumptions!AC285</f>
        <v>147.55454593398645</v>
      </c>
      <c r="AD29" s="77">
        <f>+Assumptions!AD285</f>
        <v>282.79128959463497</v>
      </c>
      <c r="AE29" s="77">
        <f>+Assumptions!AE285</f>
        <v>162.90021192576975</v>
      </c>
      <c r="AF29" s="77">
        <f>+Assumptions!AF285</f>
        <v>176.67611410004497</v>
      </c>
      <c r="AG29" s="77">
        <f>+Assumptions!AG285</f>
        <v>339.57632602581475</v>
      </c>
      <c r="AH29" s="77">
        <f>+Assumptions!AH285</f>
        <v>193.39568411831809</v>
      </c>
      <c r="AI29" s="77">
        <f>+Assumptions!AI285</f>
        <v>208.77093318264801</v>
      </c>
      <c r="AJ29" s="77">
        <f>+Assumptions!AJ285</f>
        <v>402.1666173009661</v>
      </c>
      <c r="AK29" s="77">
        <f>+Assumptions!AK285</f>
        <v>226.95787809830409</v>
      </c>
      <c r="AL29" s="77">
        <f>+Assumptions!AL285</f>
        <v>244.08524875347865</v>
      </c>
      <c r="AM29" s="77">
        <f>+Assumptions!AM285</f>
        <v>471.04312685178263</v>
      </c>
      <c r="AN29" s="77">
        <f>+Assumptions!AN285</f>
        <v>255.90254916918107</v>
      </c>
      <c r="AO29" s="77">
        <f>+Assumptions!AO285</f>
        <v>273.19405587529826</v>
      </c>
      <c r="AP29" s="77">
        <f>+Assumptions!AP285</f>
        <v>529.09660504447925</v>
      </c>
      <c r="AQ29" s="77">
        <f>+Assumptions!AQ285</f>
        <v>282.15928625135081</v>
      </c>
      <c r="AR29" s="77">
        <f>+Assumptions!AR285</f>
        <v>300.69390447721474</v>
      </c>
      <c r="AS29" s="77">
        <f>+Assumptions!AS285</f>
        <v>582.85319072856544</v>
      </c>
      <c r="AT29" s="77">
        <f>+Assumptions!AT285</f>
        <v>309.23419502232031</v>
      </c>
      <c r="AU29" s="77">
        <f>+Assumptions!AU285</f>
        <v>329.03896087541665</v>
      </c>
      <c r="AV29" s="77">
        <f>+Assumptions!AV285</f>
        <v>638.27315589773684</v>
      </c>
      <c r="AZ29"/>
      <c r="BA29"/>
      <c r="BB29"/>
      <c r="BC29"/>
      <c r="BD29"/>
      <c r="BE29"/>
    </row>
    <row r="30" spans="1:57" x14ac:dyDescent="0.25">
      <c r="B30" s="11" t="s">
        <v>27</v>
      </c>
      <c r="C30" s="56"/>
      <c r="D30" s="12"/>
      <c r="E30" s="12"/>
      <c r="F30" s="52"/>
      <c r="G30" s="52"/>
      <c r="H30" s="52"/>
      <c r="I30" s="14">
        <f>I29/F29-1</f>
        <v>0.35648148148148318</v>
      </c>
      <c r="J30" s="14">
        <f>J29/G29-1</f>
        <v>0.75233853006681373</v>
      </c>
      <c r="K30" s="14">
        <f>K29/H29-1</f>
        <v>0.30464048954614698</v>
      </c>
      <c r="L30" s="254">
        <f>L29/I29-1</f>
        <v>0.52761092150170841</v>
      </c>
      <c r="M30" s="287">
        <f>M29/J29-1</f>
        <v>0.23898165891048739</v>
      </c>
      <c r="N30" s="14">
        <f t="shared" ref="N30" si="169">N29/K29-1</f>
        <v>0.75870335626433349</v>
      </c>
      <c r="O30" s="14">
        <f t="shared" ref="O30" si="170">O29/L29-1</f>
        <v>0.46178422216760762</v>
      </c>
      <c r="P30" s="14">
        <f t="shared" ref="P30" si="171">P29/M29-1</f>
        <v>0.27929083900613216</v>
      </c>
      <c r="Q30" s="14">
        <f t="shared" ref="Q30" si="172">Q29/N29-1</f>
        <v>0.32821515806211643</v>
      </c>
      <c r="R30" s="14">
        <f t="shared" ref="R30" si="173">R29/O29-1</f>
        <v>0.3045246849262766</v>
      </c>
      <c r="S30" s="14">
        <f t="shared" ref="S30" si="174">S29/P29-1</f>
        <v>0.42923637859817254</v>
      </c>
      <c r="T30" s="14">
        <f t="shared" ref="T30" si="175">T29/Q29-1</f>
        <v>0.51178838688853845</v>
      </c>
      <c r="U30" s="14">
        <f t="shared" ref="U30" si="176">U29/R29-1</f>
        <v>0.47258770910025794</v>
      </c>
      <c r="V30" s="14">
        <f t="shared" ref="V30" si="177">V29/S29-1</f>
        <v>0.45341559518850683</v>
      </c>
      <c r="W30" s="14">
        <f t="shared" ref="W30" si="178">W29/T29-1</f>
        <v>0.29194815181904255</v>
      </c>
      <c r="X30" s="14">
        <f t="shared" ref="X30" si="179">X29/U29-1</f>
        <v>0.36636543185066595</v>
      </c>
      <c r="Y30" s="14">
        <f t="shared" ref="Y30" si="180">Y29/V29-1</f>
        <v>0.31257371272094714</v>
      </c>
      <c r="Z30" s="14">
        <f t="shared" ref="Z30" si="181">Z29/W29-1</f>
        <v>0.32818885226022521</v>
      </c>
      <c r="AA30" s="14">
        <f t="shared" ref="AA30" si="182">AA29/X29-1</f>
        <v>0.32053363284840763</v>
      </c>
      <c r="AB30" s="14">
        <f t="shared" ref="AB30" si="183">AB29/Y29-1</f>
        <v>0.22375715882945846</v>
      </c>
      <c r="AC30" s="14">
        <f t="shared" ref="AC30" si="184">AC29/Z29-1</f>
        <v>0.2690126136096942</v>
      </c>
      <c r="AD30" s="14">
        <f t="shared" ref="AD30" si="185">AD29/AA29-1</f>
        <v>0.24696015871923294</v>
      </c>
      <c r="AE30" s="14">
        <f t="shared" ref="AE30" si="186">AE29/AB29-1</f>
        <v>0.2045558589796983</v>
      </c>
      <c r="AF30" s="14">
        <f t="shared" ref="AF30" si="187">AF29/AC29-1</f>
        <v>0.19736137563045353</v>
      </c>
      <c r="AG30" s="14">
        <f t="shared" ref="AG30" si="188">AG29/AD29-1</f>
        <v>0.20080192891576631</v>
      </c>
      <c r="AH30" s="14">
        <f t="shared" ref="AH30" si="189">AH29/AE29-1</f>
        <v>0.1872033917699536</v>
      </c>
      <c r="AI30" s="14">
        <f t="shared" ref="AI30" si="190">AI29/AF29-1</f>
        <v>0.18165907285253602</v>
      </c>
      <c r="AJ30" s="14">
        <f t="shared" ref="AJ30" si="191">AJ29/AG29-1</f>
        <v>0.18431877159302679</v>
      </c>
      <c r="AK30" s="14">
        <f t="shared" ref="AK30" si="192">AK29/AH29-1</f>
        <v>0.17354158720239532</v>
      </c>
      <c r="AL30" s="14">
        <f t="shared" ref="AL30" si="193">AL29/AI29-1</f>
        <v>0.169153411504537</v>
      </c>
      <c r="AM30" s="14">
        <f t="shared" ref="AM30" si="194">AM29/AJ29-1</f>
        <v>0.17126361708752169</v>
      </c>
      <c r="AN30" s="14">
        <f t="shared" ref="AN30" si="195">AN29/AK29-1</f>
        <v>0.12753322913223553</v>
      </c>
      <c r="AO30" s="14">
        <f t="shared" ref="AO30" si="196">AO29/AL29-1</f>
        <v>0.11925672391295938</v>
      </c>
      <c r="AP30" s="14">
        <f t="shared" ref="AP30" si="197">AP29/AM29-1</f>
        <v>0.123244507526725</v>
      </c>
      <c r="AQ30" s="14">
        <f t="shared" ref="AQ30" si="198">AQ29/AN29-1</f>
        <v>0.10260443738218106</v>
      </c>
      <c r="AR30" s="14">
        <f t="shared" ref="AR30" si="199">AR29/AO29-1</f>
        <v>0.10066049392549381</v>
      </c>
      <c r="AS30" s="14">
        <f t="shared" ref="AS30" si="200">AS29/AP29-1</f>
        <v>0.10160070046105685</v>
      </c>
      <c r="AT30" s="14">
        <f t="shared" ref="AT30" si="201">AT29/AQ29-1</f>
        <v>9.5956114472343979E-2</v>
      </c>
      <c r="AU30" s="14">
        <f t="shared" ref="AU30" si="202">AU29/AR29-1</f>
        <v>9.4265483856357246E-2</v>
      </c>
      <c r="AV30" s="14">
        <f t="shared" ref="AV30" si="203">AV29/AS29-1</f>
        <v>9.5083918301787973E-2</v>
      </c>
    </row>
    <row r="31" spans="1:57" x14ac:dyDescent="0.25">
      <c r="B31" s="11" t="s">
        <v>232</v>
      </c>
      <c r="F31" s="18"/>
      <c r="G31" s="18"/>
      <c r="H31" s="18"/>
      <c r="I31" s="18">
        <f>I29/I$15</f>
        <v>0.1058526011560694</v>
      </c>
      <c r="J31" s="18">
        <f>J29/J$15</f>
        <v>0.14192628114402406</v>
      </c>
      <c r="K31" s="18">
        <f>K29/K$15</f>
        <v>0.10382779779877271</v>
      </c>
      <c r="L31" s="304">
        <f>L29/L$15</f>
        <v>0.12263512495307942</v>
      </c>
      <c r="M31" s="288">
        <f>M29/M$15</f>
        <v>0.13942455794467384</v>
      </c>
      <c r="N31" s="18">
        <f t="shared" ref="N31:X31" si="204">N29/N$15</f>
        <v>0.13997784976833516</v>
      </c>
      <c r="O31" s="18">
        <f>O29/O$15</f>
        <v>0.13970938364135263</v>
      </c>
      <c r="P31" s="18">
        <f t="shared" si="204"/>
        <v>0.14203679952153464</v>
      </c>
      <c r="Q31" s="18">
        <f t="shared" si="204"/>
        <v>0.14359150643569049</v>
      </c>
      <c r="R31" s="18">
        <f t="shared" si="204"/>
        <v>0.14281200737014166</v>
      </c>
      <c r="S31" s="18">
        <f t="shared" si="204"/>
        <v>0.1683296556749091</v>
      </c>
      <c r="T31" s="18">
        <f t="shared" si="204"/>
        <v>0.17799180215541208</v>
      </c>
      <c r="U31" s="18">
        <f t="shared" si="204"/>
        <v>0.17334952661851463</v>
      </c>
      <c r="V31" s="18">
        <f t="shared" si="204"/>
        <v>0.19954552248330176</v>
      </c>
      <c r="W31" s="18">
        <f t="shared" si="204"/>
        <v>0.19168139837683787</v>
      </c>
      <c r="X31" s="18">
        <f t="shared" si="204"/>
        <v>0.1953587740685655</v>
      </c>
      <c r="Y31" s="18">
        <f t="shared" ref="Y31:AA31" si="205">Y29/Y$15</f>
        <v>0.21934829822631716</v>
      </c>
      <c r="Z31" s="18">
        <f t="shared" si="205"/>
        <v>0.21305365730730838</v>
      </c>
      <c r="AA31" s="18">
        <f t="shared" si="205"/>
        <v>0.21597900348411592</v>
      </c>
      <c r="AB31" s="18">
        <f t="shared" ref="AB31:AP31" si="206">AB29/AB$15</f>
        <v>0.22980106770152717</v>
      </c>
      <c r="AC31" s="18">
        <f t="shared" si="206"/>
        <v>0.23116585559184127</v>
      </c>
      <c r="AD31" s="18">
        <f t="shared" si="206"/>
        <v>0.23041898474942688</v>
      </c>
      <c r="AE31" s="18">
        <f t="shared" si="206"/>
        <v>0.24053736976046292</v>
      </c>
      <c r="AF31" s="18">
        <f t="shared" si="206"/>
        <v>0.24133646566097466</v>
      </c>
      <c r="AG31" s="18">
        <f t="shared" si="206"/>
        <v>0.24086438727868148</v>
      </c>
      <c r="AH31" s="18">
        <f t="shared" si="206"/>
        <v>0.25001797672434595</v>
      </c>
      <c r="AI31" s="18">
        <f t="shared" si="206"/>
        <v>0.25039039276730213</v>
      </c>
      <c r="AJ31" s="18">
        <f t="shared" si="206"/>
        <v>0.2501269579373781</v>
      </c>
      <c r="AK31" s="18">
        <f t="shared" si="206"/>
        <v>0.25852154959542778</v>
      </c>
      <c r="AL31" s="18">
        <f t="shared" si="206"/>
        <v>0.25856774594860588</v>
      </c>
      <c r="AM31" s="18">
        <f t="shared" si="206"/>
        <v>0.25846488168705234</v>
      </c>
      <c r="AN31" s="18">
        <f t="shared" si="206"/>
        <v>0.26379406375552278</v>
      </c>
      <c r="AO31" s="18">
        <f t="shared" si="206"/>
        <v>0.26341890344011271</v>
      </c>
      <c r="AP31" s="18">
        <f t="shared" si="206"/>
        <v>0.26352189590434216</v>
      </c>
      <c r="AQ31" s="18">
        <f t="shared" ref="AQ31:AS31" si="207">AQ29/AQ$15</f>
        <v>0.26632666932912674</v>
      </c>
      <c r="AR31" s="18">
        <f t="shared" si="207"/>
        <v>0.26584003721759919</v>
      </c>
      <c r="AS31" s="18">
        <f t="shared" si="207"/>
        <v>0.26599932896327533</v>
      </c>
      <c r="AT31" s="18">
        <f t="shared" ref="AT31:AV31" si="208">AT29/AT$15</f>
        <v>0.26824396406909606</v>
      </c>
      <c r="AU31" s="18">
        <f t="shared" si="208"/>
        <v>0.26766552468387367</v>
      </c>
      <c r="AV31" s="18">
        <f t="shared" si="208"/>
        <v>0.267871495779475</v>
      </c>
    </row>
    <row r="32" spans="1:57" x14ac:dyDescent="0.25">
      <c r="O32" s="84"/>
    </row>
    <row r="33" spans="1:57" outlineLevel="1" x14ac:dyDescent="0.25">
      <c r="B33" s="8" t="s">
        <v>100</v>
      </c>
      <c r="C33" s="22" t="s">
        <v>28</v>
      </c>
      <c r="F33" s="19">
        <f>-Assumptions!F341+Assumptions!F357</f>
        <v>-12</v>
      </c>
      <c r="G33" s="19">
        <f>-Assumptions!G341+Assumptions!G357</f>
        <v>-9.3500000000000014</v>
      </c>
      <c r="H33" s="19">
        <f>-Assumptions!H341+Assumptions!H357</f>
        <v>-9.3500000000000014</v>
      </c>
      <c r="I33" s="19">
        <f>-Assumptions!I341+Assumptions!I357</f>
        <v>-18.700000000000003</v>
      </c>
      <c r="J33" s="19">
        <f>-Assumptions!J341</f>
        <v>-6.48</v>
      </c>
      <c r="K33" s="19">
        <f>-Assumptions!K341+Assumptions!K357</f>
        <v>-12.1035</v>
      </c>
      <c r="L33" s="19">
        <f>-Assumptions!L341+Assumptions!L357</f>
        <v>-24.207000000000001</v>
      </c>
      <c r="M33" s="19">
        <f>-Assumptions!M341+Assumptions!M357</f>
        <v>-15.574999999999999</v>
      </c>
      <c r="N33" s="19">
        <f>-Assumptions!N341+Assumptions!N357</f>
        <v>-17.594999999999999</v>
      </c>
      <c r="O33" s="19">
        <f>-Assumptions!O341+Assumptions!O357</f>
        <v>-33.17</v>
      </c>
      <c r="P33" s="19">
        <f>-Assumptions!P341+Assumptions!P357</f>
        <v>-20.026861439650745</v>
      </c>
      <c r="Q33" s="19">
        <f>-Assumptions!Q341+Assumptions!Q357</f>
        <v>-21.260849924578974</v>
      </c>
      <c r="R33" s="19">
        <f>-Assumptions!R341+Assumptions!R357</f>
        <v>-41.287711364229722</v>
      </c>
      <c r="S33" s="19">
        <f>-Assumptions!S341+Assumptions!S357</f>
        <v>-24.371233983258271</v>
      </c>
      <c r="T33" s="19">
        <f>-Assumptions!T341+Assumptions!T357</f>
        <v>-25.871837829685724</v>
      </c>
      <c r="U33" s="19">
        <f>-Assumptions!U341+Assumptions!U357</f>
        <v>-50.243071812943995</v>
      </c>
      <c r="V33" s="19">
        <f>-Assumptions!V341+Assumptions!V357</f>
        <v>-29.239991160379269</v>
      </c>
      <c r="W33" s="19">
        <f>-Assumptions!W341+Assumptions!W357</f>
        <v>-31.027309548894358</v>
      </c>
      <c r="X33" s="19">
        <f>-Assumptions!X341+Assumptions!X357</f>
        <v>-60.267300709273627</v>
      </c>
      <c r="Y33" s="19">
        <f>-Assumptions!Y341+Assumptions!Y357</f>
        <v>-34.364402944012269</v>
      </c>
      <c r="Z33" s="19">
        <f>-Assumptions!Z341+Assumptions!Z357</f>
        <v>-36.449357442446718</v>
      </c>
      <c r="AA33" s="19">
        <f>-Assumptions!AA341+Assumptions!AA357</f>
        <v>-70.813760386458995</v>
      </c>
      <c r="AB33" s="19">
        <f>-Assumptions!AB341+Assumptions!AB357</f>
        <v>-39.57153006309629</v>
      </c>
      <c r="AC33" s="19">
        <f>-Assumptions!AC341+Assumptions!AC357</f>
        <v>-41.955805070263096</v>
      </c>
      <c r="AD33" s="19">
        <f>-Assumptions!AD341+Assumptions!AD357</f>
        <v>-81.527335133359372</v>
      </c>
      <c r="AE33" s="19">
        <f>-Assumptions!AE341+Assumptions!AE357</f>
        <v>-44.835636672670773</v>
      </c>
      <c r="AF33" s="19">
        <f>-Assumptions!AF341+Assumptions!AF357</f>
        <v>-47.513894038731749</v>
      </c>
      <c r="AG33" s="19">
        <f>-Assumptions!AG341+Assumptions!AG357</f>
        <v>-92.349530711402537</v>
      </c>
      <c r="AH33" s="19">
        <f>-Assumptions!AH341+Assumptions!AH357</f>
        <v>-50.428686269557026</v>
      </c>
      <c r="AI33" s="19">
        <f>-Assumptions!AI341+Assumptions!AI357</f>
        <v>-53.413971166069864</v>
      </c>
      <c r="AJ33" s="19">
        <f>-Assumptions!AJ341+Assumptions!AJ357</f>
        <v>-103.84265743562689</v>
      </c>
      <c r="AK33" s="19">
        <f>-Assumptions!AK341+Assumptions!AK357</f>
        <v>-56.365395037741443</v>
      </c>
      <c r="AL33" s="19">
        <f>-Assumptions!AL341+Assumptions!AL357</f>
        <v>-59.670797419668951</v>
      </c>
      <c r="AM33" s="19">
        <f>-Assumptions!AM341+Assumptions!AM357</f>
        <v>-116.03619245741039</v>
      </c>
      <c r="AN33" s="19">
        <f>-Assumptions!AN341+Assumptions!AN357</f>
        <v>-61.20894791031985</v>
      </c>
      <c r="AO33" s="19">
        <f>-Assumptions!AO341+Assumptions!AO357</f>
        <v>-64.766158604346657</v>
      </c>
      <c r="AP33" s="19">
        <f>-Assumptions!AP341+Assumptions!AP357</f>
        <v>-125.97510651466652</v>
      </c>
      <c r="AQ33" s="19">
        <f>-Assumptions!AQ341+Assumptions!AQ357</f>
        <v>-65.882663712871391</v>
      </c>
      <c r="AR33" s="19">
        <f>-Assumptions!AR341+Assumptions!AR357</f>
        <v>-69.67212664731727</v>
      </c>
      <c r="AS33" s="19">
        <f>-Assumptions!AS341+Assumptions!AS357</f>
        <v>-135.55479036018866</v>
      </c>
      <c r="AT33" s="19">
        <f>-Assumptions!AT341+Assumptions!AT357</f>
        <v>-70.684287365922145</v>
      </c>
      <c r="AU33" s="19">
        <f>-Assumptions!AU341+Assumptions!AU357</f>
        <v>-74.706443033930015</v>
      </c>
      <c r="AV33" s="19">
        <f>-Assumptions!AV341+Assumptions!AV357</f>
        <v>-145.39073039985215</v>
      </c>
    </row>
    <row r="34" spans="1:57" outlineLevel="1" x14ac:dyDescent="0.25">
      <c r="B34" s="8" t="s">
        <v>146</v>
      </c>
      <c r="C34" s="22" t="s">
        <v>28</v>
      </c>
      <c r="F34" s="19">
        <f>Assumptions!F371</f>
        <v>-2.4</v>
      </c>
      <c r="G34" s="19">
        <f>Assumptions!G371</f>
        <v>-3.2</v>
      </c>
      <c r="H34" s="19">
        <f>Assumptions!H371</f>
        <v>-3.6</v>
      </c>
      <c r="I34" s="19">
        <f>Assumptions!I371</f>
        <v>-6.8</v>
      </c>
      <c r="J34" s="19">
        <f>Assumptions!J371</f>
        <v>-3.8</v>
      </c>
      <c r="K34" s="19">
        <f>Assumptions!K371</f>
        <v>-3.1160000000000001</v>
      </c>
      <c r="L34" s="19">
        <f>Assumptions!L371</f>
        <v>-6.9160000000000004</v>
      </c>
      <c r="M34" s="291">
        <f>Assumptions!M371</f>
        <v>-3.5049999999999999</v>
      </c>
      <c r="N34" s="19">
        <f>Assumptions!N371</f>
        <v>-3.0060000000000002</v>
      </c>
      <c r="O34" s="19">
        <f>Assumptions!O371</f>
        <v>-6.5110000000000001</v>
      </c>
      <c r="P34" s="19">
        <f>Assumptions!P371</f>
        <v>-3.6091994444876603</v>
      </c>
      <c r="Q34" s="19">
        <f>Assumptions!Q371</f>
        <v>-3.7819341374463482</v>
      </c>
      <c r="R34" s="19">
        <f>Assumptions!R371</f>
        <v>-7.3911335819340085</v>
      </c>
      <c r="S34" s="19">
        <f>Assumptions!S371</f>
        <v>-3.9932965700216663</v>
      </c>
      <c r="T34" s="19">
        <f>Assumptions!T371</f>
        <v>-4.2248339306285381</v>
      </c>
      <c r="U34" s="19">
        <f>Assumptions!U371</f>
        <v>-8.2181305006502043</v>
      </c>
      <c r="V34" s="19">
        <f>Assumptions!V371</f>
        <v>-4.4959599597802553</v>
      </c>
      <c r="W34" s="19">
        <f>Assumptions!W371</f>
        <v>-4.7156944387202326</v>
      </c>
      <c r="X34" s="19">
        <f>Assumptions!X371</f>
        <v>-9.2116543985004888</v>
      </c>
      <c r="Y34" s="19">
        <f>Assumptions!Y371</f>
        <v>-5.0223330611569814</v>
      </c>
      <c r="Z34" s="19">
        <f>Assumptions!Z371</f>
        <v>-5.2878217275426804</v>
      </c>
      <c r="AA34" s="19">
        <f>Assumptions!AA371</f>
        <v>-10.310154788699663</v>
      </c>
      <c r="AB34" s="19">
        <f>Assumptions!AB371</f>
        <v>-5.565777028135976</v>
      </c>
      <c r="AC34" s="19">
        <f>Assumptions!AC371</f>
        <v>-5.8824928484835963</v>
      </c>
      <c r="AD34" s="19">
        <f>Assumptions!AD371</f>
        <v>-11.448269876619573</v>
      </c>
      <c r="AE34" s="19">
        <f>Assumptions!AE371</f>
        <v>-6.1340185015969162</v>
      </c>
      <c r="AF34" s="19">
        <f>Assumptions!AF371</f>
        <v>-6.4825636734626091</v>
      </c>
      <c r="AG34" s="19">
        <f>Assumptions!AG371</f>
        <v>-12.616582175059525</v>
      </c>
      <c r="AH34" s="19">
        <f>Assumptions!AH371</f>
        <v>-6.7487849200817216</v>
      </c>
      <c r="AI34" s="19">
        <f>Assumptions!AI371</f>
        <v>-7.1315886625410023</v>
      </c>
      <c r="AJ34" s="19">
        <f>Assumptions!AJ371</f>
        <v>-13.880373582622724</v>
      </c>
      <c r="AK34" s="19">
        <f>Assumptions!AK371</f>
        <v>-7.4133202206466517</v>
      </c>
      <c r="AL34" s="19">
        <f>Assumptions!AL371</f>
        <v>-7.8329702939429016</v>
      </c>
      <c r="AM34" s="19">
        <f>Assumptions!AM371</f>
        <v>-15.246290514589553</v>
      </c>
      <c r="AN34" s="19">
        <f>Assumptions!AN371</f>
        <v>-8.0025895487418897</v>
      </c>
      <c r="AO34" s="19">
        <f>Assumptions!AO371</f>
        <v>-8.4285894147004203</v>
      </c>
      <c r="AP34" s="19">
        <f>Assumptions!AP371</f>
        <v>-16.43117896344231</v>
      </c>
      <c r="AQ34" s="19">
        <f>Assumptions!AQ371</f>
        <v>-8.5730999684542315</v>
      </c>
      <c r="AR34" s="19">
        <f>Assumptions!AR371</f>
        <v>-9.0284003985491452</v>
      </c>
      <c r="AS34" s="19">
        <f>Assumptions!AS371</f>
        <v>-17.601500367003375</v>
      </c>
      <c r="AT34" s="19">
        <f>Assumptions!AT371</f>
        <v>-9.1677977094983678</v>
      </c>
      <c r="AU34" s="19">
        <f>Assumptions!AU371</f>
        <v>-9.6535454307968962</v>
      </c>
      <c r="AV34" s="19">
        <f>Assumptions!AV371</f>
        <v>-18.821343140295262</v>
      </c>
    </row>
    <row r="35" spans="1:57" x14ac:dyDescent="0.25">
      <c r="A35" s="8" t="s">
        <v>314</v>
      </c>
      <c r="B35" s="8" t="s">
        <v>234</v>
      </c>
      <c r="C35" s="22" t="s">
        <v>28</v>
      </c>
      <c r="F35" s="19">
        <f>+F33+F34</f>
        <v>-14.4</v>
      </c>
      <c r="G35" s="19">
        <f t="shared" ref="G35:X35" si="209">+G33+G34</f>
        <v>-12.55</v>
      </c>
      <c r="H35" s="19">
        <f t="shared" si="209"/>
        <v>-12.950000000000001</v>
      </c>
      <c r="I35" s="19">
        <f t="shared" si="209"/>
        <v>-25.500000000000004</v>
      </c>
      <c r="J35" s="19">
        <f t="shared" si="209"/>
        <v>-10.280000000000001</v>
      </c>
      <c r="K35" s="19">
        <f t="shared" ref="K35:M35" si="210">+K33+K34</f>
        <v>-15.2195</v>
      </c>
      <c r="L35" s="19">
        <f t="shared" si="210"/>
        <v>-31.123000000000001</v>
      </c>
      <c r="M35" s="291">
        <f t="shared" si="210"/>
        <v>-19.079999999999998</v>
      </c>
      <c r="N35" s="19">
        <f>+N33+N34</f>
        <v>-20.600999999999999</v>
      </c>
      <c r="O35" s="19">
        <f>+O33+O34</f>
        <v>-39.681000000000004</v>
      </c>
      <c r="P35" s="19">
        <f t="shared" si="209"/>
        <v>-23.636060884138406</v>
      </c>
      <c r="Q35" s="19">
        <f t="shared" si="209"/>
        <v>-25.042784062025323</v>
      </c>
      <c r="R35" s="19">
        <f t="shared" si="209"/>
        <v>-48.678844946163728</v>
      </c>
      <c r="S35" s="19">
        <f t="shared" si="209"/>
        <v>-28.364530553279938</v>
      </c>
      <c r="T35" s="19">
        <f t="shared" si="209"/>
        <v>-30.096671760314262</v>
      </c>
      <c r="U35" s="19">
        <f t="shared" si="209"/>
        <v>-58.4612023135942</v>
      </c>
      <c r="V35" s="19">
        <f t="shared" si="209"/>
        <v>-33.735951120159527</v>
      </c>
      <c r="W35" s="19">
        <f t="shared" si="209"/>
        <v>-35.743003987614593</v>
      </c>
      <c r="X35" s="19">
        <f t="shared" si="209"/>
        <v>-69.478955107774112</v>
      </c>
      <c r="Y35" s="19">
        <f t="shared" ref="Y35:AA35" si="211">+Y33+Y34</f>
        <v>-39.386736005169254</v>
      </c>
      <c r="Z35" s="19">
        <f t="shared" si="211"/>
        <v>-41.737179169989396</v>
      </c>
      <c r="AA35" s="19">
        <f t="shared" si="211"/>
        <v>-81.123915175158658</v>
      </c>
      <c r="AB35" s="19">
        <f t="shared" ref="AB35:AP35" si="212">+AB33+AB34</f>
        <v>-45.137307091232266</v>
      </c>
      <c r="AC35" s="19">
        <f t="shared" si="212"/>
        <v>-47.83829791874669</v>
      </c>
      <c r="AD35" s="19">
        <f t="shared" si="212"/>
        <v>-92.975605009978949</v>
      </c>
      <c r="AE35" s="19">
        <f t="shared" si="212"/>
        <v>-50.969655174267686</v>
      </c>
      <c r="AF35" s="19">
        <f t="shared" si="212"/>
        <v>-53.996457712194356</v>
      </c>
      <c r="AG35" s="19">
        <f t="shared" si="212"/>
        <v>-104.96611288646206</v>
      </c>
      <c r="AH35" s="19">
        <f t="shared" si="212"/>
        <v>-57.177471189638752</v>
      </c>
      <c r="AI35" s="19">
        <f t="shared" si="212"/>
        <v>-60.545559828610862</v>
      </c>
      <c r="AJ35" s="19">
        <f t="shared" si="212"/>
        <v>-117.72303101824961</v>
      </c>
      <c r="AK35" s="19">
        <f t="shared" si="212"/>
        <v>-63.778715258388097</v>
      </c>
      <c r="AL35" s="19">
        <f t="shared" si="212"/>
        <v>-67.50376771361185</v>
      </c>
      <c r="AM35" s="19">
        <f t="shared" si="212"/>
        <v>-131.28248297199994</v>
      </c>
      <c r="AN35" s="19">
        <f t="shared" si="212"/>
        <v>-69.211537459061745</v>
      </c>
      <c r="AO35" s="19">
        <f t="shared" si="212"/>
        <v>-73.194748019047083</v>
      </c>
      <c r="AP35" s="19">
        <f t="shared" si="212"/>
        <v>-142.40628547810883</v>
      </c>
      <c r="AQ35" s="19">
        <f t="shared" ref="AQ35:AS35" si="213">+AQ33+AQ34</f>
        <v>-74.455763681325621</v>
      </c>
      <c r="AR35" s="19">
        <f t="shared" si="213"/>
        <v>-78.700527045866409</v>
      </c>
      <c r="AS35" s="19">
        <f t="shared" si="213"/>
        <v>-153.15629072719204</v>
      </c>
      <c r="AT35" s="19">
        <f t="shared" ref="AT35:AV35" si="214">+AT33+AT34</f>
        <v>-79.852085075420518</v>
      </c>
      <c r="AU35" s="19">
        <f t="shared" si="214"/>
        <v>-84.359988464726911</v>
      </c>
      <c r="AV35" s="19">
        <f t="shared" si="214"/>
        <v>-164.2120735401474</v>
      </c>
    </row>
    <row r="36" spans="1:57" x14ac:dyDescent="0.25">
      <c r="M36" s="287"/>
      <c r="N36" s="14"/>
      <c r="O36" s="74"/>
      <c r="R36" s="74"/>
      <c r="U36" s="74"/>
      <c r="X36" s="74"/>
      <c r="AA36" s="74"/>
      <c r="AD36" s="74"/>
      <c r="AG36" s="74"/>
      <c r="AJ36" s="74"/>
      <c r="AM36" s="74"/>
      <c r="AP36" s="74"/>
      <c r="AS36" s="74"/>
      <c r="AV36" s="74"/>
    </row>
    <row r="38" spans="1:57" s="12" customFormat="1" x14ac:dyDescent="0.25">
      <c r="A38" s="8" t="s">
        <v>296</v>
      </c>
      <c r="B38" s="76" t="s">
        <v>70</v>
      </c>
      <c r="C38" s="162" t="s">
        <v>28</v>
      </c>
      <c r="D38" s="76"/>
      <c r="E38" s="76"/>
      <c r="F38" s="77">
        <f>+F29+F35</f>
        <v>7.1999999999999797</v>
      </c>
      <c r="G38" s="77">
        <f t="shared" ref="G38:W38" si="215">+G29+G35</f>
        <v>2.0424999999999862</v>
      </c>
      <c r="H38" s="77">
        <f t="shared" si="215"/>
        <v>1.7575000000000234</v>
      </c>
      <c r="I38" s="77">
        <f t="shared" si="215"/>
        <v>3.8000000000000078</v>
      </c>
      <c r="J38" s="77">
        <f t="shared" ref="J38:L38" si="216">+J29+J35</f>
        <v>15.290999999999954</v>
      </c>
      <c r="K38" s="77">
        <f t="shared" si="216"/>
        <v>3.9684999999999881</v>
      </c>
      <c r="L38" s="77">
        <f t="shared" si="216"/>
        <v>13.63600000000007</v>
      </c>
      <c r="M38" s="425">
        <f t="shared" ref="M38" si="217">+M29+M35</f>
        <v>12.602000000000018</v>
      </c>
      <c r="N38" s="77">
        <f>+N29+N35</f>
        <v>13.14500000000001</v>
      </c>
      <c r="O38" s="77">
        <f t="shared" si="215"/>
        <v>25.74700000000005</v>
      </c>
      <c r="P38" s="77">
        <f t="shared" si="215"/>
        <v>16.894431477253892</v>
      </c>
      <c r="Q38" s="77">
        <f t="shared" si="215"/>
        <v>19.779164661938868</v>
      </c>
      <c r="R38" s="77">
        <f>+R29+R35</f>
        <v>36.673596139192775</v>
      </c>
      <c r="S38" s="77">
        <f t="shared" si="215"/>
        <v>29.563123572117288</v>
      </c>
      <c r="T38" s="77">
        <f t="shared" si="215"/>
        <v>37.664629798288345</v>
      </c>
      <c r="U38" s="77">
        <f t="shared" si="215"/>
        <v>67.227753370405665</v>
      </c>
      <c r="V38" s="77">
        <f t="shared" si="215"/>
        <v>50.457004778378646</v>
      </c>
      <c r="W38" s="77">
        <f t="shared" si="215"/>
        <v>51.801084325874861</v>
      </c>
      <c r="X38" s="77">
        <f>+X29+X35</f>
        <v>102.25808910425357</v>
      </c>
      <c r="Y38" s="77">
        <f t="shared" ref="Y38:Z38" si="218">+Y29+Y35</f>
        <v>71.122724703525961</v>
      </c>
      <c r="Z38" s="77">
        <f t="shared" si="218"/>
        <v>74.537903009271957</v>
      </c>
      <c r="AA38" s="77">
        <f>+AA29+AA35</f>
        <v>145.66062771279786</v>
      </c>
      <c r="AB38" s="77">
        <f t="shared" ref="AB38:AP38" si="219">+AB29+AB35</f>
        <v>90.09943656941627</v>
      </c>
      <c r="AC38" s="77">
        <f t="shared" si="219"/>
        <v>99.716248015239756</v>
      </c>
      <c r="AD38" s="77">
        <f t="shared" si="219"/>
        <v>189.81568458465603</v>
      </c>
      <c r="AE38" s="77">
        <f t="shared" si="219"/>
        <v>111.93055675150207</v>
      </c>
      <c r="AF38" s="77">
        <f t="shared" si="219"/>
        <v>122.67965638785061</v>
      </c>
      <c r="AG38" s="77">
        <f t="shared" si="219"/>
        <v>234.61021313935271</v>
      </c>
      <c r="AH38" s="77">
        <f t="shared" si="219"/>
        <v>136.21821292867935</v>
      </c>
      <c r="AI38" s="77">
        <f t="shared" si="219"/>
        <v>148.22537335403715</v>
      </c>
      <c r="AJ38" s="77">
        <f t="shared" si="219"/>
        <v>284.44358628271647</v>
      </c>
      <c r="AK38" s="77">
        <f t="shared" si="219"/>
        <v>163.17916283991599</v>
      </c>
      <c r="AL38" s="77">
        <f t="shared" si="219"/>
        <v>176.58148103986679</v>
      </c>
      <c r="AM38" s="77">
        <f t="shared" si="219"/>
        <v>339.76064387978272</v>
      </c>
      <c r="AN38" s="77">
        <f t="shared" si="219"/>
        <v>186.69101171011931</v>
      </c>
      <c r="AO38" s="77">
        <f t="shared" si="219"/>
        <v>199.99930785625116</v>
      </c>
      <c r="AP38" s="77">
        <f t="shared" si="219"/>
        <v>386.69031956637042</v>
      </c>
      <c r="AQ38" s="77">
        <f t="shared" ref="AQ38:AS38" si="220">+AQ29+AQ35</f>
        <v>207.7035225700252</v>
      </c>
      <c r="AR38" s="77">
        <f t="shared" si="220"/>
        <v>221.99337743134834</v>
      </c>
      <c r="AS38" s="77">
        <f t="shared" si="220"/>
        <v>429.69690000137336</v>
      </c>
      <c r="AT38" s="77">
        <f t="shared" ref="AT38:AV38" si="221">+AT29+AT35</f>
        <v>229.38210994689979</v>
      </c>
      <c r="AU38" s="77">
        <f t="shared" si="221"/>
        <v>244.67897241068974</v>
      </c>
      <c r="AV38" s="77">
        <f t="shared" si="221"/>
        <v>474.06108235758944</v>
      </c>
      <c r="AZ38"/>
      <c r="BA38"/>
      <c r="BB38"/>
      <c r="BC38"/>
      <c r="BD38"/>
      <c r="BE38"/>
    </row>
    <row r="39" spans="1:57" x14ac:dyDescent="0.25">
      <c r="B39" s="11" t="s">
        <v>27</v>
      </c>
      <c r="I39" s="14">
        <f>I38/F38-1</f>
        <v>-0.47222222222221966</v>
      </c>
      <c r="J39" s="14">
        <f t="shared" ref="J39:M39" si="222">J38/G38-1</f>
        <v>6.4864137086903586</v>
      </c>
      <c r="K39" s="14">
        <f t="shared" si="222"/>
        <v>1.2580369843527373</v>
      </c>
      <c r="L39" s="254">
        <f t="shared" si="222"/>
        <v>2.5884210526315901</v>
      </c>
      <c r="M39" s="287">
        <f t="shared" si="222"/>
        <v>-0.17585507815054247</v>
      </c>
      <c r="N39" s="14">
        <f t="shared" ref="N39" si="223">N38/K38-1</f>
        <v>2.3123346352526268</v>
      </c>
      <c r="O39" s="14">
        <f t="shared" ref="O39" si="224">O38/L38-1</f>
        <v>0.88816368436491033</v>
      </c>
      <c r="P39" s="14">
        <f t="shared" ref="P39" si="225">P38/M38-1</f>
        <v>0.34061509897269238</v>
      </c>
      <c r="Q39" s="14">
        <f t="shared" ref="Q39" si="226">Q38/N38-1</f>
        <v>0.50469111159671765</v>
      </c>
      <c r="R39" s="14">
        <f t="shared" ref="R39" si="227">R38/O38-1</f>
        <v>0.4243832733597197</v>
      </c>
      <c r="S39" s="14">
        <f t="shared" ref="S39" si="228">S38/P38-1</f>
        <v>0.74987383339416347</v>
      </c>
      <c r="T39" s="14">
        <f t="shared" ref="T39" si="229">T38/Q38-1</f>
        <v>0.90425786134267616</v>
      </c>
      <c r="U39" s="14">
        <f t="shared" ref="U39" si="230">U38/R38-1</f>
        <v>0.83313774616610092</v>
      </c>
      <c r="V39" s="14">
        <f t="shared" ref="V39" si="231">V38/S38-1</f>
        <v>0.70675485813574856</v>
      </c>
      <c r="W39" s="14">
        <f t="shared" ref="W39" si="232">W38/T38-1</f>
        <v>0.37532439860138855</v>
      </c>
      <c r="X39" s="14">
        <f t="shared" ref="X39" si="233">X38/U38-1</f>
        <v>0.52106955799698951</v>
      </c>
      <c r="Y39" s="14">
        <f t="shared" ref="Y39" si="234">Y38/V38-1</f>
        <v>0.40957088150430199</v>
      </c>
      <c r="Z39" s="14">
        <f t="shared" ref="Z39" si="235">Z38/W38-1</f>
        <v>0.43892553561933756</v>
      </c>
      <c r="AA39" s="14">
        <f t="shared" ref="AA39" si="236">AA38/X38-1</f>
        <v>0.42444112723732585</v>
      </c>
      <c r="AB39" s="14">
        <f t="shared" ref="AB39" si="237">AB38/Y38-1</f>
        <v>0.26681643518291032</v>
      </c>
      <c r="AC39" s="14">
        <f t="shared" ref="AC39" si="238">AC38/Z38-1</f>
        <v>0.33779250541614791</v>
      </c>
      <c r="AD39" s="14">
        <f t="shared" ref="AD39" si="239">AD38/AA38-1</f>
        <v>0.30313652745558417</v>
      </c>
      <c r="AE39" s="14">
        <f t="shared" ref="AE39" si="240">AE38/AB38-1</f>
        <v>0.24230029635386474</v>
      </c>
      <c r="AF39" s="14">
        <f t="shared" ref="AF39" si="241">AF38/AC38-1</f>
        <v>0.23028752916075756</v>
      </c>
      <c r="AG39" s="14">
        <f t="shared" ref="AG39" si="242">AG38/AD38-1</f>
        <v>0.23598960566780103</v>
      </c>
      <c r="AH39" s="14">
        <f t="shared" ref="AH39" si="243">AH38/AE38-1</f>
        <v>0.216988612243737</v>
      </c>
      <c r="AI39" s="14">
        <f t="shared" ref="AI39" si="244">AI38/AF38-1</f>
        <v>0.20823107692300646</v>
      </c>
      <c r="AJ39" s="14">
        <f t="shared" ref="AJ39" si="245">AJ38/AG38-1</f>
        <v>0.21240922326669542</v>
      </c>
      <c r="AK39" s="14">
        <f t="shared" ref="AK39" si="246">AK38/AH38-1</f>
        <v>0.19792470721483291</v>
      </c>
      <c r="AL39" s="14">
        <f t="shared" ref="AL39" si="247">AL38/AI38-1</f>
        <v>0.19130400581350471</v>
      </c>
      <c r="AM39" s="14">
        <f t="shared" ref="AM39" si="248">AM38/AJ38-1</f>
        <v>0.19447461733971072</v>
      </c>
      <c r="AN39" s="14">
        <f t="shared" ref="AN39" si="249">AN38/AK38-1</f>
        <v>0.14408609813294126</v>
      </c>
      <c r="AO39" s="14">
        <f t="shared" ref="AO39" si="250">AO38/AL38-1</f>
        <v>0.13261768266116958</v>
      </c>
      <c r="AP39" s="14">
        <f t="shared" ref="AP39" si="251">AP38/AM38-1</f>
        <v>0.1381256968161173</v>
      </c>
      <c r="AQ39" s="14">
        <f t="shared" ref="AQ39" si="252">AQ38/AN38-1</f>
        <v>0.11255234340115217</v>
      </c>
      <c r="AR39" s="14">
        <f t="shared" ref="AR39" si="253">AR38/AO38-1</f>
        <v>0.10997072845324718</v>
      </c>
      <c r="AS39" s="14">
        <f t="shared" ref="AS39" si="254">AS38/AP38-1</f>
        <v>0.1112171116236631</v>
      </c>
      <c r="AT39" s="14">
        <f t="shared" ref="AT39" si="255">AT38/AQ38-1</f>
        <v>0.10437274779278649</v>
      </c>
      <c r="AU39" s="14">
        <f t="shared" ref="AU39" si="256">AU38/AR38-1</f>
        <v>0.10219041325391309</v>
      </c>
      <c r="AV39" s="14">
        <f t="shared" ref="AV39" si="257">AV38/AS38-1</f>
        <v>0.10324529303347152</v>
      </c>
    </row>
    <row r="40" spans="1:57" x14ac:dyDescent="0.25">
      <c r="A40" s="8" t="s">
        <v>642</v>
      </c>
      <c r="B40" s="11" t="s">
        <v>232</v>
      </c>
      <c r="I40" s="18">
        <f>I38/I$15</f>
        <v>1.3728323699421993E-2</v>
      </c>
      <c r="J40" s="18">
        <f t="shared" ref="J40:L40" si="258">J38/J$15</f>
        <v>8.4869374094609887E-2</v>
      </c>
      <c r="K40" s="18">
        <f t="shared" si="258"/>
        <v>2.1473869895998986E-2</v>
      </c>
      <c r="L40" s="304">
        <f t="shared" si="258"/>
        <v>3.7361258380665271E-2</v>
      </c>
      <c r="M40" s="288">
        <f t="shared" ref="M40" si="259">M38/M$15</f>
        <v>5.5458250085814703E-2</v>
      </c>
      <c r="N40" s="18">
        <f t="shared" ref="N40:X40" si="260">N38/N$15</f>
        <v>5.4525242553332735E-2</v>
      </c>
      <c r="O40" s="18">
        <f t="shared" si="260"/>
        <v>5.497795287360014E-2</v>
      </c>
      <c r="P40" s="18">
        <f t="shared" si="260"/>
        <v>5.9205571828947395E-2</v>
      </c>
      <c r="Q40" s="18">
        <f t="shared" si="260"/>
        <v>6.3364492859028634E-2</v>
      </c>
      <c r="R40" s="18">
        <f>R38/R$15</f>
        <v>6.1362391227713309E-2</v>
      </c>
      <c r="S40" s="18">
        <f t="shared" si="260"/>
        <v>8.5906299619813359E-2</v>
      </c>
      <c r="T40" s="18">
        <f t="shared" si="260"/>
        <v>9.8935456980794576E-2</v>
      </c>
      <c r="U40" s="18">
        <f t="shared" si="260"/>
        <v>9.2720153166724176E-2</v>
      </c>
      <c r="V40" s="18">
        <f t="shared" si="260"/>
        <v>0.11958802579134578</v>
      </c>
      <c r="W40" s="18">
        <f t="shared" si="260"/>
        <v>0.11342061437048753</v>
      </c>
      <c r="X40" s="18">
        <f t="shared" si="260"/>
        <v>0.11632327211441557</v>
      </c>
      <c r="Y40" s="18">
        <f t="shared" ref="Y40:AA40" si="261">Y38/Y$15</f>
        <v>0.14117025392116281</v>
      </c>
      <c r="Z40" s="18">
        <f t="shared" si="261"/>
        <v>0.13657761015089828</v>
      </c>
      <c r="AA40" s="18">
        <f t="shared" si="261"/>
        <v>0.13872037670496615</v>
      </c>
      <c r="AB40" s="18">
        <f t="shared" ref="AB40:AP40" si="262">AB38/AB$15</f>
        <v>0.15310148826795988</v>
      </c>
      <c r="AC40" s="18">
        <f t="shared" si="262"/>
        <v>0.15622013976556026</v>
      </c>
      <c r="AD40" s="18">
        <f t="shared" si="262"/>
        <v>0.15466225071574358</v>
      </c>
      <c r="AE40" s="18">
        <f t="shared" si="262"/>
        <v>0.16527591584165038</v>
      </c>
      <c r="AF40" s="18">
        <f t="shared" si="262"/>
        <v>0.16757825375523777</v>
      </c>
      <c r="AG40" s="18">
        <f t="shared" si="262"/>
        <v>0.16641102723054726</v>
      </c>
      <c r="AH40" s="18">
        <f t="shared" si="262"/>
        <v>0.17610011384017613</v>
      </c>
      <c r="AI40" s="18">
        <f t="shared" si="262"/>
        <v>0.17777479310171568</v>
      </c>
      <c r="AJ40" s="18">
        <f t="shared" si="262"/>
        <v>0.17690928555726021</v>
      </c>
      <c r="AK40" s="18">
        <f t="shared" si="262"/>
        <v>0.18587294872746235</v>
      </c>
      <c r="AL40" s="18">
        <f t="shared" si="262"/>
        <v>0.18705872543268195</v>
      </c>
      <c r="AM40" s="18">
        <f t="shared" si="262"/>
        <v>0.18642920279768099</v>
      </c>
      <c r="AN40" s="18">
        <f t="shared" si="262"/>
        <v>0.19244818312881937</v>
      </c>
      <c r="AO40" s="18">
        <f t="shared" si="262"/>
        <v>0.19284313560732474</v>
      </c>
      <c r="AP40" s="18">
        <f t="shared" si="262"/>
        <v>0.19259501037890686</v>
      </c>
      <c r="AQ40" s="18">
        <f t="shared" ref="AQ40:AS40" si="263">AQ38/AQ$15</f>
        <v>0.19604879254168828</v>
      </c>
      <c r="AR40" s="18">
        <f t="shared" si="263"/>
        <v>0.19626180258297207</v>
      </c>
      <c r="AS40" s="18">
        <f t="shared" si="263"/>
        <v>0.19610270455085146</v>
      </c>
      <c r="AT40" s="18">
        <f t="shared" ref="AT40:AV40" si="264">AT38/AT$15</f>
        <v>0.19897659265738193</v>
      </c>
      <c r="AU40" s="18">
        <f t="shared" si="264"/>
        <v>0.19904064052224946</v>
      </c>
      <c r="AV40" s="18">
        <f t="shared" si="264"/>
        <v>0.1989547109236568</v>
      </c>
    </row>
    <row r="42" spans="1:57" outlineLevel="1" x14ac:dyDescent="0.25">
      <c r="B42" s="8" t="s">
        <v>71</v>
      </c>
      <c r="C42" s="22" t="s">
        <v>28</v>
      </c>
      <c r="F42" s="19">
        <f>+Assumptions!F472</f>
        <v>4.4000000000000004</v>
      </c>
      <c r="G42" s="19">
        <f>+Assumptions!G472</f>
        <v>0</v>
      </c>
      <c r="H42" s="19">
        <f>+Assumptions!H472</f>
        <v>0</v>
      </c>
      <c r="I42" s="19">
        <f>+Assumptions!I472</f>
        <v>12.399999999999999</v>
      </c>
      <c r="J42" s="19">
        <f>+Assumptions!J472</f>
        <v>8.1705000000000005</v>
      </c>
      <c r="K42" s="19">
        <f>+Assumptions!K472</f>
        <v>8.1705000000000005</v>
      </c>
      <c r="L42" s="19">
        <f>+Assumptions!L472</f>
        <v>16.341000000000001</v>
      </c>
      <c r="M42" s="431">
        <f>+Assumptions!M472</f>
        <v>11.445</v>
      </c>
      <c r="N42" s="19">
        <f>+Assumptions!N472</f>
        <v>11.126999999999999</v>
      </c>
      <c r="O42" s="23">
        <f>+Assumptions!O472</f>
        <v>22.571999999999999</v>
      </c>
      <c r="P42" s="19">
        <f>+Assumptions!P472</f>
        <v>11.592820170694988</v>
      </c>
      <c r="Q42" s="19">
        <f>+Assumptions!Q472</f>
        <v>11.252826136982765</v>
      </c>
      <c r="R42" s="19">
        <f>+Assumptions!R472</f>
        <v>22.845646307677754</v>
      </c>
      <c r="S42" s="19">
        <f>+Assumptions!S472</f>
        <v>11.545482003305199</v>
      </c>
      <c r="T42" s="19">
        <f>+Assumptions!T472</f>
        <v>11.121386112334767</v>
      </c>
      <c r="U42" s="19">
        <f>+Assumptions!U472</f>
        <v>22.666868115639964</v>
      </c>
      <c r="V42" s="19">
        <f>+Assumptions!V472</f>
        <v>10.908488282448531</v>
      </c>
      <c r="W42" s="19">
        <f>+Assumptions!W472</f>
        <v>10.721230324420901</v>
      </c>
      <c r="X42" s="19">
        <f>+Assumptions!X472</f>
        <v>21.629718606869432</v>
      </c>
      <c r="Y42" s="19">
        <f>+Assumptions!Y472</f>
        <v>11.854471569843881</v>
      </c>
      <c r="Z42" s="19">
        <f>+Assumptions!Z472</f>
        <v>11.689012409950422</v>
      </c>
      <c r="AA42" s="19">
        <f>+Assumptions!AA472</f>
        <v>23.543483979794303</v>
      </c>
      <c r="AB42" s="19">
        <f>+Assumptions!AB472</f>
        <v>12.909322271919077</v>
      </c>
      <c r="AC42" s="19">
        <f>+Assumptions!AC472</f>
        <v>12.807333926855531</v>
      </c>
      <c r="AD42" s="19">
        <f>+Assumptions!AD472</f>
        <v>25.716656198774608</v>
      </c>
      <c r="AE42" s="19">
        <f>+Assumptions!AE472</f>
        <v>14.103757722226538</v>
      </c>
      <c r="AF42" s="19">
        <f>+Assumptions!AF472</f>
        <v>14.032770810131947</v>
      </c>
      <c r="AG42" s="19">
        <f>+Assumptions!AG472</f>
        <v>28.136528532358483</v>
      </c>
      <c r="AH42" s="19">
        <f>+Assumptions!AH472</f>
        <v>15.472886968114768</v>
      </c>
      <c r="AI42" s="19">
        <f>+Assumptions!AI472</f>
        <v>15.440499239263511</v>
      </c>
      <c r="AJ42" s="19">
        <f>+Assumptions!AJ472</f>
        <v>30.913386207378281</v>
      </c>
      <c r="AK42" s="19">
        <f>+Assumptions!AK472</f>
        <v>17.036884913390551</v>
      </c>
      <c r="AL42" s="19">
        <f>+Assumptions!AL472</f>
        <v>17.051339015671939</v>
      </c>
      <c r="AM42" s="19">
        <f>+Assumptions!AM472</f>
        <v>34.088223929062494</v>
      </c>
      <c r="AN42" s="19">
        <f>+Assumptions!AN472</f>
        <v>18.462149254181693</v>
      </c>
      <c r="AO42" s="19">
        <f>+Assumptions!AO472</f>
        <v>18.548597541001961</v>
      </c>
      <c r="AP42" s="19">
        <f>+Assumptions!AP472</f>
        <v>37.010746795183657</v>
      </c>
      <c r="AQ42" s="19">
        <f>+Assumptions!AQ472</f>
        <v>19.977213990048362</v>
      </c>
      <c r="AR42" s="19">
        <f>+Assumptions!AR472</f>
        <v>20.095037459154554</v>
      </c>
      <c r="AS42" s="19">
        <f>+Assumptions!AS472</f>
        <v>40.072251449202916</v>
      </c>
      <c r="AT42" s="19">
        <f>+Assumptions!AT472</f>
        <v>21.614591393831681</v>
      </c>
      <c r="AU42" s="19">
        <f>+Assumptions!AU472</f>
        <v>21.765036624607383</v>
      </c>
      <c r="AV42" s="19">
        <f>+Assumptions!AV472</f>
        <v>43.379628018439064</v>
      </c>
    </row>
    <row r="43" spans="1:57" outlineLevel="1" x14ac:dyDescent="0.25">
      <c r="B43" s="8" t="s">
        <v>72</v>
      </c>
      <c r="C43" s="22" t="s">
        <v>28</v>
      </c>
      <c r="F43" s="19">
        <f>+Assumptions!F473</f>
        <v>-6</v>
      </c>
      <c r="G43" s="19">
        <f>+Assumptions!G473</f>
        <v>0</v>
      </c>
      <c r="H43" s="19">
        <f>+Assumptions!H473</f>
        <v>0</v>
      </c>
      <c r="I43" s="19">
        <f>+Assumptions!I473</f>
        <v>-8.5</v>
      </c>
      <c r="J43" s="19">
        <f>+Assumptions!J473</f>
        <v>-6.8620000000000001</v>
      </c>
      <c r="K43" s="19">
        <f>+Assumptions!K473</f>
        <v>-6.8620000000000001</v>
      </c>
      <c r="L43" s="19">
        <f>+Assumptions!L473</f>
        <v>-13.724</v>
      </c>
      <c r="M43" s="431">
        <f>+Assumptions!M473</f>
        <v>-8.7520000000000007</v>
      </c>
      <c r="N43" s="19">
        <f>+Assumptions!N473</f>
        <v>-10.048</v>
      </c>
      <c r="O43" s="23">
        <f>+Assumptions!O473</f>
        <v>-18.8</v>
      </c>
      <c r="P43" s="431">
        <f ca="1">+Assumptions!P473</f>
        <v>-10.295144476408165</v>
      </c>
      <c r="Q43" s="19">
        <f ca="1">+Assumptions!Q473</f>
        <v>-10.295144476408165</v>
      </c>
      <c r="R43" s="23">
        <f ca="1">+Assumptions!R473</f>
        <v>-20.590288952816319</v>
      </c>
      <c r="S43" s="431">
        <f ca="1">+Assumptions!S473</f>
        <v>-11.797787762809438</v>
      </c>
      <c r="T43" s="19">
        <f ca="1">+Assumptions!T473</f>
        <v>-11.797787762809438</v>
      </c>
      <c r="U43" s="23">
        <f ca="1">+Assumptions!U473</f>
        <v>-23.595575525618578</v>
      </c>
      <c r="V43" s="431">
        <f ca="1">+Assumptions!V473</f>
        <v>-13.231639092023554</v>
      </c>
      <c r="W43" s="19">
        <f ca="1">+Assumptions!W473</f>
        <v>-13.231639092023554</v>
      </c>
      <c r="X43" s="23">
        <f ca="1">+Assumptions!X473</f>
        <v>-26.4632781840489</v>
      </c>
      <c r="Y43" s="431">
        <f ca="1">+Assumptions!Y473</f>
        <v>-14.67665291686628</v>
      </c>
      <c r="Z43" s="19">
        <f ca="1">+Assumptions!Z473</f>
        <v>-14.67665291686628</v>
      </c>
      <c r="AA43" s="23">
        <f ca="1">+Assumptions!AA473</f>
        <v>-29.353305833802402</v>
      </c>
      <c r="AB43" s="431">
        <f ca="1">+Assumptions!AB473</f>
        <v>-15.888337303303098</v>
      </c>
      <c r="AC43" s="19">
        <f ca="1">+Assumptions!AC473</f>
        <v>-15.888337303303098</v>
      </c>
      <c r="AD43" s="23">
        <f ca="1">+Assumptions!AD473</f>
        <v>-31.776674607009308</v>
      </c>
      <c r="AE43" s="431">
        <f ca="1">+Assumptions!AE473</f>
        <v>-16.860020174236187</v>
      </c>
      <c r="AF43" s="19">
        <f ca="1">+Assumptions!AF473</f>
        <v>-16.860020174236187</v>
      </c>
      <c r="AG43" s="23">
        <f ca="1">+Assumptions!AG473</f>
        <v>-33.720040348932542</v>
      </c>
      <c r="AH43" s="431">
        <f ca="1">+Assumptions!AH473</f>
        <v>-17.685538546262528</v>
      </c>
      <c r="AI43" s="19">
        <f ca="1">+Assumptions!AI473</f>
        <v>-17.685538546262528</v>
      </c>
      <c r="AJ43" s="23">
        <f ca="1">+Assumptions!AJ473</f>
        <v>-35.371077081761094</v>
      </c>
      <c r="AK43" s="431">
        <f ca="1">+Assumptions!AK473</f>
        <v>-18.351504894119245</v>
      </c>
      <c r="AL43" s="19">
        <f ca="1">+Assumptions!AL473</f>
        <v>-18.351504894119245</v>
      </c>
      <c r="AM43" s="23">
        <f ca="1">+Assumptions!AM473</f>
        <v>-36.703009726974969</v>
      </c>
      <c r="AN43" s="431">
        <f ca="1">+Assumptions!AN473</f>
        <v>-18.810241488062815</v>
      </c>
      <c r="AO43" s="19">
        <f ca="1">+Assumptions!AO473</f>
        <v>-18.810241488062815</v>
      </c>
      <c r="AP43" s="23">
        <f ca="1">+Assumptions!AP473</f>
        <v>-37.620482896363193</v>
      </c>
      <c r="AQ43" s="431">
        <f ca="1">+Assumptions!AQ473</f>
        <v>-19.108318922778224</v>
      </c>
      <c r="AR43" s="19">
        <f ca="1">+Assumptions!AR473</f>
        <v>-19.108318922778224</v>
      </c>
      <c r="AS43" s="23">
        <f ca="1">+Assumptions!AS473</f>
        <v>-38.21663768012683</v>
      </c>
      <c r="AT43" s="431">
        <f ca="1">+Assumptions!AT473</f>
        <v>-19.295845704852823</v>
      </c>
      <c r="AU43" s="19">
        <f ca="1">+Assumptions!AU473</f>
        <v>-19.295845704852823</v>
      </c>
      <c r="AV43" s="23">
        <f ca="1">+Assumptions!AV473</f>
        <v>-38.591693577867652</v>
      </c>
    </row>
    <row r="44" spans="1:57" s="12" customFormat="1" x14ac:dyDescent="0.25">
      <c r="A44" s="8" t="s">
        <v>315</v>
      </c>
      <c r="B44" s="12" t="s">
        <v>205</v>
      </c>
      <c r="C44" s="56" t="s">
        <v>28</v>
      </c>
      <c r="F44" s="52">
        <f t="shared" ref="F44:X44" si="265">+F42+F43</f>
        <v>-1.5999999999999996</v>
      </c>
      <c r="G44" s="52">
        <f t="shared" si="265"/>
        <v>0</v>
      </c>
      <c r="H44" s="52">
        <f t="shared" si="265"/>
        <v>0</v>
      </c>
      <c r="I44" s="52">
        <f t="shared" si="265"/>
        <v>3.8999999999999986</v>
      </c>
      <c r="J44" s="52">
        <f t="shared" si="265"/>
        <v>1.3085000000000004</v>
      </c>
      <c r="K44" s="52">
        <f t="shared" ref="K44:M44" si="266">+K42+K43</f>
        <v>1.3085000000000004</v>
      </c>
      <c r="L44" s="52">
        <f t="shared" si="266"/>
        <v>2.6170000000000009</v>
      </c>
      <c r="M44" s="432">
        <f t="shared" si="266"/>
        <v>2.6929999999999996</v>
      </c>
      <c r="N44" s="52">
        <f>+N42+N43</f>
        <v>1.0789999999999988</v>
      </c>
      <c r="O44" s="52">
        <f>+O42+O43</f>
        <v>3.7719999999999985</v>
      </c>
      <c r="P44" s="52">
        <f ca="1">+P42+P43</f>
        <v>1.2976756942868235</v>
      </c>
      <c r="Q44" s="52">
        <f t="shared" ca="1" si="265"/>
        <v>0.95768166057460036</v>
      </c>
      <c r="R44" s="52">
        <f t="shared" ca="1" si="265"/>
        <v>2.2553573548614345</v>
      </c>
      <c r="S44" s="52">
        <f t="shared" ca="1" si="265"/>
        <v>-0.25230575950423884</v>
      </c>
      <c r="T44" s="52">
        <f t="shared" ca="1" si="265"/>
        <v>-0.67640165047467171</v>
      </c>
      <c r="U44" s="52">
        <f t="shared" ca="1" si="265"/>
        <v>-0.9287074099786139</v>
      </c>
      <c r="V44" s="52">
        <f t="shared" ca="1" si="265"/>
        <v>-2.323150809575024</v>
      </c>
      <c r="W44" s="52">
        <f t="shared" ca="1" si="265"/>
        <v>-2.5104087676026534</v>
      </c>
      <c r="X44" s="52">
        <f t="shared" ca="1" si="265"/>
        <v>-4.8335595771794679</v>
      </c>
      <c r="Y44" s="52">
        <f t="shared" ref="Y44:AA44" ca="1" si="267">+Y42+Y43</f>
        <v>-2.8221813470223989</v>
      </c>
      <c r="Z44" s="52">
        <f t="shared" ca="1" si="267"/>
        <v>-2.9876405069158576</v>
      </c>
      <c r="AA44" s="52">
        <f t="shared" ca="1" si="267"/>
        <v>-5.8098218540080993</v>
      </c>
      <c r="AB44" s="52">
        <f t="shared" ref="AB44:AP44" ca="1" si="268">+AB42+AB43</f>
        <v>-2.9790150313840211</v>
      </c>
      <c r="AC44" s="52">
        <f t="shared" ca="1" si="268"/>
        <v>-3.0810033764475673</v>
      </c>
      <c r="AD44" s="52">
        <f t="shared" ca="1" si="268"/>
        <v>-6.0600184082347006</v>
      </c>
      <c r="AE44" s="52">
        <f t="shared" ca="1" si="268"/>
        <v>-2.7562624520096488</v>
      </c>
      <c r="AF44" s="52">
        <f t="shared" ca="1" si="268"/>
        <v>-2.8272493641042402</v>
      </c>
      <c r="AG44" s="52">
        <f t="shared" ca="1" si="268"/>
        <v>-5.5835118165740596</v>
      </c>
      <c r="AH44" s="52">
        <f t="shared" ca="1" si="268"/>
        <v>-2.21265157814776</v>
      </c>
      <c r="AI44" s="52">
        <f t="shared" ca="1" si="268"/>
        <v>-2.2450393069990167</v>
      </c>
      <c r="AJ44" s="52">
        <f t="shared" ca="1" si="268"/>
        <v>-4.4576908743828128</v>
      </c>
      <c r="AK44" s="52">
        <f t="shared" ca="1" si="268"/>
        <v>-1.3146199807286933</v>
      </c>
      <c r="AL44" s="52">
        <f t="shared" ca="1" si="268"/>
        <v>-1.3001658784473058</v>
      </c>
      <c r="AM44" s="52">
        <f t="shared" ca="1" si="268"/>
        <v>-2.6147857979124751</v>
      </c>
      <c r="AN44" s="52">
        <f t="shared" ca="1" si="268"/>
        <v>-0.34809223388112187</v>
      </c>
      <c r="AO44" s="52">
        <f t="shared" ca="1" si="268"/>
        <v>-0.26164394706085403</v>
      </c>
      <c r="AP44" s="52">
        <f t="shared" ca="1" si="268"/>
        <v>-0.60973610117953569</v>
      </c>
      <c r="AQ44" s="52">
        <f t="shared" ref="AQ44:AS44" ca="1" si="269">+AQ42+AQ43</f>
        <v>0.8688950672701381</v>
      </c>
      <c r="AR44" s="52">
        <f t="shared" ca="1" si="269"/>
        <v>0.98671853637632978</v>
      </c>
      <c r="AS44" s="52">
        <f t="shared" ca="1" si="269"/>
        <v>1.8556137690760863</v>
      </c>
      <c r="AT44" s="52">
        <f t="shared" ref="AT44:AV44" ca="1" si="270">+AT42+AT43</f>
        <v>2.3187456889788578</v>
      </c>
      <c r="AU44" s="52">
        <f t="shared" ca="1" si="270"/>
        <v>2.4691909197545598</v>
      </c>
      <c r="AV44" s="52">
        <f t="shared" ca="1" si="270"/>
        <v>4.7879344405714122</v>
      </c>
      <c r="AZ44"/>
      <c r="BA44"/>
      <c r="BB44"/>
      <c r="BC44"/>
      <c r="BD44"/>
      <c r="BE44"/>
    </row>
    <row r="45" spans="1:57" x14ac:dyDescent="0.25">
      <c r="M45" s="287"/>
      <c r="N45" s="14"/>
    </row>
    <row r="47" spans="1:57" s="12" customFormat="1" x14ac:dyDescent="0.25">
      <c r="A47" s="8" t="s">
        <v>73</v>
      </c>
      <c r="B47" s="12" t="s">
        <v>235</v>
      </c>
      <c r="C47" s="56" t="s">
        <v>28</v>
      </c>
      <c r="F47" s="52">
        <f>F38+F44</f>
        <v>5.5999999999999801</v>
      </c>
      <c r="G47" s="52">
        <f t="shared" ref="G47:Z47" si="271">G38+G44</f>
        <v>2.0424999999999862</v>
      </c>
      <c r="H47" s="52">
        <f t="shared" si="271"/>
        <v>1.7575000000000234</v>
      </c>
      <c r="I47" s="52">
        <f t="shared" si="271"/>
        <v>7.7000000000000064</v>
      </c>
      <c r="J47" s="52">
        <f>J38+J44</f>
        <v>16.599499999999956</v>
      </c>
      <c r="K47" s="52">
        <f t="shared" si="271"/>
        <v>5.2769999999999886</v>
      </c>
      <c r="L47" s="52">
        <f t="shared" si="271"/>
        <v>16.253000000000071</v>
      </c>
      <c r="M47" s="424">
        <f>M38+M44</f>
        <v>15.295000000000018</v>
      </c>
      <c r="N47" s="52">
        <f t="shared" si="271"/>
        <v>14.224000000000009</v>
      </c>
      <c r="O47" s="52">
        <f t="shared" si="271"/>
        <v>29.519000000000048</v>
      </c>
      <c r="P47" s="52">
        <f t="shared" ca="1" si="271"/>
        <v>18.192107171540716</v>
      </c>
      <c r="Q47" s="52">
        <f t="shared" ca="1" si="271"/>
        <v>20.736846322513468</v>
      </c>
      <c r="R47" s="52">
        <f t="shared" ca="1" si="271"/>
        <v>38.928953494054213</v>
      </c>
      <c r="S47" s="52">
        <f t="shared" ca="1" si="271"/>
        <v>29.310817812613049</v>
      </c>
      <c r="T47" s="52">
        <f t="shared" ca="1" si="271"/>
        <v>36.988228147813672</v>
      </c>
      <c r="U47" s="52">
        <f t="shared" ca="1" si="271"/>
        <v>66.299045960427051</v>
      </c>
      <c r="V47" s="52">
        <f t="shared" ca="1" si="271"/>
        <v>48.133853968803621</v>
      </c>
      <c r="W47" s="52">
        <f t="shared" ca="1" si="271"/>
        <v>49.290675558272206</v>
      </c>
      <c r="X47" s="52">
        <f ca="1">X38+X44</f>
        <v>97.4245295270741</v>
      </c>
      <c r="Y47" s="52">
        <f t="shared" ca="1" si="271"/>
        <v>68.300543356503567</v>
      </c>
      <c r="Z47" s="52">
        <f t="shared" ca="1" si="271"/>
        <v>71.550262502356105</v>
      </c>
      <c r="AA47" s="52">
        <f ca="1">AA38+AA44</f>
        <v>139.85080585878976</v>
      </c>
      <c r="AB47" s="52">
        <f t="shared" ref="AB47:AP47" ca="1" si="272">AB38+AB44</f>
        <v>87.120421538032247</v>
      </c>
      <c r="AC47" s="52">
        <f t="shared" ca="1" si="272"/>
        <v>96.635244638792187</v>
      </c>
      <c r="AD47" s="52">
        <f t="shared" ca="1" si="272"/>
        <v>183.75566617642133</v>
      </c>
      <c r="AE47" s="52">
        <f t="shared" ca="1" si="272"/>
        <v>109.17429429949242</v>
      </c>
      <c r="AF47" s="52">
        <f t="shared" ca="1" si="272"/>
        <v>119.85240702374637</v>
      </c>
      <c r="AG47" s="52">
        <f t="shared" ca="1" si="272"/>
        <v>229.02670132277865</v>
      </c>
      <c r="AH47" s="52">
        <f t="shared" ca="1" si="272"/>
        <v>134.00556135053159</v>
      </c>
      <c r="AI47" s="52">
        <f t="shared" ca="1" si="272"/>
        <v>145.98033404703813</v>
      </c>
      <c r="AJ47" s="52">
        <f t="shared" ca="1" si="272"/>
        <v>279.98589540833365</v>
      </c>
      <c r="AK47" s="52">
        <f t="shared" ca="1" si="272"/>
        <v>161.86454285918728</v>
      </c>
      <c r="AL47" s="52">
        <f t="shared" ca="1" si="272"/>
        <v>175.28131516141949</v>
      </c>
      <c r="AM47" s="52">
        <f t="shared" ca="1" si="272"/>
        <v>337.14585808187024</v>
      </c>
      <c r="AN47" s="52">
        <f t="shared" ca="1" si="272"/>
        <v>186.34291947623819</v>
      </c>
      <c r="AO47" s="52">
        <f t="shared" ca="1" si="272"/>
        <v>199.7376639091903</v>
      </c>
      <c r="AP47" s="52">
        <f t="shared" ca="1" si="272"/>
        <v>386.0805834651909</v>
      </c>
      <c r="AQ47" s="52">
        <f t="shared" ref="AQ47:AS47" ca="1" si="273">AQ38+AQ44</f>
        <v>208.57241763729533</v>
      </c>
      <c r="AR47" s="52">
        <f t="shared" ca="1" si="273"/>
        <v>222.98009596772465</v>
      </c>
      <c r="AS47" s="52">
        <f t="shared" ca="1" si="273"/>
        <v>431.55251377044942</v>
      </c>
      <c r="AT47" s="52">
        <f t="shared" ref="AT47:AV47" ca="1" si="274">AT38+AT44</f>
        <v>231.70085563587864</v>
      </c>
      <c r="AU47" s="52">
        <f t="shared" ca="1" si="274"/>
        <v>247.14816333044431</v>
      </c>
      <c r="AV47" s="52">
        <f t="shared" ca="1" si="274"/>
        <v>478.84901679816085</v>
      </c>
      <c r="AZ47"/>
      <c r="BA47"/>
      <c r="BB47"/>
      <c r="BC47"/>
      <c r="BD47"/>
      <c r="BE47"/>
    </row>
    <row r="48" spans="1:57" x14ac:dyDescent="0.25">
      <c r="I48" s="19"/>
    </row>
    <row r="50" spans="1:62" x14ac:dyDescent="0.25">
      <c r="A50" s="8" t="s">
        <v>297</v>
      </c>
      <c r="B50" s="8" t="s">
        <v>74</v>
      </c>
      <c r="C50" s="22" t="s">
        <v>28</v>
      </c>
      <c r="F50" s="19">
        <f>Assumptions!F307</f>
        <v>-2.4</v>
      </c>
      <c r="G50" s="21">
        <f>Assumptions!G307</f>
        <v>-2.2999999999999998</v>
      </c>
      <c r="H50" s="21">
        <f>Assumptions!H307</f>
        <v>-2.4000000000000004</v>
      </c>
      <c r="I50" s="19">
        <f>Assumptions!I307</f>
        <v>-4.7</v>
      </c>
      <c r="J50" s="19">
        <f>Assumptions!J307</f>
        <v>-6.2</v>
      </c>
      <c r="K50" s="19">
        <f>Assumptions!K307</f>
        <v>-4.3999999999999995</v>
      </c>
      <c r="L50" s="19">
        <f>Assumptions!L307</f>
        <v>-10.6</v>
      </c>
      <c r="M50" s="291">
        <f>Assumptions!M307</f>
        <v>-7.9</v>
      </c>
      <c r="N50" s="21">
        <f>Assumptions!N307</f>
        <v>-6.7999999999999989</v>
      </c>
      <c r="O50" s="21">
        <f>Assumptions!O307</f>
        <v>-14.7</v>
      </c>
      <c r="P50" s="21">
        <f ca="1">Assumptions!P307</f>
        <v>-8.3973821699393696</v>
      </c>
      <c r="Q50" s="21">
        <f ca="1">Assumptions!Q307</f>
        <v>-9.0504388158942675</v>
      </c>
      <c r="R50" s="21">
        <f ca="1">Assumptions!R307</f>
        <v>-17.447820985833637</v>
      </c>
      <c r="S50" s="21">
        <f ca="1">Assumptions!S307</f>
        <v>-11.043711885095602</v>
      </c>
      <c r="T50" s="21">
        <f ca="1">Assumptions!T307</f>
        <v>-12.979347232788664</v>
      </c>
      <c r="U50" s="21">
        <f ca="1">Assumptions!U307</f>
        <v>-24.023059117883751</v>
      </c>
      <c r="V50" s="21">
        <f ca="1">Assumptions!V307</f>
        <v>-16.067131075793657</v>
      </c>
      <c r="W50" s="21">
        <f ca="1">Assumptions!W307</f>
        <v>-16.141509143178521</v>
      </c>
      <c r="X50" s="21">
        <f ca="1">Assumptions!X307</f>
        <v>-32.208640218964135</v>
      </c>
      <c r="Y50" s="21">
        <f ca="1">Assumptions!Y307</f>
        <v>-21.520625916211639</v>
      </c>
      <c r="Z50" s="21">
        <f ca="1">Assumptions!Z307</f>
        <v>-22.568116985733656</v>
      </c>
      <c r="AA50" s="21">
        <f ca="1">Assumptions!AA307</f>
        <v>-44.088742901924704</v>
      </c>
      <c r="AB50" s="21">
        <f ca="1">Assumptions!AB307</f>
        <v>-26.764626415709795</v>
      </c>
      <c r="AC50" s="21">
        <f ca="1">Assumptions!AC307</f>
        <v>-29.597354745493423</v>
      </c>
      <c r="AD50" s="21">
        <f ca="1">Assumptions!AD307</f>
        <v>-56.361981161571599</v>
      </c>
      <c r="AE50" s="21">
        <f ca="1">Assumptions!AE307</f>
        <v>-32.912806136230472</v>
      </c>
      <c r="AF50" s="21">
        <f ca="1">Assumptions!AF307</f>
        <v>-36.081401932498522</v>
      </c>
      <c r="AG50" s="21">
        <f ca="1">Assumptions!AG307</f>
        <v>-68.994208072108734</v>
      </c>
      <c r="AH50" s="21">
        <f ca="1">Assumptions!AH307</f>
        <v>-39.834241577955048</v>
      </c>
      <c r="AI50" s="21">
        <f ca="1">Assumptions!AI307</f>
        <v>-43.376861276554386</v>
      </c>
      <c r="AJ50" s="21">
        <f ca="1">Assumptions!AJ307</f>
        <v>-83.211102861034234</v>
      </c>
      <c r="AK50" s="21">
        <f ca="1">Assumptions!AK307</f>
        <v>-47.598790917325829</v>
      </c>
      <c r="AL50" s="21">
        <f ca="1">Assumptions!AL307</f>
        <v>-51.557006153989533</v>
      </c>
      <c r="AM50" s="21">
        <f ca="1">Assumptions!AM307</f>
        <v>-99.155797078005648</v>
      </c>
      <c r="AN50" s="21">
        <f ca="1">Assumptions!AN307</f>
        <v>-54.583273540219054</v>
      </c>
      <c r="AO50" s="21">
        <f ca="1">Assumptions!AO307</f>
        <v>-58.539764736739855</v>
      </c>
      <c r="AP50" s="21">
        <f ca="1">Assumptions!AP307</f>
        <v>-113.12303808419452</v>
      </c>
      <c r="AQ50" s="21">
        <f ca="1">Assumptions!AQ307</f>
        <v>-60.928695467335253</v>
      </c>
      <c r="AR50" s="21">
        <f ca="1">Assumptions!AR307</f>
        <v>-65.177677943599804</v>
      </c>
      <c r="AS50" s="21">
        <f ca="1">Assumptions!AS307</f>
        <v>-126.10637294974269</v>
      </c>
      <c r="AT50" s="21">
        <f ca="1">Assumptions!AT307</f>
        <v>-67.5294202937866</v>
      </c>
      <c r="AU50" s="21">
        <f ca="1">Assumptions!AU307</f>
        <v>-72.078627719016524</v>
      </c>
      <c r="AV50" s="21">
        <f ca="1">Assumptions!AV307</f>
        <v>-139.60804761023181</v>
      </c>
      <c r="BJ50" s="300"/>
    </row>
    <row r="51" spans="1:62" x14ac:dyDescent="0.25">
      <c r="F51" s="14"/>
      <c r="G51" s="14"/>
      <c r="H51" s="14"/>
      <c r="I51" s="14"/>
      <c r="L51" s="303"/>
      <c r="O51" s="14"/>
      <c r="R51" s="14"/>
      <c r="BJ51" s="300"/>
    </row>
    <row r="52" spans="1:62" x14ac:dyDescent="0.25">
      <c r="BJ52" s="301"/>
    </row>
    <row r="53" spans="1:62" x14ac:dyDescent="0.25">
      <c r="AS53" s="14"/>
      <c r="AV53" s="14"/>
    </row>
    <row r="54" spans="1:62" x14ac:dyDescent="0.25">
      <c r="A54" s="8" t="s">
        <v>467</v>
      </c>
      <c r="B54" s="76" t="s">
        <v>236</v>
      </c>
      <c r="C54" s="162" t="s">
        <v>28</v>
      </c>
      <c r="D54" s="76"/>
      <c r="E54" s="76"/>
      <c r="F54" s="77">
        <f>F47+F50</f>
        <v>3.1999999999999802</v>
      </c>
      <c r="G54" s="77">
        <f t="shared" ref="G54:X54" si="275">G47+G50</f>
        <v>-0.25750000000001361</v>
      </c>
      <c r="H54" s="77">
        <f t="shared" si="275"/>
        <v>-0.64249999999997698</v>
      </c>
      <c r="I54" s="77">
        <f t="shared" si="275"/>
        <v>3.0000000000000062</v>
      </c>
      <c r="J54" s="77">
        <f t="shared" si="275"/>
        <v>10.399499999999957</v>
      </c>
      <c r="K54" s="77">
        <f t="shared" ref="K54" si="276">K47+K50</f>
        <v>0.87699999999998912</v>
      </c>
      <c r="L54" s="77">
        <f>L47+L50</f>
        <v>5.6530000000000715</v>
      </c>
      <c r="M54" s="425">
        <f>M47+M50</f>
        <v>7.3950000000000173</v>
      </c>
      <c r="N54" s="77">
        <f>N47+N50</f>
        <v>7.4240000000000101</v>
      </c>
      <c r="O54" s="77">
        <f>O47+O50</f>
        <v>14.819000000000049</v>
      </c>
      <c r="P54" s="77">
        <f t="shared" ca="1" si="275"/>
        <v>9.7947250016013463</v>
      </c>
      <c r="Q54" s="77">
        <f t="shared" ca="1" si="275"/>
        <v>11.686407506619201</v>
      </c>
      <c r="R54" s="77">
        <f t="shared" ca="1" si="275"/>
        <v>21.481132508220576</v>
      </c>
      <c r="S54" s="77">
        <f t="shared" ca="1" si="275"/>
        <v>18.267105927517449</v>
      </c>
      <c r="T54" s="77">
        <f t="shared" ca="1" si="275"/>
        <v>24.00888091502501</v>
      </c>
      <c r="U54" s="77">
        <f t="shared" ca="1" si="275"/>
        <v>42.275986842543304</v>
      </c>
      <c r="V54" s="77">
        <f t="shared" ca="1" si="275"/>
        <v>32.066722893009967</v>
      </c>
      <c r="W54" s="77">
        <f t="shared" ca="1" si="275"/>
        <v>33.149166415093688</v>
      </c>
      <c r="X54" s="77">
        <f t="shared" ca="1" si="275"/>
        <v>65.215889308109965</v>
      </c>
      <c r="Y54" s="77">
        <f t="shared" ref="Y54:AA54" ca="1" si="277">Y47+Y50</f>
        <v>46.779917440291925</v>
      </c>
      <c r="Z54" s="77">
        <f t="shared" ca="1" si="277"/>
        <v>48.982145516622452</v>
      </c>
      <c r="AA54" s="77">
        <f t="shared" ca="1" si="277"/>
        <v>95.762062956865051</v>
      </c>
      <c r="AB54" s="77">
        <f t="shared" ref="AB54:AP54" ca="1" si="278">AB47+AB50</f>
        <v>60.355795122322448</v>
      </c>
      <c r="AC54" s="77">
        <f t="shared" ca="1" si="278"/>
        <v>67.037889893298768</v>
      </c>
      <c r="AD54" s="77">
        <f t="shared" ca="1" si="278"/>
        <v>127.39368501484972</v>
      </c>
      <c r="AE54" s="77">
        <f t="shared" ca="1" si="278"/>
        <v>76.261488163261944</v>
      </c>
      <c r="AF54" s="77">
        <f t="shared" ca="1" si="278"/>
        <v>83.771005091247844</v>
      </c>
      <c r="AG54" s="77">
        <f t="shared" ca="1" si="278"/>
        <v>160.03249325066992</v>
      </c>
      <c r="AH54" s="77">
        <f t="shared" ca="1" si="278"/>
        <v>94.171319772576538</v>
      </c>
      <c r="AI54" s="77">
        <f t="shared" ca="1" si="278"/>
        <v>102.60347277048373</v>
      </c>
      <c r="AJ54" s="77">
        <f t="shared" ca="1" si="278"/>
        <v>196.7747925472994</v>
      </c>
      <c r="AK54" s="77">
        <f t="shared" ca="1" si="278"/>
        <v>114.26575194186145</v>
      </c>
      <c r="AL54" s="77">
        <f t="shared" ca="1" si="278"/>
        <v>123.72430900742995</v>
      </c>
      <c r="AM54" s="77">
        <f t="shared" ca="1" si="278"/>
        <v>237.99006100386458</v>
      </c>
      <c r="AN54" s="77">
        <f t="shared" ca="1" si="278"/>
        <v>131.75964593601913</v>
      </c>
      <c r="AO54" s="77">
        <f t="shared" ca="1" si="278"/>
        <v>141.19789917245043</v>
      </c>
      <c r="AP54" s="77">
        <f t="shared" ca="1" si="278"/>
        <v>272.95754538099641</v>
      </c>
      <c r="AQ54" s="77">
        <f t="shared" ref="AQ54:AS54" ca="1" si="279">AQ47+AQ50</f>
        <v>147.64372216996009</v>
      </c>
      <c r="AR54" s="77">
        <f t="shared" ca="1" si="279"/>
        <v>157.80241802412485</v>
      </c>
      <c r="AS54" s="77">
        <f t="shared" ca="1" si="279"/>
        <v>305.44614082070672</v>
      </c>
      <c r="AT54" s="77">
        <f t="shared" ref="AT54:AV54" ca="1" si="280">AT47+AT50</f>
        <v>164.17143534209202</v>
      </c>
      <c r="AU54" s="77">
        <f t="shared" ca="1" si="280"/>
        <v>175.0695356114278</v>
      </c>
      <c r="AV54" s="77">
        <f t="shared" ca="1" si="280"/>
        <v>339.24096918792907</v>
      </c>
    </row>
    <row r="55" spans="1:62" x14ac:dyDescent="0.25">
      <c r="A55" s="8" t="s">
        <v>316</v>
      </c>
      <c r="B55" s="8" t="s">
        <v>237</v>
      </c>
      <c r="C55" s="22" t="s">
        <v>28</v>
      </c>
      <c r="F55" s="79">
        <f>+F56-F54</f>
        <v>0.70000000000001972</v>
      </c>
      <c r="G55" s="79">
        <f t="shared" ref="G55:H55" si="281">+G56-G54</f>
        <v>1.1575000000000135</v>
      </c>
      <c r="H55" s="79">
        <f t="shared" si="281"/>
        <v>-2.5575000000000228</v>
      </c>
      <c r="I55" s="79">
        <f>+I56-I54</f>
        <v>-5.300000000000006</v>
      </c>
      <c r="J55" s="79">
        <f>+J56-J54</f>
        <v>-6.5994999999999573</v>
      </c>
      <c r="K55" s="79">
        <f t="shared" ref="K55" si="282">+K56-K54</f>
        <v>-18.424999999999986</v>
      </c>
      <c r="L55" s="79">
        <f>+L56-L54</f>
        <v>-19.401000000000071</v>
      </c>
      <c r="M55" s="280">
        <f>+M56-M54</f>
        <v>-9.4000000000017181E-2</v>
      </c>
      <c r="N55" s="79">
        <f>+N56-N54</f>
        <v>-0.24900000000000944</v>
      </c>
      <c r="O55" s="79">
        <f>+O56-O54</f>
        <v>-0.34300000000004793</v>
      </c>
      <c r="P55" s="80">
        <v>0</v>
      </c>
      <c r="Q55" s="80">
        <f t="shared" ref="Q55:X55" si="283">+P55</f>
        <v>0</v>
      </c>
      <c r="R55" s="80">
        <f t="shared" si="283"/>
        <v>0</v>
      </c>
      <c r="S55" s="80">
        <f t="shared" si="283"/>
        <v>0</v>
      </c>
      <c r="T55" s="80">
        <f t="shared" si="283"/>
        <v>0</v>
      </c>
      <c r="U55" s="80">
        <f t="shared" si="283"/>
        <v>0</v>
      </c>
      <c r="V55" s="80">
        <f t="shared" si="283"/>
        <v>0</v>
      </c>
      <c r="W55" s="80">
        <f t="shared" si="283"/>
        <v>0</v>
      </c>
      <c r="X55" s="80">
        <f t="shared" si="283"/>
        <v>0</v>
      </c>
      <c r="Y55" s="80">
        <f t="shared" ref="Y55" si="284">+X55</f>
        <v>0</v>
      </c>
      <c r="Z55" s="80">
        <f t="shared" ref="Z55" si="285">+Y55</f>
        <v>0</v>
      </c>
      <c r="AA55" s="80">
        <f t="shared" ref="AA55" si="286">+Z55</f>
        <v>0</v>
      </c>
      <c r="AB55" s="80">
        <f t="shared" ref="AB55" si="287">+AA55</f>
        <v>0</v>
      </c>
      <c r="AC55" s="80">
        <f t="shared" ref="AC55" si="288">+AB55</f>
        <v>0</v>
      </c>
      <c r="AD55" s="80">
        <f t="shared" ref="AD55" si="289">+AC55</f>
        <v>0</v>
      </c>
      <c r="AE55" s="80">
        <f t="shared" ref="AE55" si="290">+AD55</f>
        <v>0</v>
      </c>
      <c r="AF55" s="80">
        <f t="shared" ref="AF55" si="291">+AE55</f>
        <v>0</v>
      </c>
      <c r="AG55" s="80">
        <f t="shared" ref="AG55" si="292">+AF55</f>
        <v>0</v>
      </c>
      <c r="AH55" s="80">
        <f t="shared" ref="AH55" si="293">+AG55</f>
        <v>0</v>
      </c>
      <c r="AI55" s="80">
        <f t="shared" ref="AI55" si="294">+AH55</f>
        <v>0</v>
      </c>
      <c r="AJ55" s="80">
        <f t="shared" ref="AJ55" si="295">+AI55</f>
        <v>0</v>
      </c>
      <c r="AK55" s="80">
        <f t="shared" ref="AK55" si="296">+AJ55</f>
        <v>0</v>
      </c>
      <c r="AL55" s="80">
        <f t="shared" ref="AL55" si="297">+AK55</f>
        <v>0</v>
      </c>
      <c r="AM55" s="80">
        <f t="shared" ref="AM55" si="298">+AL55</f>
        <v>0</v>
      </c>
      <c r="AN55" s="80">
        <f t="shared" ref="AN55" si="299">+AM55</f>
        <v>0</v>
      </c>
      <c r="AO55" s="80">
        <f t="shared" ref="AO55" si="300">+AN55</f>
        <v>0</v>
      </c>
      <c r="AP55" s="80">
        <f t="shared" ref="AP55" si="301">+AO55</f>
        <v>0</v>
      </c>
      <c r="AQ55" s="80">
        <f t="shared" ref="AQ55" si="302">+AP55</f>
        <v>0</v>
      </c>
      <c r="AR55" s="80">
        <f t="shared" ref="AR55" si="303">+AQ55</f>
        <v>0</v>
      </c>
      <c r="AS55" s="80">
        <f t="shared" ref="AS55" si="304">+AR55</f>
        <v>0</v>
      </c>
      <c r="AT55" s="80">
        <f t="shared" ref="AT55" si="305">+AS55</f>
        <v>0</v>
      </c>
      <c r="AU55" s="80">
        <f t="shared" ref="AU55" si="306">+AT55</f>
        <v>0</v>
      </c>
      <c r="AV55" s="80">
        <f t="shared" ref="AV55" si="307">+AU55</f>
        <v>0</v>
      </c>
    </row>
    <row r="56" spans="1:62" x14ac:dyDescent="0.25">
      <c r="A56" s="8" t="s">
        <v>317</v>
      </c>
      <c r="B56" s="8" t="s">
        <v>238</v>
      </c>
      <c r="C56" s="22" t="s">
        <v>28</v>
      </c>
      <c r="F56" s="45">
        <v>3.9</v>
      </c>
      <c r="G56" s="45">
        <v>0.9</v>
      </c>
      <c r="H56" s="19">
        <f>+I56-G56</f>
        <v>-3.1999999999999997</v>
      </c>
      <c r="I56" s="45">
        <v>-2.2999999999999998</v>
      </c>
      <c r="J56" s="45">
        <v>3.8</v>
      </c>
      <c r="K56" s="19">
        <f>+L56-J56</f>
        <v>-17.547999999999998</v>
      </c>
      <c r="L56" s="45">
        <v>-13.747999999999999</v>
      </c>
      <c r="M56" s="446">
        <v>7.3010000000000002</v>
      </c>
      <c r="N56" s="19">
        <f>+O56-M56</f>
        <v>7.1750000000000007</v>
      </c>
      <c r="O56" s="45">
        <v>14.476000000000001</v>
      </c>
      <c r="P56" s="52">
        <f t="shared" ref="P56:X56" ca="1" si="308">+P54+P55</f>
        <v>9.7947250016013463</v>
      </c>
      <c r="Q56" s="52">
        <f t="shared" ca="1" si="308"/>
        <v>11.686407506619201</v>
      </c>
      <c r="R56" s="52">
        <f t="shared" ca="1" si="308"/>
        <v>21.481132508220576</v>
      </c>
      <c r="S56" s="52">
        <f t="shared" ca="1" si="308"/>
        <v>18.267105927517449</v>
      </c>
      <c r="T56" s="52">
        <f t="shared" ca="1" si="308"/>
        <v>24.00888091502501</v>
      </c>
      <c r="U56" s="52">
        <f t="shared" ca="1" si="308"/>
        <v>42.275986842543304</v>
      </c>
      <c r="V56" s="52">
        <f t="shared" ca="1" si="308"/>
        <v>32.066722893009967</v>
      </c>
      <c r="W56" s="52">
        <f t="shared" ca="1" si="308"/>
        <v>33.149166415093688</v>
      </c>
      <c r="X56" s="52">
        <f t="shared" ca="1" si="308"/>
        <v>65.215889308109965</v>
      </c>
      <c r="Y56" s="52">
        <f t="shared" ref="Y56:AA56" ca="1" si="309">+Y54+Y55</f>
        <v>46.779917440291925</v>
      </c>
      <c r="Z56" s="52">
        <f t="shared" ca="1" si="309"/>
        <v>48.982145516622452</v>
      </c>
      <c r="AA56" s="52">
        <f t="shared" ca="1" si="309"/>
        <v>95.762062956865051</v>
      </c>
      <c r="AB56" s="52">
        <f t="shared" ref="AB56:AP56" ca="1" si="310">+AB54+AB55</f>
        <v>60.355795122322448</v>
      </c>
      <c r="AC56" s="52">
        <f t="shared" ca="1" si="310"/>
        <v>67.037889893298768</v>
      </c>
      <c r="AD56" s="52">
        <f t="shared" ca="1" si="310"/>
        <v>127.39368501484972</v>
      </c>
      <c r="AE56" s="52">
        <f t="shared" ca="1" si="310"/>
        <v>76.261488163261944</v>
      </c>
      <c r="AF56" s="52">
        <f t="shared" ca="1" si="310"/>
        <v>83.771005091247844</v>
      </c>
      <c r="AG56" s="52">
        <f t="shared" ca="1" si="310"/>
        <v>160.03249325066992</v>
      </c>
      <c r="AH56" s="52">
        <f t="shared" ca="1" si="310"/>
        <v>94.171319772576538</v>
      </c>
      <c r="AI56" s="52">
        <f t="shared" ca="1" si="310"/>
        <v>102.60347277048373</v>
      </c>
      <c r="AJ56" s="52">
        <f t="shared" ca="1" si="310"/>
        <v>196.7747925472994</v>
      </c>
      <c r="AK56" s="52">
        <f t="shared" ca="1" si="310"/>
        <v>114.26575194186145</v>
      </c>
      <c r="AL56" s="52">
        <f t="shared" ca="1" si="310"/>
        <v>123.72430900742995</v>
      </c>
      <c r="AM56" s="52">
        <f t="shared" ca="1" si="310"/>
        <v>237.99006100386458</v>
      </c>
      <c r="AN56" s="52">
        <f t="shared" ca="1" si="310"/>
        <v>131.75964593601913</v>
      </c>
      <c r="AO56" s="52">
        <f t="shared" ca="1" si="310"/>
        <v>141.19789917245043</v>
      </c>
      <c r="AP56" s="52">
        <f t="shared" ca="1" si="310"/>
        <v>272.95754538099641</v>
      </c>
      <c r="AQ56" s="52">
        <f t="shared" ref="AQ56:AS56" ca="1" si="311">+AQ54+AQ55</f>
        <v>147.64372216996009</v>
      </c>
      <c r="AR56" s="52">
        <f t="shared" ca="1" si="311"/>
        <v>157.80241802412485</v>
      </c>
      <c r="AS56" s="52">
        <f t="shared" ca="1" si="311"/>
        <v>305.44614082070672</v>
      </c>
      <c r="AT56" s="52">
        <f t="shared" ref="AT56:AV56" ca="1" si="312">+AT54+AT55</f>
        <v>164.17143534209202</v>
      </c>
      <c r="AU56" s="52">
        <f t="shared" ca="1" si="312"/>
        <v>175.0695356114278</v>
      </c>
      <c r="AV56" s="52">
        <f t="shared" ca="1" si="312"/>
        <v>339.24096918792907</v>
      </c>
    </row>
    <row r="58" spans="1:62" x14ac:dyDescent="0.25">
      <c r="B58" s="8" t="s">
        <v>698</v>
      </c>
      <c r="C58" s="22" t="s">
        <v>244</v>
      </c>
      <c r="I58" s="19">
        <f t="shared" ref="I58:AS58" si="313">(I54/I63)*100</f>
        <v>2.9599543630289764</v>
      </c>
      <c r="J58" s="19">
        <f t="shared" si="313"/>
        <v>10.260681799439883</v>
      </c>
      <c r="K58" s="19">
        <f>+L58-J58</f>
        <v>-4.6831411280388897</v>
      </c>
      <c r="L58" s="19">
        <f t="shared" ref="L58:M58" si="314">(L54/L63)*100</f>
        <v>5.5775406714009934</v>
      </c>
      <c r="M58" s="291">
        <f t="shared" si="314"/>
        <v>7.2901495696179781</v>
      </c>
      <c r="N58" s="19">
        <f t="shared" si="313"/>
        <v>6.9948893495470008</v>
      </c>
      <c r="O58" s="19">
        <f t="shared" si="313"/>
        <v>14.59861823718818</v>
      </c>
      <c r="P58" s="19">
        <f t="shared" ca="1" si="313"/>
        <v>9.6490620849328543</v>
      </c>
      <c r="Q58" s="19">
        <f t="shared" ca="1" si="313"/>
        <v>11.512612305374407</v>
      </c>
      <c r="R58" s="19">
        <f t="shared" ca="1" si="313"/>
        <v>21.16167439030729</v>
      </c>
      <c r="S58" s="19">
        <f t="shared" ca="1" si="313"/>
        <v>17.995445423719794</v>
      </c>
      <c r="T58" s="19">
        <f t="shared" ca="1" si="313"/>
        <v>23.651831215369604</v>
      </c>
      <c r="U58" s="19">
        <f t="shared" ca="1" si="313"/>
        <v>41.647276639090229</v>
      </c>
      <c r="V58" s="19">
        <f t="shared" ca="1" si="313"/>
        <v>31.589840450283653</v>
      </c>
      <c r="W58" s="19">
        <f t="shared" ca="1" si="313"/>
        <v>32.656186340169448</v>
      </c>
      <c r="X58" s="19">
        <f t="shared" ca="1" si="313"/>
        <v>64.246026790459311</v>
      </c>
      <c r="Y58" s="19">
        <f t="shared" ca="1" si="313"/>
        <v>46.084226727714473</v>
      </c>
      <c r="Z58" s="19">
        <f t="shared" ca="1" si="313"/>
        <v>48.253704219958657</v>
      </c>
      <c r="AA58" s="19">
        <f t="shared" ca="1" si="313"/>
        <v>94.337930947624542</v>
      </c>
      <c r="AB58" s="19">
        <f t="shared" ca="1" si="313"/>
        <v>59.458209824733579</v>
      </c>
      <c r="AC58" s="19">
        <f t="shared" ca="1" si="313"/>
        <v>66.040931370465032</v>
      </c>
      <c r="AD58" s="19">
        <f t="shared" ca="1" si="313"/>
        <v>125.49914119443859</v>
      </c>
      <c r="AE58" s="19">
        <f t="shared" ca="1" si="313"/>
        <v>75.127360273655626</v>
      </c>
      <c r="AF58" s="19">
        <f t="shared" ca="1" si="313"/>
        <v>82.525198911712707</v>
      </c>
      <c r="AG58" s="19">
        <f t="shared" ca="1" si="313"/>
        <v>157.65255918158556</v>
      </c>
      <c r="AH58" s="19">
        <f t="shared" ca="1" si="313"/>
        <v>92.770844608408879</v>
      </c>
      <c r="AI58" s="19">
        <f t="shared" ca="1" si="313"/>
        <v>101.07759827154462</v>
      </c>
      <c r="AJ58" s="19">
        <f t="shared" ca="1" si="313"/>
        <v>193.84844288412955</v>
      </c>
      <c r="AK58" s="19">
        <f t="shared" ca="1" si="313"/>
        <v>112.56644106785029</v>
      </c>
      <c r="AL58" s="19">
        <f t="shared" ca="1" si="313"/>
        <v>121.88433456099376</v>
      </c>
      <c r="AM58" s="19">
        <f t="shared" ca="1" si="313"/>
        <v>234.45077568260567</v>
      </c>
      <c r="AN58" s="19">
        <f t="shared" ca="1" si="313"/>
        <v>129.80017343187933</v>
      </c>
      <c r="AO58" s="19">
        <f t="shared" ca="1" si="313"/>
        <v>139.09806504565665</v>
      </c>
      <c r="AP58" s="19">
        <f t="shared" ca="1" si="313"/>
        <v>268.89823874600995</v>
      </c>
      <c r="AQ58" s="19">
        <f t="shared" ca="1" si="313"/>
        <v>145.44802854961313</v>
      </c>
      <c r="AR58" s="19">
        <f t="shared" ca="1" si="313"/>
        <v>155.4556486699085</v>
      </c>
      <c r="AS58" s="19">
        <f t="shared" ca="1" si="313"/>
        <v>300.90367783682456</v>
      </c>
      <c r="AT58" s="19">
        <f t="shared" ref="AT58:AV58" ca="1" si="315">(AT54/AT63)*100</f>
        <v>161.72994871519109</v>
      </c>
      <c r="AU58" s="19">
        <f t="shared" ca="1" si="315"/>
        <v>172.46597714778639</v>
      </c>
      <c r="AV58" s="19">
        <f t="shared" ca="1" si="315"/>
        <v>334.19592412364386</v>
      </c>
    </row>
    <row r="59" spans="1:62" x14ac:dyDescent="0.25">
      <c r="A59" s="8" t="s">
        <v>318</v>
      </c>
      <c r="B59" s="76" t="s">
        <v>239</v>
      </c>
      <c r="C59" s="162" t="s">
        <v>244</v>
      </c>
      <c r="D59" s="76"/>
      <c r="E59" s="76"/>
      <c r="F59" s="76"/>
      <c r="G59" s="76"/>
      <c r="H59" s="76"/>
      <c r="I59" s="299">
        <f t="shared" ref="I59:AS59" si="316">(I54/I64)*100</f>
        <v>2.9599543630289764</v>
      </c>
      <c r="J59" s="299">
        <f t="shared" si="316"/>
        <v>10.260681799439883</v>
      </c>
      <c r="K59" s="299">
        <f t="shared" ref="K59:K62" si="317">+L59-J59</f>
        <v>-5.192391314544194</v>
      </c>
      <c r="L59" s="299">
        <f t="shared" ref="L59:M59" si="318">(L54/L64)*100</f>
        <v>5.0682904848956891</v>
      </c>
      <c r="M59" s="427">
        <f t="shared" si="318"/>
        <v>6.9675655630253406</v>
      </c>
      <c r="N59" s="299">
        <f>(N54/N64)*100</f>
        <v>6.9948893495470008</v>
      </c>
      <c r="O59" s="299">
        <f t="shared" si="316"/>
        <v>13.992731182647104</v>
      </c>
      <c r="P59" s="299">
        <f t="shared" ca="1" si="316"/>
        <v>9.2485966634293746</v>
      </c>
      <c r="Q59" s="299">
        <f t="shared" ca="1" si="316"/>
        <v>11.034803882245168</v>
      </c>
      <c r="R59" s="299">
        <f t="shared" ca="1" si="316"/>
        <v>20.283400545674571</v>
      </c>
      <c r="S59" s="299">
        <f t="shared" ca="1" si="316"/>
        <v>17.248579710418401</v>
      </c>
      <c r="T59" s="299">
        <f t="shared" ca="1" si="316"/>
        <v>22.670208289367046</v>
      </c>
      <c r="U59" s="299">
        <f t="shared" ca="1" si="316"/>
        <v>39.918787999786247</v>
      </c>
      <c r="V59" s="299">
        <f t="shared" ca="1" si="316"/>
        <v>30.278765999751862</v>
      </c>
      <c r="W59" s="299">
        <f t="shared" ca="1" si="316"/>
        <v>31.300855292208517</v>
      </c>
      <c r="X59" s="299">
        <f t="shared" ca="1" si="316"/>
        <v>61.579621291966333</v>
      </c>
      <c r="Y59" s="299">
        <f t="shared" ca="1" si="316"/>
        <v>44.171591165964486</v>
      </c>
      <c r="Z59" s="299">
        <f t="shared" ca="1" si="316"/>
        <v>46.251028744409126</v>
      </c>
      <c r="AA59" s="299">
        <f t="shared" ca="1" si="316"/>
        <v>90.422619910327029</v>
      </c>
      <c r="AB59" s="299">
        <f t="shared" ca="1" si="316"/>
        <v>56.9905132911518</v>
      </c>
      <c r="AC59" s="299">
        <f t="shared" ca="1" si="316"/>
        <v>63.300031873191287</v>
      </c>
      <c r="AD59" s="299">
        <f t="shared" ca="1" si="316"/>
        <v>120.29054516361461</v>
      </c>
      <c r="AE59" s="299">
        <f t="shared" ca="1" si="316"/>
        <v>72.00934634301538</v>
      </c>
      <c r="AF59" s="299">
        <f t="shared" ca="1" si="316"/>
        <v>79.100152179093669</v>
      </c>
      <c r="AG59" s="299">
        <f t="shared" ca="1" si="316"/>
        <v>151.10949851848326</v>
      </c>
      <c r="AH59" s="299">
        <f t="shared" ca="1" si="316"/>
        <v>88.920572420052579</v>
      </c>
      <c r="AI59" s="299">
        <f t="shared" ca="1" si="316"/>
        <v>96.882570543452729</v>
      </c>
      <c r="AJ59" s="299">
        <f t="shared" ca="1" si="316"/>
        <v>185.80314296750808</v>
      </c>
      <c r="AK59" s="299">
        <f t="shared" ca="1" si="316"/>
        <v>107.89459142354399</v>
      </c>
      <c r="AL59" s="299">
        <f t="shared" ca="1" si="316"/>
        <v>116.82576399890176</v>
      </c>
      <c r="AM59" s="299">
        <f t="shared" ca="1" si="316"/>
        <v>224.72035547397607</v>
      </c>
      <c r="AN59" s="299">
        <f t="shared" ca="1" si="316"/>
        <v>124.41307148279037</v>
      </c>
      <c r="AO59" s="299">
        <f t="shared" ca="1" si="316"/>
        <v>133.32507231760593</v>
      </c>
      <c r="AP59" s="299">
        <f t="shared" ca="1" si="316"/>
        <v>257.73814405772777</v>
      </c>
      <c r="AQ59" s="299">
        <f t="shared" ca="1" si="316"/>
        <v>139.41149302447394</v>
      </c>
      <c r="AR59" s="299">
        <f t="shared" ca="1" si="316"/>
        <v>149.00376647434226</v>
      </c>
      <c r="AS59" s="299">
        <f t="shared" ca="1" si="316"/>
        <v>288.4152600904992</v>
      </c>
      <c r="AT59" s="299">
        <f t="shared" ref="AT59:AV59" ca="1" si="319">(AT54/AT64)*100</f>
        <v>155.01766398618099</v>
      </c>
      <c r="AU59" s="299">
        <f t="shared" ca="1" si="319"/>
        <v>165.30811458813452</v>
      </c>
      <c r="AV59" s="299">
        <f t="shared" ca="1" si="319"/>
        <v>320.32577690716948</v>
      </c>
    </row>
    <row r="60" spans="1:62" x14ac:dyDescent="0.25">
      <c r="B60" s="8" t="s">
        <v>240</v>
      </c>
      <c r="C60" s="22" t="s">
        <v>244</v>
      </c>
      <c r="I60" s="19">
        <f t="shared" ref="I60:AS60" si="320">(+I56/I63)*100</f>
        <v>-2.2692983449888771</v>
      </c>
      <c r="J60" s="19">
        <f t="shared" si="320"/>
        <v>3.7492755265033622</v>
      </c>
      <c r="K60" s="19">
        <f t="shared" si="317"/>
        <v>-17.31375972081079</v>
      </c>
      <c r="L60" s="19">
        <f t="shared" ref="L60:M60" si="321">(+L56/L63)*100</f>
        <v>-13.564484194307427</v>
      </c>
      <c r="M60" s="291">
        <f t="shared" si="321"/>
        <v>7.1974823539933386</v>
      </c>
      <c r="N60" s="19">
        <f t="shared" si="320"/>
        <v>6.7602816652747411</v>
      </c>
      <c r="O60" s="19">
        <f t="shared" si="320"/>
        <v>14.260719184933896</v>
      </c>
      <c r="P60" s="19">
        <f t="shared" ca="1" si="320"/>
        <v>9.6490620849328543</v>
      </c>
      <c r="Q60" s="19">
        <f t="shared" ca="1" si="320"/>
        <v>11.512612305374407</v>
      </c>
      <c r="R60" s="19">
        <f t="shared" ca="1" si="320"/>
        <v>21.16167439030729</v>
      </c>
      <c r="S60" s="19">
        <f t="shared" ca="1" si="320"/>
        <v>17.995445423719794</v>
      </c>
      <c r="T60" s="19">
        <f t="shared" ca="1" si="320"/>
        <v>23.651831215369604</v>
      </c>
      <c r="U60" s="19">
        <f t="shared" ca="1" si="320"/>
        <v>41.647276639090229</v>
      </c>
      <c r="V60" s="19">
        <f t="shared" ca="1" si="320"/>
        <v>31.589840450283653</v>
      </c>
      <c r="W60" s="19">
        <f t="shared" ca="1" si="320"/>
        <v>32.656186340169448</v>
      </c>
      <c r="X60" s="19">
        <f t="shared" ca="1" si="320"/>
        <v>64.246026790459311</v>
      </c>
      <c r="Y60" s="19">
        <f t="shared" ca="1" si="320"/>
        <v>46.084226727714473</v>
      </c>
      <c r="Z60" s="19">
        <f t="shared" ca="1" si="320"/>
        <v>48.253704219958657</v>
      </c>
      <c r="AA60" s="19">
        <f t="shared" ca="1" si="320"/>
        <v>94.337930947624542</v>
      </c>
      <c r="AB60" s="19">
        <f t="shared" ca="1" si="320"/>
        <v>59.458209824733579</v>
      </c>
      <c r="AC60" s="19">
        <f t="shared" ca="1" si="320"/>
        <v>66.040931370465032</v>
      </c>
      <c r="AD60" s="19">
        <f t="shared" ca="1" si="320"/>
        <v>125.49914119443859</v>
      </c>
      <c r="AE60" s="19">
        <f t="shared" ca="1" si="320"/>
        <v>75.127360273655626</v>
      </c>
      <c r="AF60" s="19">
        <f t="shared" ca="1" si="320"/>
        <v>82.525198911712707</v>
      </c>
      <c r="AG60" s="19">
        <f t="shared" ca="1" si="320"/>
        <v>157.65255918158556</v>
      </c>
      <c r="AH60" s="19">
        <f t="shared" ca="1" si="320"/>
        <v>92.770844608408879</v>
      </c>
      <c r="AI60" s="19">
        <f t="shared" ca="1" si="320"/>
        <v>101.07759827154462</v>
      </c>
      <c r="AJ60" s="19">
        <f t="shared" ca="1" si="320"/>
        <v>193.84844288412955</v>
      </c>
      <c r="AK60" s="19">
        <f t="shared" ca="1" si="320"/>
        <v>112.56644106785029</v>
      </c>
      <c r="AL60" s="19">
        <f t="shared" ca="1" si="320"/>
        <v>121.88433456099376</v>
      </c>
      <c r="AM60" s="19">
        <f t="shared" ca="1" si="320"/>
        <v>234.45077568260567</v>
      </c>
      <c r="AN60" s="19">
        <f t="shared" ca="1" si="320"/>
        <v>129.80017343187933</v>
      </c>
      <c r="AO60" s="19">
        <f t="shared" ca="1" si="320"/>
        <v>139.09806504565665</v>
      </c>
      <c r="AP60" s="19">
        <f t="shared" ca="1" si="320"/>
        <v>268.89823874600995</v>
      </c>
      <c r="AQ60" s="19">
        <f t="shared" ca="1" si="320"/>
        <v>145.44802854961313</v>
      </c>
      <c r="AR60" s="19">
        <f t="shared" ca="1" si="320"/>
        <v>155.4556486699085</v>
      </c>
      <c r="AS60" s="19">
        <f t="shared" ca="1" si="320"/>
        <v>300.90367783682456</v>
      </c>
      <c r="AT60" s="19">
        <f t="shared" ref="AT60:AV60" ca="1" si="322">(+AT56/AT63)*100</f>
        <v>161.72994871519109</v>
      </c>
      <c r="AU60" s="19">
        <f t="shared" ca="1" si="322"/>
        <v>172.46597714778639</v>
      </c>
      <c r="AV60" s="19">
        <f t="shared" ca="1" si="322"/>
        <v>334.19592412364386</v>
      </c>
    </row>
    <row r="61" spans="1:62" x14ac:dyDescent="0.25">
      <c r="A61" s="8" t="s">
        <v>319</v>
      </c>
      <c r="B61" s="8" t="s">
        <v>241</v>
      </c>
      <c r="C61" s="22" t="s">
        <v>244</v>
      </c>
      <c r="I61" s="19">
        <f t="shared" ref="I61:AS61" si="323">(+I56/I64)*100</f>
        <v>-2.2692983449888771</v>
      </c>
      <c r="J61" s="19">
        <f t="shared" si="323"/>
        <v>3.7492755265033622</v>
      </c>
      <c r="K61" s="19">
        <f t="shared" si="317"/>
        <v>-16.075271915384494</v>
      </c>
      <c r="L61" s="19">
        <f t="shared" ref="L61:M61" si="324">(+L56/L64)*100</f>
        <v>-12.325996388881133</v>
      </c>
      <c r="M61" s="291">
        <f t="shared" si="324"/>
        <v>6.8789988067137111</v>
      </c>
      <c r="N61" s="19">
        <f t="shared" si="323"/>
        <v>6.7602816652747411</v>
      </c>
      <c r="O61" s="19">
        <f t="shared" si="323"/>
        <v>13.668855968688764</v>
      </c>
      <c r="P61" s="19">
        <f t="shared" ca="1" si="323"/>
        <v>9.2485966634293746</v>
      </c>
      <c r="Q61" s="19">
        <f t="shared" ca="1" si="323"/>
        <v>11.034803882245168</v>
      </c>
      <c r="R61" s="19">
        <f t="shared" ca="1" si="323"/>
        <v>20.283400545674571</v>
      </c>
      <c r="S61" s="19">
        <f t="shared" ca="1" si="323"/>
        <v>17.248579710418401</v>
      </c>
      <c r="T61" s="19">
        <f t="shared" ca="1" si="323"/>
        <v>22.670208289367046</v>
      </c>
      <c r="U61" s="19">
        <f t="shared" ca="1" si="323"/>
        <v>39.918787999786247</v>
      </c>
      <c r="V61" s="19">
        <f t="shared" ca="1" si="323"/>
        <v>30.278765999751862</v>
      </c>
      <c r="W61" s="19">
        <f t="shared" ca="1" si="323"/>
        <v>31.300855292208517</v>
      </c>
      <c r="X61" s="19">
        <f t="shared" ca="1" si="323"/>
        <v>61.579621291966333</v>
      </c>
      <c r="Y61" s="19">
        <f t="shared" ca="1" si="323"/>
        <v>44.171591165964486</v>
      </c>
      <c r="Z61" s="19">
        <f t="shared" ca="1" si="323"/>
        <v>46.251028744409126</v>
      </c>
      <c r="AA61" s="19">
        <f t="shared" ca="1" si="323"/>
        <v>90.422619910327029</v>
      </c>
      <c r="AB61" s="19">
        <f t="shared" ca="1" si="323"/>
        <v>56.9905132911518</v>
      </c>
      <c r="AC61" s="19">
        <f t="shared" ca="1" si="323"/>
        <v>63.300031873191287</v>
      </c>
      <c r="AD61" s="19">
        <f t="shared" ca="1" si="323"/>
        <v>120.29054516361461</v>
      </c>
      <c r="AE61" s="19">
        <f t="shared" ca="1" si="323"/>
        <v>72.00934634301538</v>
      </c>
      <c r="AF61" s="19">
        <f t="shared" ca="1" si="323"/>
        <v>79.100152179093669</v>
      </c>
      <c r="AG61" s="19">
        <f t="shared" ca="1" si="323"/>
        <v>151.10949851848326</v>
      </c>
      <c r="AH61" s="19">
        <f t="shared" ca="1" si="323"/>
        <v>88.920572420052579</v>
      </c>
      <c r="AI61" s="19">
        <f t="shared" ca="1" si="323"/>
        <v>96.882570543452729</v>
      </c>
      <c r="AJ61" s="19">
        <f t="shared" ca="1" si="323"/>
        <v>185.80314296750808</v>
      </c>
      <c r="AK61" s="19">
        <f t="shared" ca="1" si="323"/>
        <v>107.89459142354399</v>
      </c>
      <c r="AL61" s="19">
        <f t="shared" ca="1" si="323"/>
        <v>116.82576399890176</v>
      </c>
      <c r="AM61" s="19">
        <f t="shared" ca="1" si="323"/>
        <v>224.72035547397607</v>
      </c>
      <c r="AN61" s="19">
        <f t="shared" ca="1" si="323"/>
        <v>124.41307148279037</v>
      </c>
      <c r="AO61" s="19">
        <f t="shared" ca="1" si="323"/>
        <v>133.32507231760593</v>
      </c>
      <c r="AP61" s="19">
        <f t="shared" ca="1" si="323"/>
        <v>257.73814405772777</v>
      </c>
      <c r="AQ61" s="19">
        <f t="shared" ca="1" si="323"/>
        <v>139.41149302447394</v>
      </c>
      <c r="AR61" s="19">
        <f t="shared" ca="1" si="323"/>
        <v>149.00376647434226</v>
      </c>
      <c r="AS61" s="19">
        <f t="shared" ca="1" si="323"/>
        <v>288.4152600904992</v>
      </c>
      <c r="AT61" s="19">
        <f t="shared" ref="AT61:AV61" ca="1" si="325">(+AT56/AT64)*100</f>
        <v>155.01766398618099</v>
      </c>
      <c r="AU61" s="19">
        <f t="shared" ca="1" si="325"/>
        <v>165.30811458813452</v>
      </c>
      <c r="AV61" s="19">
        <f t="shared" ca="1" si="325"/>
        <v>320.32577690716948</v>
      </c>
    </row>
    <row r="62" spans="1:62" x14ac:dyDescent="0.25">
      <c r="K62" s="8">
        <f t="shared" si="317"/>
        <v>0</v>
      </c>
    </row>
    <row r="63" spans="1:62" x14ac:dyDescent="0.25">
      <c r="B63" s="8" t="s">
        <v>242</v>
      </c>
      <c r="C63" s="22" t="s">
        <v>245</v>
      </c>
      <c r="F63" s="8" t="s">
        <v>672</v>
      </c>
      <c r="G63" s="8">
        <f>+Assumptions!G322</f>
        <v>0</v>
      </c>
      <c r="H63" s="8">
        <f>+Assumptions!H322</f>
        <v>0</v>
      </c>
      <c r="I63" s="19">
        <f>+J63</f>
        <v>101.352914</v>
      </c>
      <c r="J63" s="19">
        <f>+Assumptions!J321</f>
        <v>101.352914</v>
      </c>
      <c r="K63" s="19">
        <f>+Assumptions!K321</f>
        <v>101.352914</v>
      </c>
      <c r="L63" s="19">
        <f>+Assumptions!L321</f>
        <v>101.352914</v>
      </c>
      <c r="M63" s="291">
        <f>+Assumptions!M321</f>
        <v>101.438248</v>
      </c>
      <c r="N63" s="19">
        <f>+Assumptions!N321</f>
        <v>106.134631</v>
      </c>
      <c r="O63" s="19">
        <f>+Assumptions!O321</f>
        <v>101.509607</v>
      </c>
      <c r="P63" s="19">
        <f>+Assumptions!P321</f>
        <v>101.509607</v>
      </c>
      <c r="Q63" s="19">
        <f>+Assumptions!Q321</f>
        <v>101.509607</v>
      </c>
      <c r="R63" s="19">
        <f>+Assumptions!R321</f>
        <v>101.509607</v>
      </c>
      <c r="S63" s="19">
        <f>+Assumptions!S321</f>
        <v>101.509607</v>
      </c>
      <c r="T63" s="19">
        <f>+Assumptions!T321</f>
        <v>101.509607</v>
      </c>
      <c r="U63" s="19">
        <f>+Assumptions!U321</f>
        <v>101.509607</v>
      </c>
      <c r="V63" s="19">
        <f>+Assumptions!V321</f>
        <v>101.509607</v>
      </c>
      <c r="W63" s="19">
        <f>+Assumptions!W321</f>
        <v>101.509607</v>
      </c>
      <c r="X63" s="19">
        <f>+Assumptions!X321</f>
        <v>101.509607</v>
      </c>
      <c r="Y63" s="19">
        <f>+Assumptions!Y321</f>
        <v>101.509607</v>
      </c>
      <c r="Z63" s="19">
        <f>+Assumptions!Z321</f>
        <v>101.509607</v>
      </c>
      <c r="AA63" s="19">
        <f>+Assumptions!AA321</f>
        <v>101.509607</v>
      </c>
      <c r="AB63" s="19">
        <f>+Assumptions!AB321</f>
        <v>101.509607</v>
      </c>
      <c r="AC63" s="19">
        <f>+Assumptions!AC321</f>
        <v>101.509607</v>
      </c>
      <c r="AD63" s="19">
        <f>+Assumptions!AD321</f>
        <v>101.509607</v>
      </c>
      <c r="AE63" s="19">
        <f>+Assumptions!AE321</f>
        <v>101.509607</v>
      </c>
      <c r="AF63" s="19">
        <f>+Assumptions!AF321</f>
        <v>101.509607</v>
      </c>
      <c r="AG63" s="19">
        <f>+Assumptions!AG321</f>
        <v>101.509607</v>
      </c>
      <c r="AH63" s="19">
        <f>+Assumptions!AH321</f>
        <v>101.509607</v>
      </c>
      <c r="AI63" s="19">
        <f>+Assumptions!AI321</f>
        <v>101.509607</v>
      </c>
      <c r="AJ63" s="19">
        <f>+Assumptions!AJ321</f>
        <v>101.509607</v>
      </c>
      <c r="AK63" s="19">
        <f>+Assumptions!AK321</f>
        <v>101.509607</v>
      </c>
      <c r="AL63" s="19">
        <f>+Assumptions!AL321</f>
        <v>101.509607</v>
      </c>
      <c r="AM63" s="19">
        <f>+Assumptions!AM321</f>
        <v>101.509607</v>
      </c>
      <c r="AN63" s="19">
        <f>+Assumptions!AN321</f>
        <v>101.509607</v>
      </c>
      <c r="AO63" s="19">
        <f>+Assumptions!AO321</f>
        <v>101.509607</v>
      </c>
      <c r="AP63" s="19">
        <f>+Assumptions!AP321</f>
        <v>101.509607</v>
      </c>
      <c r="AQ63" s="19">
        <f>+Assumptions!AQ321</f>
        <v>101.509607</v>
      </c>
      <c r="AR63" s="19">
        <f>+Assumptions!AR321</f>
        <v>101.509607</v>
      </c>
      <c r="AS63" s="19">
        <f>+Assumptions!AS321</f>
        <v>101.509607</v>
      </c>
      <c r="AT63" s="19">
        <f>+Assumptions!AT321</f>
        <v>101.509607</v>
      </c>
      <c r="AU63" s="19">
        <f>+Assumptions!AU321</f>
        <v>101.509607</v>
      </c>
      <c r="AV63" s="19">
        <f>+Assumptions!AV321</f>
        <v>101.509607</v>
      </c>
    </row>
    <row r="64" spans="1:62" x14ac:dyDescent="0.25">
      <c r="B64" s="8" t="s">
        <v>243</v>
      </c>
      <c r="C64" s="22" t="s">
        <v>245</v>
      </c>
      <c r="F64" s="8" t="s">
        <v>672</v>
      </c>
      <c r="G64" s="8">
        <f>+Assumptions!G323</f>
        <v>0</v>
      </c>
      <c r="H64" s="8">
        <f>+Assumptions!H323</f>
        <v>0</v>
      </c>
      <c r="I64" s="19">
        <f>+J64</f>
        <v>101.352914</v>
      </c>
      <c r="J64" s="19">
        <f>+Assumptions!J323</f>
        <v>101.352914</v>
      </c>
      <c r="K64" s="19">
        <f>+Assumptions!K323</f>
        <v>101.352914</v>
      </c>
      <c r="L64" s="19">
        <f>+Assumptions!L323</f>
        <v>111.53662199999999</v>
      </c>
      <c r="M64" s="291">
        <f>+Assumptions!M323</f>
        <v>106.134631</v>
      </c>
      <c r="N64" s="19">
        <f>+Assumptions!N323</f>
        <v>106.134631</v>
      </c>
      <c r="O64" s="19">
        <f>+Assumptions!O323</f>
        <v>105.90498599999999</v>
      </c>
      <c r="P64" s="19">
        <f>+Assumptions!P323</f>
        <v>105.90498599999999</v>
      </c>
      <c r="Q64" s="19">
        <f>+Assumptions!Q323</f>
        <v>105.90498599999999</v>
      </c>
      <c r="R64" s="19">
        <f>+Assumptions!R323</f>
        <v>105.90498599999999</v>
      </c>
      <c r="S64" s="19">
        <f>+Assumptions!S323</f>
        <v>105.90498599999999</v>
      </c>
      <c r="T64" s="19">
        <f>+Assumptions!T323</f>
        <v>105.90498599999999</v>
      </c>
      <c r="U64" s="19">
        <f>+Assumptions!U323</f>
        <v>105.90498599999999</v>
      </c>
      <c r="V64" s="19">
        <f>+Assumptions!V323</f>
        <v>105.90498599999999</v>
      </c>
      <c r="W64" s="19">
        <f>+Assumptions!W323</f>
        <v>105.90498599999999</v>
      </c>
      <c r="X64" s="19">
        <f>+Assumptions!X323</f>
        <v>105.90498599999999</v>
      </c>
      <c r="Y64" s="19">
        <f>+Assumptions!Y323</f>
        <v>105.90498599999999</v>
      </c>
      <c r="Z64" s="19">
        <f>+Assumptions!Z323</f>
        <v>105.90498599999999</v>
      </c>
      <c r="AA64" s="19">
        <f>+Assumptions!AA323</f>
        <v>105.90498599999999</v>
      </c>
      <c r="AB64" s="19">
        <f>+Assumptions!AB323</f>
        <v>105.90498599999999</v>
      </c>
      <c r="AC64" s="19">
        <f>+Assumptions!AC323</f>
        <v>105.90498599999999</v>
      </c>
      <c r="AD64" s="19">
        <f>+Assumptions!AD323</f>
        <v>105.90498599999999</v>
      </c>
      <c r="AE64" s="19">
        <f>+Assumptions!AE323</f>
        <v>105.90498599999999</v>
      </c>
      <c r="AF64" s="19">
        <f>+Assumptions!AF323</f>
        <v>105.90498599999999</v>
      </c>
      <c r="AG64" s="19">
        <f>+Assumptions!AG323</f>
        <v>105.90498599999999</v>
      </c>
      <c r="AH64" s="19">
        <f>+Assumptions!AH323</f>
        <v>105.90498599999999</v>
      </c>
      <c r="AI64" s="19">
        <f>+Assumptions!AI323</f>
        <v>105.90498599999999</v>
      </c>
      <c r="AJ64" s="19">
        <f>+Assumptions!AJ323</f>
        <v>105.90498599999999</v>
      </c>
      <c r="AK64" s="19">
        <f>+Assumptions!AK323</f>
        <v>105.90498599999999</v>
      </c>
      <c r="AL64" s="19">
        <f>+Assumptions!AL323</f>
        <v>105.90498599999999</v>
      </c>
      <c r="AM64" s="19">
        <f>+Assumptions!AM323</f>
        <v>105.90498599999999</v>
      </c>
      <c r="AN64" s="19">
        <f>+Assumptions!AN323</f>
        <v>105.90498599999999</v>
      </c>
      <c r="AO64" s="19">
        <f>+Assumptions!AO323</f>
        <v>105.90498599999999</v>
      </c>
      <c r="AP64" s="19">
        <f>+Assumptions!AP323</f>
        <v>105.90498599999999</v>
      </c>
      <c r="AQ64" s="19">
        <f>+Assumptions!AQ323</f>
        <v>105.90498599999999</v>
      </c>
      <c r="AR64" s="19">
        <f>+Assumptions!AR323</f>
        <v>105.90498599999999</v>
      </c>
      <c r="AS64" s="19">
        <f>+Assumptions!AS323</f>
        <v>105.90498599999999</v>
      </c>
      <c r="AT64" s="19">
        <f>+Assumptions!AT323</f>
        <v>105.90498599999999</v>
      </c>
      <c r="AU64" s="19">
        <f>+Assumptions!AU323</f>
        <v>105.90498599999999</v>
      </c>
      <c r="AV64" s="19">
        <f>+Assumptions!AV323</f>
        <v>105.90498599999999</v>
      </c>
    </row>
    <row r="66" spans="1:51" x14ac:dyDescent="0.25">
      <c r="B66" s="8" t="s">
        <v>242</v>
      </c>
      <c r="C66" s="22" t="s">
        <v>245</v>
      </c>
      <c r="F66" s="8" t="str">
        <f t="shared" ref="F66:Z66" si="326">F63</f>
        <v>ND</v>
      </c>
      <c r="G66" s="8">
        <f t="shared" si="326"/>
        <v>0</v>
      </c>
      <c r="H66" s="8">
        <f t="shared" si="326"/>
        <v>0</v>
      </c>
      <c r="I66" s="19">
        <f t="shared" si="326"/>
        <v>101.352914</v>
      </c>
      <c r="J66" s="19">
        <f t="shared" si="326"/>
        <v>101.352914</v>
      </c>
      <c r="K66" s="19">
        <f t="shared" si="326"/>
        <v>101.352914</v>
      </c>
      <c r="L66" s="19">
        <f t="shared" si="326"/>
        <v>101.352914</v>
      </c>
      <c r="M66" s="291">
        <f t="shared" ref="M66" si="327">M63</f>
        <v>101.438248</v>
      </c>
      <c r="N66" s="19">
        <f>N63</f>
        <v>106.134631</v>
      </c>
      <c r="O66" s="19">
        <f t="shared" si="326"/>
        <v>101.509607</v>
      </c>
      <c r="P66" s="19">
        <f t="shared" si="326"/>
        <v>101.509607</v>
      </c>
      <c r="Q66" s="19">
        <f t="shared" si="326"/>
        <v>101.509607</v>
      </c>
      <c r="R66" s="19">
        <f t="shared" si="326"/>
        <v>101.509607</v>
      </c>
      <c r="S66" s="19">
        <f t="shared" si="326"/>
        <v>101.509607</v>
      </c>
      <c r="T66" s="19">
        <f t="shared" si="326"/>
        <v>101.509607</v>
      </c>
      <c r="U66" s="19">
        <f t="shared" si="326"/>
        <v>101.509607</v>
      </c>
      <c r="V66" s="19">
        <f t="shared" si="326"/>
        <v>101.509607</v>
      </c>
      <c r="W66" s="19">
        <f t="shared" si="326"/>
        <v>101.509607</v>
      </c>
      <c r="X66" s="19">
        <f t="shared" si="326"/>
        <v>101.509607</v>
      </c>
      <c r="Y66" s="19">
        <f t="shared" si="326"/>
        <v>101.509607</v>
      </c>
      <c r="Z66" s="19">
        <f t="shared" si="326"/>
        <v>101.509607</v>
      </c>
      <c r="AA66" s="19">
        <f>AA63</f>
        <v>101.509607</v>
      </c>
      <c r="AB66" s="19">
        <f t="shared" ref="AB66:AP66" si="328">AB63</f>
        <v>101.509607</v>
      </c>
      <c r="AC66" s="19">
        <f t="shared" si="328"/>
        <v>101.509607</v>
      </c>
      <c r="AD66" s="19">
        <f t="shared" si="328"/>
        <v>101.509607</v>
      </c>
      <c r="AE66" s="19">
        <f t="shared" si="328"/>
        <v>101.509607</v>
      </c>
      <c r="AF66" s="19">
        <f t="shared" si="328"/>
        <v>101.509607</v>
      </c>
      <c r="AG66" s="19">
        <f t="shared" si="328"/>
        <v>101.509607</v>
      </c>
      <c r="AH66" s="19">
        <f t="shared" si="328"/>
        <v>101.509607</v>
      </c>
      <c r="AI66" s="19">
        <f t="shared" si="328"/>
        <v>101.509607</v>
      </c>
      <c r="AJ66" s="19">
        <f t="shared" si="328"/>
        <v>101.509607</v>
      </c>
      <c r="AK66" s="19">
        <f t="shared" si="328"/>
        <v>101.509607</v>
      </c>
      <c r="AL66" s="19">
        <f t="shared" si="328"/>
        <v>101.509607</v>
      </c>
      <c r="AM66" s="19">
        <f t="shared" si="328"/>
        <v>101.509607</v>
      </c>
      <c r="AN66" s="19">
        <f t="shared" si="328"/>
        <v>101.509607</v>
      </c>
      <c r="AO66" s="19">
        <f t="shared" si="328"/>
        <v>101.509607</v>
      </c>
      <c r="AP66" s="19">
        <f t="shared" si="328"/>
        <v>101.509607</v>
      </c>
      <c r="AQ66" s="19">
        <f t="shared" ref="AQ66:AS66" si="329">AQ63</f>
        <v>101.509607</v>
      </c>
      <c r="AR66" s="19">
        <f t="shared" si="329"/>
        <v>101.509607</v>
      </c>
      <c r="AS66" s="19">
        <f t="shared" si="329"/>
        <v>101.509607</v>
      </c>
      <c r="AT66" s="19">
        <f t="shared" ref="AT66:AV66" si="330">AT63</f>
        <v>101.509607</v>
      </c>
      <c r="AU66" s="19">
        <f t="shared" si="330"/>
        <v>101.509607</v>
      </c>
      <c r="AV66" s="19">
        <f t="shared" si="330"/>
        <v>101.509607</v>
      </c>
    </row>
    <row r="72" spans="1:51" ht="15.75" x14ac:dyDescent="0.25">
      <c r="A72" s="49" t="s">
        <v>23</v>
      </c>
      <c r="B72" s="1" t="s">
        <v>107</v>
      </c>
      <c r="C72" s="2"/>
      <c r="D72" s="2"/>
      <c r="E72" s="2"/>
      <c r="F72" s="2"/>
      <c r="G72" s="1"/>
      <c r="H72" s="1"/>
      <c r="I72" s="1"/>
      <c r="J72" s="1"/>
      <c r="K72" s="1"/>
      <c r="L72" s="1"/>
      <c r="M72" s="42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</row>
    <row r="74" spans="1:51" x14ac:dyDescent="0.25">
      <c r="B74" s="12" t="s">
        <v>108</v>
      </c>
      <c r="J74" s="84"/>
      <c r="K74" s="19"/>
      <c r="L74" s="19"/>
      <c r="M74" s="428"/>
      <c r="N74" s="19"/>
    </row>
    <row r="75" spans="1:51" x14ac:dyDescent="0.25">
      <c r="A75" s="8" t="s">
        <v>595</v>
      </c>
      <c r="B75" s="8" t="s">
        <v>109</v>
      </c>
      <c r="C75" s="22" t="s">
        <v>28</v>
      </c>
      <c r="F75" s="8">
        <v>0</v>
      </c>
      <c r="I75" s="45">
        <v>36.503999999999998</v>
      </c>
      <c r="J75" s="45">
        <v>279.7</v>
      </c>
      <c r="K75" s="19">
        <f>+L75</f>
        <v>294.48</v>
      </c>
      <c r="L75" s="45">
        <f>16.385+278.095</f>
        <v>294.48</v>
      </c>
      <c r="M75" s="473">
        <f>16.882+257.611</f>
        <v>274.49299999999999</v>
      </c>
      <c r="N75" s="19">
        <f>+O75</f>
        <v>281.74299999999999</v>
      </c>
      <c r="O75" s="45">
        <f>39.675+242.068</f>
        <v>281.74299999999999</v>
      </c>
      <c r="P75" s="21">
        <f ca="1">+P156</f>
        <v>279.59941204363139</v>
      </c>
      <c r="Q75" s="21">
        <f ca="1">+Q156</f>
        <v>269.57803351407381</v>
      </c>
      <c r="R75" s="21">
        <f ca="1">Q75</f>
        <v>269.57803351407381</v>
      </c>
      <c r="S75" s="21">
        <f ca="1">+S156</f>
        <v>257.02244026569065</v>
      </c>
      <c r="T75" s="21">
        <f ca="1">+T156</f>
        <v>242.88345875289596</v>
      </c>
      <c r="U75" s="21">
        <f ca="1">T75</f>
        <v>242.88345875289596</v>
      </c>
      <c r="V75" s="21">
        <f ca="1">+V156</f>
        <v>238.02950673489124</v>
      </c>
      <c r="W75" s="21">
        <f ca="1">+W156</f>
        <v>233.92671208839204</v>
      </c>
      <c r="X75" s="21">
        <f ca="1">W75</f>
        <v>233.92671208839204</v>
      </c>
      <c r="Y75" s="21">
        <f ca="1">+Y156</f>
        <v>230.70455229801433</v>
      </c>
      <c r="Z75" s="21">
        <f ca="1">+Z156</f>
        <v>229.80971387335634</v>
      </c>
      <c r="AA75" s="21">
        <f ca="1">Z75</f>
        <v>229.80971387335634</v>
      </c>
      <c r="AB75" s="21">
        <f t="shared" ref="AB75:AC75" ca="1" si="331">+AB156</f>
        <v>231.74871509327036</v>
      </c>
      <c r="AC75" s="21">
        <f t="shared" ca="1" si="331"/>
        <v>236.91066360888357</v>
      </c>
      <c r="AD75" s="21">
        <f t="shared" ref="AD75:AF79" ca="1" si="332">AC75</f>
        <v>236.91066360888357</v>
      </c>
      <c r="AE75" s="21">
        <f t="shared" ref="AE75:AF75" ca="1" si="333">+AE156</f>
        <v>242.57804630508929</v>
      </c>
      <c r="AF75" s="21">
        <f t="shared" ca="1" si="333"/>
        <v>251.67311091879753</v>
      </c>
      <c r="AG75" s="21">
        <f t="shared" ref="AG75:AI79" ca="1" si="334">AF75</f>
        <v>251.67311091879753</v>
      </c>
      <c r="AH75" s="21">
        <f t="shared" ref="AH75:AI75" ca="1" si="335">+AH156</f>
        <v>261.31640851309271</v>
      </c>
      <c r="AI75" s="21">
        <f t="shared" ca="1" si="335"/>
        <v>274.99607380632841</v>
      </c>
      <c r="AJ75" s="21">
        <f t="shared" ref="AJ75:AL79" ca="1" si="336">AI75</f>
        <v>274.99607380632841</v>
      </c>
      <c r="AK75" s="21">
        <f t="shared" ref="AK75:AL75" ca="1" si="337">+AK156</f>
        <v>289.26916530832023</v>
      </c>
      <c r="AL75" s="21">
        <f t="shared" ca="1" si="337"/>
        <v>308.23696616906</v>
      </c>
      <c r="AM75" s="21">
        <f t="shared" ref="AM75:AO79" ca="1" si="338">AL75</f>
        <v>308.23696616906</v>
      </c>
      <c r="AN75" s="21">
        <f t="shared" ref="AN75:AO75" ca="1" si="339">+AN156</f>
        <v>328.00906569663698</v>
      </c>
      <c r="AO75" s="21">
        <f t="shared" ca="1" si="339"/>
        <v>353.64244286203666</v>
      </c>
      <c r="AP75" s="21">
        <f t="shared" ref="AP75:AR79" ca="1" si="340">AO75</f>
        <v>353.64244286203666</v>
      </c>
      <c r="AQ75" s="21">
        <f t="shared" ref="AQ75:AR75" ca="1" si="341">+AQ156</f>
        <v>376.46618550943992</v>
      </c>
      <c r="AR75" s="21">
        <f t="shared" ca="1" si="341"/>
        <v>406.02425381752141</v>
      </c>
      <c r="AS75" s="21">
        <f t="shared" ref="AS75:AS79" ca="1" si="342">AR75</f>
        <v>406.02425381752141</v>
      </c>
      <c r="AT75" s="21">
        <f t="shared" ref="AT75:AU75" ca="1" si="343">+AT156</f>
        <v>432.41553418044907</v>
      </c>
      <c r="AU75" s="21">
        <f t="shared" ca="1" si="343"/>
        <v>466.0689096976763</v>
      </c>
      <c r="AV75" s="21">
        <f t="shared" ref="AV75:AV79" ca="1" si="344">AU75</f>
        <v>466.0689096976763</v>
      </c>
      <c r="AW75" s="23"/>
      <c r="AX75" s="23"/>
      <c r="AY75" s="295"/>
    </row>
    <row r="76" spans="1:51" x14ac:dyDescent="0.25">
      <c r="A76" s="8" t="s">
        <v>596</v>
      </c>
      <c r="B76" s="8" t="s">
        <v>110</v>
      </c>
      <c r="C76" s="22" t="s">
        <v>28</v>
      </c>
      <c r="F76" s="8">
        <v>0</v>
      </c>
      <c r="I76" s="45">
        <v>23.946999999999999</v>
      </c>
      <c r="J76" s="45">
        <v>21.2</v>
      </c>
      <c r="K76" s="19">
        <f t="shared" ref="K76:K80" si="345">+L76</f>
        <v>26.02</v>
      </c>
      <c r="L76" s="45">
        <v>26.02</v>
      </c>
      <c r="M76" s="446">
        <v>18.852</v>
      </c>
      <c r="N76" s="19">
        <f t="shared" ref="N76:N80" si="346">+O76</f>
        <v>24.702999999999999</v>
      </c>
      <c r="O76" s="45">
        <v>24.702999999999999</v>
      </c>
      <c r="P76" s="21">
        <f>+Assumptions!P415</f>
        <v>30.530917240364879</v>
      </c>
      <c r="Q76" s="21">
        <f>+Assumptions!Q415</f>
        <v>32.031819498598601</v>
      </c>
      <c r="R76" s="21">
        <f t="shared" ref="R76:R79" si="347">Q76</f>
        <v>32.031819498598601</v>
      </c>
      <c r="S76" s="21">
        <f>+Assumptions!S415</f>
        <v>36.883901933904482</v>
      </c>
      <c r="T76" s="21">
        <f>+Assumptions!T415</f>
        <v>38.895744149546957</v>
      </c>
      <c r="U76" s="21">
        <f t="shared" ref="U76:U79" si="348">T76</f>
        <v>38.895744149546957</v>
      </c>
      <c r="V76" s="21">
        <f>+Assumptions!V415</f>
        <v>45.294126577945576</v>
      </c>
      <c r="W76" s="21">
        <f>+Assumptions!W415</f>
        <v>47.203412836564738</v>
      </c>
      <c r="X76" s="21">
        <f t="shared" ref="X76:X79" si="349">W76</f>
        <v>47.203412836564738</v>
      </c>
      <c r="Y76" s="21">
        <f>+Assumptions!Y415</f>
        <v>54.113130266830744</v>
      </c>
      <c r="Z76" s="21">
        <f>+Assumptions!Z415</f>
        <v>56.419977444363603</v>
      </c>
      <c r="AA76" s="21">
        <f t="shared" ref="AA76:AA79" si="350">Z76</f>
        <v>56.419977444363603</v>
      </c>
      <c r="AB76" s="21">
        <f>+Assumptions!AB415</f>
        <v>63.225509814440656</v>
      </c>
      <c r="AC76" s="21">
        <f>+Assumptions!AC415</f>
        <v>65.97747284998313</v>
      </c>
      <c r="AD76" s="21">
        <f t="shared" si="332"/>
        <v>65.97747284998313</v>
      </c>
      <c r="AE76" s="21">
        <f>+Assumptions!AE415</f>
        <v>72.76550688912053</v>
      </c>
      <c r="AF76" s="21">
        <f>+Assumptions!AF415</f>
        <v>75.794037096858204</v>
      </c>
      <c r="AG76" s="21">
        <f t="shared" si="334"/>
        <v>75.794037096858204</v>
      </c>
      <c r="AH76" s="21">
        <f>+Assumptions!AH415</f>
        <v>83.110670396548954</v>
      </c>
      <c r="AI76" s="21">
        <f>+Assumptions!AI415</f>
        <v>86.436875408849914</v>
      </c>
      <c r="AJ76" s="21">
        <f t="shared" si="336"/>
        <v>86.436875408849914</v>
      </c>
      <c r="AK76" s="21">
        <f>+Assumptions!AK415</f>
        <v>94.317340372443894</v>
      </c>
      <c r="AL76" s="21">
        <f>+Assumptions!AL415</f>
        <v>97.963705395531207</v>
      </c>
      <c r="AM76" s="21">
        <f t="shared" si="338"/>
        <v>97.963705395531207</v>
      </c>
      <c r="AN76" s="21">
        <f>+Assumptions!AN415</f>
        <v>104.21261206518017</v>
      </c>
      <c r="AO76" s="21">
        <f>+Assumptions!AO415</f>
        <v>107.91415082310263</v>
      </c>
      <c r="AP76" s="21">
        <f t="shared" si="340"/>
        <v>107.91415082310263</v>
      </c>
      <c r="AQ76" s="21">
        <f>+Assumptions!AQ415</f>
        <v>113.77843794096968</v>
      </c>
      <c r="AR76" s="21">
        <f>+Assumptions!AR415</f>
        <v>117.73457108364806</v>
      </c>
      <c r="AS76" s="21">
        <f t="shared" si="342"/>
        <v>117.73457108364806</v>
      </c>
      <c r="AT76" s="21">
        <f>+Assumptions!AT415</f>
        <v>123.7611082942141</v>
      </c>
      <c r="AU76" s="21">
        <f>+Assumptions!AU415</f>
        <v>127.9817998029153</v>
      </c>
      <c r="AV76" s="21">
        <f t="shared" si="344"/>
        <v>127.9817998029153</v>
      </c>
      <c r="AW76" s="23"/>
      <c r="AX76" s="23"/>
      <c r="AY76" s="295"/>
    </row>
    <row r="77" spans="1:51" x14ac:dyDescent="0.25">
      <c r="B77" s="8" t="s">
        <v>111</v>
      </c>
      <c r="C77" s="22" t="s">
        <v>28</v>
      </c>
      <c r="F77" s="8">
        <v>0</v>
      </c>
      <c r="I77" s="45">
        <v>2.153</v>
      </c>
      <c r="J77" s="45">
        <v>3.2</v>
      </c>
      <c r="K77" s="19">
        <f t="shared" si="345"/>
        <v>2.8250000000000002</v>
      </c>
      <c r="L77" s="45">
        <v>2.8250000000000002</v>
      </c>
      <c r="M77" s="446">
        <v>4.2489999999999997</v>
      </c>
      <c r="N77" s="19">
        <f t="shared" si="346"/>
        <v>3.7610000000000001</v>
      </c>
      <c r="O77" s="45">
        <v>3.7610000000000001</v>
      </c>
      <c r="P77" s="21">
        <f>+Assumptions!P416</f>
        <v>4.9219472377521187</v>
      </c>
      <c r="Q77" s="21">
        <f>+Assumptions!Q416</f>
        <v>5.2080374634380844</v>
      </c>
      <c r="R77" s="21">
        <f t="shared" si="347"/>
        <v>5.2080374634380844</v>
      </c>
      <c r="S77" s="21">
        <f>+Assumptions!S416</f>
        <v>5.9747539188436818</v>
      </c>
      <c r="T77" s="21">
        <f>+Assumptions!T416</f>
        <v>6.3333733854393524</v>
      </c>
      <c r="U77" s="21">
        <f t="shared" si="348"/>
        <v>6.3333733854393524</v>
      </c>
      <c r="V77" s="21">
        <f>+Assumptions!V416</f>
        <v>7.2975734567679611</v>
      </c>
      <c r="W77" s="21">
        <f>+Assumptions!W416</f>
        <v>7.6933389145825881</v>
      </c>
      <c r="X77" s="21">
        <f t="shared" si="349"/>
        <v>7.6933389145825881</v>
      </c>
      <c r="Y77" s="21">
        <f>+Assumptions!Y416</f>
        <v>8.6105065212408132</v>
      </c>
      <c r="Z77" s="21">
        <f>+Assumptions!Z416</f>
        <v>9.0525026559885546</v>
      </c>
      <c r="AA77" s="21">
        <f t="shared" si="350"/>
        <v>9.0525026559885546</v>
      </c>
      <c r="AB77" s="21">
        <f>+Assumptions!AB416</f>
        <v>9.9961998374840313</v>
      </c>
      <c r="AC77" s="21">
        <f>+Assumptions!AC416</f>
        <v>10.459894569223934</v>
      </c>
      <c r="AD77" s="21">
        <f t="shared" si="332"/>
        <v>10.459894569223934</v>
      </c>
      <c r="AE77" s="21">
        <f>+Assumptions!AE416</f>
        <v>11.453192699153044</v>
      </c>
      <c r="AF77" s="21">
        <f>+Assumptions!AF416</f>
        <v>11.967887672268184</v>
      </c>
      <c r="AG77" s="21">
        <f t="shared" si="334"/>
        <v>11.967887672268184</v>
      </c>
      <c r="AH77" s="21">
        <f>+Assumptions!AH416</f>
        <v>13.030935202490877</v>
      </c>
      <c r="AI77" s="21">
        <f>+Assumptions!AI416</f>
        <v>13.600609324650128</v>
      </c>
      <c r="AJ77" s="21">
        <f t="shared" si="336"/>
        <v>13.600609324650128</v>
      </c>
      <c r="AK77" s="21">
        <f>+Assumptions!AK416</f>
        <v>14.737852580311873</v>
      </c>
      <c r="AL77" s="21">
        <f>+Assumptions!AL416</f>
        <v>15.366748703865731</v>
      </c>
      <c r="AM77" s="21">
        <f t="shared" si="338"/>
        <v>15.366748703865731</v>
      </c>
      <c r="AN77" s="21">
        <f>+Assumptions!AN416</f>
        <v>16.253180980211113</v>
      </c>
      <c r="AO77" s="21">
        <f>+Assumptions!AO416</f>
        <v>16.899458720694057</v>
      </c>
      <c r="AP77" s="21">
        <f t="shared" si="340"/>
        <v>16.899458720694057</v>
      </c>
      <c r="AQ77" s="21">
        <f>+Assumptions!AQ416</f>
        <v>17.718952830965353</v>
      </c>
      <c r="AR77" s="21">
        <f>+Assumptions!AR416</f>
        <v>18.412689479450183</v>
      </c>
      <c r="AS77" s="21">
        <f t="shared" si="342"/>
        <v>18.412689479450183</v>
      </c>
      <c r="AT77" s="21">
        <f>+Assumptions!AT416</f>
        <v>19.258424251482538</v>
      </c>
      <c r="AU77" s="21">
        <f>+Assumptions!AU416</f>
        <v>20.001899301326841</v>
      </c>
      <c r="AV77" s="21">
        <f t="shared" si="344"/>
        <v>20.001899301326841</v>
      </c>
      <c r="AW77" s="23"/>
      <c r="AX77" s="23"/>
      <c r="AY77" s="295"/>
    </row>
    <row r="78" spans="1:51" x14ac:dyDescent="0.25">
      <c r="B78" s="8" t="s">
        <v>112</v>
      </c>
      <c r="C78" s="22" t="s">
        <v>28</v>
      </c>
      <c r="F78" s="8">
        <v>0</v>
      </c>
      <c r="I78" s="45">
        <v>10.772</v>
      </c>
      <c r="J78" s="45">
        <v>10.5</v>
      </c>
      <c r="K78" s="19">
        <f t="shared" si="345"/>
        <v>11.999000000000001</v>
      </c>
      <c r="L78" s="45">
        <v>11.999000000000001</v>
      </c>
      <c r="M78" s="446">
        <v>12.25</v>
      </c>
      <c r="N78" s="19">
        <f t="shared" si="346"/>
        <v>12.497</v>
      </c>
      <c r="O78" s="45">
        <v>12.497</v>
      </c>
      <c r="P78" s="483">
        <f>O78</f>
        <v>12.497</v>
      </c>
      <c r="Q78" s="483">
        <f>P78</f>
        <v>12.497</v>
      </c>
      <c r="R78" s="483">
        <f t="shared" si="347"/>
        <v>12.497</v>
      </c>
      <c r="S78" s="483">
        <f>R78</f>
        <v>12.497</v>
      </c>
      <c r="T78" s="483">
        <f>S78</f>
        <v>12.497</v>
      </c>
      <c r="U78" s="483">
        <f t="shared" si="348"/>
        <v>12.497</v>
      </c>
      <c r="V78" s="483">
        <f>U78</f>
        <v>12.497</v>
      </c>
      <c r="W78" s="483">
        <f>V78</f>
        <v>12.497</v>
      </c>
      <c r="X78" s="483">
        <f t="shared" si="349"/>
        <v>12.497</v>
      </c>
      <c r="Y78" s="483">
        <f>X78</f>
        <v>12.497</v>
      </c>
      <c r="Z78" s="483">
        <f>Y78</f>
        <v>12.497</v>
      </c>
      <c r="AA78" s="483">
        <f t="shared" si="350"/>
        <v>12.497</v>
      </c>
      <c r="AB78" s="483">
        <f t="shared" ref="AB78:AC78" si="351">AA78</f>
        <v>12.497</v>
      </c>
      <c r="AC78" s="483">
        <f t="shared" si="351"/>
        <v>12.497</v>
      </c>
      <c r="AD78" s="483">
        <f t="shared" si="332"/>
        <v>12.497</v>
      </c>
      <c r="AE78" s="483">
        <f t="shared" si="332"/>
        <v>12.497</v>
      </c>
      <c r="AF78" s="483">
        <f t="shared" si="332"/>
        <v>12.497</v>
      </c>
      <c r="AG78" s="483">
        <f t="shared" si="334"/>
        <v>12.497</v>
      </c>
      <c r="AH78" s="483">
        <f t="shared" si="334"/>
        <v>12.497</v>
      </c>
      <c r="AI78" s="483">
        <f t="shared" si="334"/>
        <v>12.497</v>
      </c>
      <c r="AJ78" s="483">
        <f t="shared" si="336"/>
        <v>12.497</v>
      </c>
      <c r="AK78" s="483">
        <f t="shared" si="336"/>
        <v>12.497</v>
      </c>
      <c r="AL78" s="483">
        <f t="shared" si="336"/>
        <v>12.497</v>
      </c>
      <c r="AM78" s="483">
        <f t="shared" si="338"/>
        <v>12.497</v>
      </c>
      <c r="AN78" s="483">
        <f t="shared" si="338"/>
        <v>12.497</v>
      </c>
      <c r="AO78" s="483">
        <f t="shared" si="338"/>
        <v>12.497</v>
      </c>
      <c r="AP78" s="483">
        <f t="shared" si="340"/>
        <v>12.497</v>
      </c>
      <c r="AQ78" s="483">
        <f t="shared" si="340"/>
        <v>12.497</v>
      </c>
      <c r="AR78" s="483">
        <f t="shared" si="340"/>
        <v>12.497</v>
      </c>
      <c r="AS78" s="483">
        <f t="shared" si="342"/>
        <v>12.497</v>
      </c>
      <c r="AT78" s="483">
        <f t="shared" ref="AT78" si="352">AS78</f>
        <v>12.497</v>
      </c>
      <c r="AU78" s="483">
        <f t="shared" ref="AU78" si="353">AT78</f>
        <v>12.497</v>
      </c>
      <c r="AV78" s="483">
        <f t="shared" si="344"/>
        <v>12.497</v>
      </c>
      <c r="AW78" s="23"/>
      <c r="AX78" s="23"/>
      <c r="AY78" s="295"/>
    </row>
    <row r="79" spans="1:51" x14ac:dyDescent="0.25">
      <c r="B79" s="8" t="s">
        <v>113</v>
      </c>
      <c r="C79" s="22" t="s">
        <v>28</v>
      </c>
      <c r="F79" s="8">
        <v>0</v>
      </c>
      <c r="I79" s="45">
        <v>3.56</v>
      </c>
      <c r="J79" s="45">
        <v>4.4000000000000004</v>
      </c>
      <c r="K79" s="19">
        <f t="shared" si="345"/>
        <v>3.302</v>
      </c>
      <c r="L79" s="45">
        <v>3.302</v>
      </c>
      <c r="M79" s="473">
        <v>4.6040000000000001</v>
      </c>
      <c r="N79" s="19">
        <f t="shared" si="346"/>
        <v>4.51</v>
      </c>
      <c r="O79" s="45">
        <v>4.51</v>
      </c>
      <c r="P79" s="483">
        <f>+O79</f>
        <v>4.51</v>
      </c>
      <c r="Q79" s="483">
        <f>+P79</f>
        <v>4.51</v>
      </c>
      <c r="R79" s="483">
        <f t="shared" si="347"/>
        <v>4.51</v>
      </c>
      <c r="S79" s="483">
        <f>+R79</f>
        <v>4.51</v>
      </c>
      <c r="T79" s="483">
        <f>+S79</f>
        <v>4.51</v>
      </c>
      <c r="U79" s="483">
        <f t="shared" si="348"/>
        <v>4.51</v>
      </c>
      <c r="V79" s="483">
        <f>+U79</f>
        <v>4.51</v>
      </c>
      <c r="W79" s="483">
        <f>+V79</f>
        <v>4.51</v>
      </c>
      <c r="X79" s="483">
        <f t="shared" si="349"/>
        <v>4.51</v>
      </c>
      <c r="Y79" s="483">
        <f>+X79</f>
        <v>4.51</v>
      </c>
      <c r="Z79" s="483">
        <f>+Y79</f>
        <v>4.51</v>
      </c>
      <c r="AA79" s="483">
        <f t="shared" si="350"/>
        <v>4.51</v>
      </c>
      <c r="AB79" s="483">
        <f t="shared" ref="AB79:AC79" si="354">+AA79</f>
        <v>4.51</v>
      </c>
      <c r="AC79" s="483">
        <f t="shared" si="354"/>
        <v>4.51</v>
      </c>
      <c r="AD79" s="483">
        <f t="shared" si="332"/>
        <v>4.51</v>
      </c>
      <c r="AE79" s="483">
        <f t="shared" ref="AE79:AF79" si="355">+AD79</f>
        <v>4.51</v>
      </c>
      <c r="AF79" s="483">
        <f t="shared" si="355"/>
        <v>4.51</v>
      </c>
      <c r="AG79" s="483">
        <f t="shared" si="334"/>
        <v>4.51</v>
      </c>
      <c r="AH79" s="483">
        <f t="shared" ref="AH79:AI79" si="356">+AG79</f>
        <v>4.51</v>
      </c>
      <c r="AI79" s="483">
        <f t="shared" si="356"/>
        <v>4.51</v>
      </c>
      <c r="AJ79" s="483">
        <f t="shared" si="336"/>
        <v>4.51</v>
      </c>
      <c r="AK79" s="483">
        <f t="shared" ref="AK79:AL79" si="357">+AJ79</f>
        <v>4.51</v>
      </c>
      <c r="AL79" s="483">
        <f t="shared" si="357"/>
        <v>4.51</v>
      </c>
      <c r="AM79" s="483">
        <f t="shared" si="338"/>
        <v>4.51</v>
      </c>
      <c r="AN79" s="483">
        <f t="shared" ref="AN79:AO79" si="358">+AM79</f>
        <v>4.51</v>
      </c>
      <c r="AO79" s="483">
        <f t="shared" si="358"/>
        <v>4.51</v>
      </c>
      <c r="AP79" s="483">
        <f t="shared" si="340"/>
        <v>4.51</v>
      </c>
      <c r="AQ79" s="483">
        <f t="shared" ref="AQ79:AR79" si="359">+AP79</f>
        <v>4.51</v>
      </c>
      <c r="AR79" s="483">
        <f t="shared" si="359"/>
        <v>4.51</v>
      </c>
      <c r="AS79" s="483">
        <f t="shared" si="342"/>
        <v>4.51</v>
      </c>
      <c r="AT79" s="483">
        <f t="shared" ref="AT79" si="360">+AS79</f>
        <v>4.51</v>
      </c>
      <c r="AU79" s="483">
        <f t="shared" ref="AU79" si="361">+AT79</f>
        <v>4.51</v>
      </c>
      <c r="AV79" s="483">
        <f t="shared" si="344"/>
        <v>4.51</v>
      </c>
      <c r="AW79" s="23"/>
      <c r="AX79" s="23"/>
      <c r="AY79" s="295"/>
    </row>
    <row r="80" spans="1:51" x14ac:dyDescent="0.25">
      <c r="B80" s="12" t="s">
        <v>114</v>
      </c>
      <c r="C80" s="22" t="s">
        <v>28</v>
      </c>
      <c r="D80" s="12"/>
      <c r="E80" s="12"/>
      <c r="F80" s="12"/>
      <c r="G80" s="12"/>
      <c r="H80" s="12"/>
      <c r="I80" s="52">
        <f>SUM(I75:I79)</f>
        <v>76.935999999999993</v>
      </c>
      <c r="J80" s="52">
        <f>SUM(J75:J79)</f>
        <v>318.99999999999994</v>
      </c>
      <c r="K80" s="52">
        <f t="shared" si="345"/>
        <v>338.62600000000003</v>
      </c>
      <c r="L80" s="52">
        <f t="shared" ref="L80:T80" si="362">SUM(L75:L79)</f>
        <v>338.62600000000003</v>
      </c>
      <c r="M80" s="424">
        <f t="shared" ref="M80" si="363">SUM(M75:M79)</f>
        <v>314.44799999999998</v>
      </c>
      <c r="N80" s="52">
        <f t="shared" si="346"/>
        <v>327.214</v>
      </c>
      <c r="O80" s="52">
        <f t="shared" ref="O80" si="364">SUM(O75:O79)</f>
        <v>327.214</v>
      </c>
      <c r="P80" s="63">
        <f t="shared" ref="P80:R80" ca="1" si="365">SUM(P75:P79)</f>
        <v>332.05927652174842</v>
      </c>
      <c r="Q80" s="63">
        <f t="shared" ca="1" si="365"/>
        <v>323.82489047611051</v>
      </c>
      <c r="R80" s="63">
        <f t="shared" ca="1" si="365"/>
        <v>323.82489047611051</v>
      </c>
      <c r="S80" s="63">
        <f t="shared" ca="1" si="362"/>
        <v>316.88809611843885</v>
      </c>
      <c r="T80" s="63">
        <f t="shared" ca="1" si="362"/>
        <v>305.1195762878823</v>
      </c>
      <c r="U80" s="63">
        <f t="shared" ref="U80" ca="1" si="366">SUM(U75:U79)</f>
        <v>305.1195762878823</v>
      </c>
      <c r="V80" s="63">
        <f t="shared" ref="V80:X80" ca="1" si="367">SUM(V75:V79)</f>
        <v>307.62820676960479</v>
      </c>
      <c r="W80" s="63">
        <f t="shared" ca="1" si="367"/>
        <v>305.83046383953933</v>
      </c>
      <c r="X80" s="63">
        <f t="shared" ca="1" si="367"/>
        <v>305.83046383953933</v>
      </c>
      <c r="Y80" s="63">
        <f t="shared" ref="Y80:AA80" ca="1" si="368">SUM(Y75:Y79)</f>
        <v>310.43518908608593</v>
      </c>
      <c r="Z80" s="63">
        <f t="shared" ca="1" si="368"/>
        <v>312.28919397370851</v>
      </c>
      <c r="AA80" s="63">
        <f t="shared" ca="1" si="368"/>
        <v>312.28919397370851</v>
      </c>
      <c r="AB80" s="63">
        <f t="shared" ref="AB80:AP80" ca="1" si="369">SUM(AB75:AB79)</f>
        <v>321.97742474519504</v>
      </c>
      <c r="AC80" s="63">
        <f t="shared" ca="1" si="369"/>
        <v>330.35503102809065</v>
      </c>
      <c r="AD80" s="63">
        <f t="shared" ca="1" si="369"/>
        <v>330.35503102809065</v>
      </c>
      <c r="AE80" s="63">
        <f t="shared" ca="1" si="369"/>
        <v>343.80374589336282</v>
      </c>
      <c r="AF80" s="63">
        <f t="shared" ca="1" si="369"/>
        <v>356.44203568792398</v>
      </c>
      <c r="AG80" s="63">
        <f t="shared" ca="1" si="369"/>
        <v>356.44203568792398</v>
      </c>
      <c r="AH80" s="63">
        <f t="shared" ca="1" si="369"/>
        <v>374.46501411213251</v>
      </c>
      <c r="AI80" s="63">
        <f t="shared" ca="1" si="369"/>
        <v>392.04055853982845</v>
      </c>
      <c r="AJ80" s="63">
        <f t="shared" ca="1" si="369"/>
        <v>392.04055853982845</v>
      </c>
      <c r="AK80" s="63">
        <f t="shared" ca="1" si="369"/>
        <v>415.33135826107599</v>
      </c>
      <c r="AL80" s="63">
        <f t="shared" ca="1" si="369"/>
        <v>438.57442026845689</v>
      </c>
      <c r="AM80" s="63">
        <f t="shared" ca="1" si="369"/>
        <v>438.57442026845689</v>
      </c>
      <c r="AN80" s="63">
        <f t="shared" ca="1" si="369"/>
        <v>465.48185874202824</v>
      </c>
      <c r="AO80" s="63">
        <f t="shared" ca="1" si="369"/>
        <v>495.46305240583337</v>
      </c>
      <c r="AP80" s="63">
        <f t="shared" ca="1" si="369"/>
        <v>495.46305240583337</v>
      </c>
      <c r="AQ80" s="63">
        <f t="shared" ref="AQ80:AS80" ca="1" si="370">SUM(AQ75:AQ79)</f>
        <v>524.97057628137497</v>
      </c>
      <c r="AR80" s="63">
        <f t="shared" ca="1" si="370"/>
        <v>559.1785143806195</v>
      </c>
      <c r="AS80" s="63">
        <f t="shared" ca="1" si="370"/>
        <v>559.1785143806195</v>
      </c>
      <c r="AT80" s="63">
        <f t="shared" ref="AT80:AV80" ca="1" si="371">SUM(AT75:AT79)</f>
        <v>592.44206672614564</v>
      </c>
      <c r="AU80" s="63">
        <f t="shared" ca="1" si="371"/>
        <v>631.05960880191844</v>
      </c>
      <c r="AV80" s="63">
        <f t="shared" ca="1" si="371"/>
        <v>631.05960880191844</v>
      </c>
      <c r="AW80" s="23"/>
      <c r="AX80" s="23"/>
      <c r="AY80" s="295"/>
    </row>
    <row r="81" spans="1:1021 1044:2033 2056:3068 3091:4080 4103:5115 5138:6127 6150:7162 7185:8174 8197:9209 9232:10221 10244:11256 11279:12268 12291:13303 13326:14315 14338:15350 15373:16362" x14ac:dyDescent="0.25">
      <c r="I81" s="19"/>
      <c r="J81" s="19"/>
      <c r="K81" s="19"/>
      <c r="L81" s="19"/>
      <c r="M81" s="291"/>
      <c r="N81" s="19"/>
      <c r="O81" s="19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1"/>
      <c r="AY81" s="295"/>
    </row>
    <row r="82" spans="1:1021 1044:2033 2056:3068 3091:4080 4103:5115 5138:6127 6150:7162 7185:8174 8197:9209 9232:10221 10244:11256 11279:12268 12291:13303 13326:14315 14338:15350 15373:16362" x14ac:dyDescent="0.25">
      <c r="B82" s="12" t="s">
        <v>115</v>
      </c>
      <c r="I82" s="19"/>
      <c r="J82" s="19"/>
      <c r="K82" s="19"/>
      <c r="L82" s="19"/>
      <c r="M82" s="291"/>
      <c r="N82" s="19"/>
      <c r="O82" s="19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1"/>
      <c r="AY82" s="295"/>
    </row>
    <row r="83" spans="1:1021 1044:2033 2056:3068 3091:4080 4103:5115 5138:6127 6150:7162 7185:8174 8197:9209 9232:10221 10244:11256 11279:12268 12291:13303 13326:14315 14338:15350 15373:16362" x14ac:dyDescent="0.25">
      <c r="B83" s="8" t="s">
        <v>116</v>
      </c>
      <c r="C83" s="22" t="s">
        <v>28</v>
      </c>
      <c r="F83" s="8">
        <v>0</v>
      </c>
      <c r="I83" s="45">
        <v>1.1399999999999999</v>
      </c>
      <c r="J83" s="45">
        <v>1</v>
      </c>
      <c r="K83" s="19">
        <f>L83</f>
        <v>0.47899999999999998</v>
      </c>
      <c r="L83" s="45">
        <v>0.47899999999999998</v>
      </c>
      <c r="M83" s="446">
        <v>0.23799999999999999</v>
      </c>
      <c r="N83" s="19">
        <f>O83</f>
        <v>0.13700000000000001</v>
      </c>
      <c r="O83" s="45">
        <v>0.13700000000000001</v>
      </c>
      <c r="P83" s="484">
        <f>+O83</f>
        <v>0.13700000000000001</v>
      </c>
      <c r="Q83" s="484">
        <f>+P83</f>
        <v>0.13700000000000001</v>
      </c>
      <c r="R83" s="484">
        <f t="shared" ref="R83:R88" si="372">Q83</f>
        <v>0.13700000000000001</v>
      </c>
      <c r="S83" s="484">
        <f>+R83</f>
        <v>0.13700000000000001</v>
      </c>
      <c r="T83" s="484">
        <f>+S83</f>
        <v>0.13700000000000001</v>
      </c>
      <c r="U83" s="484">
        <f t="shared" ref="U83:U88" si="373">T83</f>
        <v>0.13700000000000001</v>
      </c>
      <c r="V83" s="484">
        <f>+U83</f>
        <v>0.13700000000000001</v>
      </c>
      <c r="W83" s="484">
        <f>+V83</f>
        <v>0.13700000000000001</v>
      </c>
      <c r="X83" s="484">
        <f t="shared" ref="X83:X88" si="374">W83</f>
        <v>0.13700000000000001</v>
      </c>
      <c r="Y83" s="484">
        <f>+X83</f>
        <v>0.13700000000000001</v>
      </c>
      <c r="Z83" s="484">
        <f>+Y83</f>
        <v>0.13700000000000001</v>
      </c>
      <c r="AA83" s="484">
        <f t="shared" ref="AA83:AA88" si="375">Z83</f>
        <v>0.13700000000000001</v>
      </c>
      <c r="AB83" s="484">
        <f t="shared" ref="AB83:AC83" si="376">+AA83</f>
        <v>0.13700000000000001</v>
      </c>
      <c r="AC83" s="484">
        <f t="shared" si="376"/>
        <v>0.13700000000000001</v>
      </c>
      <c r="AD83" s="484">
        <f t="shared" ref="AD83:AD88" si="377">AC83</f>
        <v>0.13700000000000001</v>
      </c>
      <c r="AE83" s="484">
        <f t="shared" ref="AE83:AF83" si="378">+AD83</f>
        <v>0.13700000000000001</v>
      </c>
      <c r="AF83" s="484">
        <f t="shared" si="378"/>
        <v>0.13700000000000001</v>
      </c>
      <c r="AG83" s="484">
        <f t="shared" ref="AG83:AG88" si="379">AF83</f>
        <v>0.13700000000000001</v>
      </c>
      <c r="AH83" s="484">
        <f t="shared" ref="AH83:AI83" si="380">+AG83</f>
        <v>0.13700000000000001</v>
      </c>
      <c r="AI83" s="484">
        <f t="shared" si="380"/>
        <v>0.13700000000000001</v>
      </c>
      <c r="AJ83" s="484">
        <f t="shared" ref="AJ83:AJ88" si="381">AI83</f>
        <v>0.13700000000000001</v>
      </c>
      <c r="AK83" s="484">
        <f t="shared" ref="AK83:AL83" si="382">+AJ83</f>
        <v>0.13700000000000001</v>
      </c>
      <c r="AL83" s="484">
        <f t="shared" si="382"/>
        <v>0.13700000000000001</v>
      </c>
      <c r="AM83" s="484">
        <f t="shared" ref="AM83:AM88" si="383">AL83</f>
        <v>0.13700000000000001</v>
      </c>
      <c r="AN83" s="484">
        <f t="shared" ref="AN83:AO83" si="384">+AM83</f>
        <v>0.13700000000000001</v>
      </c>
      <c r="AO83" s="484">
        <f t="shared" si="384"/>
        <v>0.13700000000000001</v>
      </c>
      <c r="AP83" s="484">
        <f t="shared" ref="AP83:AP88" si="385">AO83</f>
        <v>0.13700000000000001</v>
      </c>
      <c r="AQ83" s="484">
        <f t="shared" ref="AQ83:AR83" si="386">+AP83</f>
        <v>0.13700000000000001</v>
      </c>
      <c r="AR83" s="484">
        <f t="shared" si="386"/>
        <v>0.13700000000000001</v>
      </c>
      <c r="AS83" s="484">
        <f t="shared" ref="AS83:AS88" si="387">AR83</f>
        <v>0.13700000000000001</v>
      </c>
      <c r="AT83" s="484">
        <f t="shared" ref="AT83" si="388">+AS83</f>
        <v>0.13700000000000001</v>
      </c>
      <c r="AU83" s="484">
        <f t="shared" ref="AU83" si="389">+AT83</f>
        <v>0.13700000000000001</v>
      </c>
      <c r="AV83" s="484">
        <f t="shared" ref="AV83:AV88" si="390">AU83</f>
        <v>0.13700000000000001</v>
      </c>
      <c r="AW83" s="23"/>
      <c r="AX83" s="23"/>
      <c r="AY83" s="295"/>
    </row>
    <row r="84" spans="1:1021 1044:2033 2056:3068 3091:4080 4103:5115 5138:6127 6150:7162 7185:8174 8197:9209 9232:10221 10244:11256 11279:12268 12291:13303 13326:14315 14338:15350 15373:16362" x14ac:dyDescent="0.25">
      <c r="A84" s="8" t="s">
        <v>166</v>
      </c>
      <c r="B84" s="8" t="s">
        <v>117</v>
      </c>
      <c r="C84" s="22" t="s">
        <v>28</v>
      </c>
      <c r="F84" s="8">
        <v>0</v>
      </c>
      <c r="I84" s="45">
        <v>69.486000000000004</v>
      </c>
      <c r="J84" s="45">
        <v>78</v>
      </c>
      <c r="K84" s="19">
        <f t="shared" ref="K84:K90" si="391">L84</f>
        <v>87.63</v>
      </c>
      <c r="L84" s="45">
        <v>87.63</v>
      </c>
      <c r="M84" s="446">
        <v>103.02800000000001</v>
      </c>
      <c r="N84" s="19">
        <f t="shared" ref="N84:N90" si="392">O84</f>
        <v>130.05600000000001</v>
      </c>
      <c r="O84" s="45">
        <v>130.05600000000001</v>
      </c>
      <c r="P84" s="21">
        <f>Assumptions!P338</f>
        <v>145.70764166787592</v>
      </c>
      <c r="Q84" s="21">
        <f>Assumptions!Q338</f>
        <v>160.12529485082359</v>
      </c>
      <c r="R84" s="21">
        <f t="shared" si="372"/>
        <v>160.12529485082359</v>
      </c>
      <c r="S84" s="21">
        <f>Assumptions!S338</f>
        <v>182.38040939738056</v>
      </c>
      <c r="T84" s="21">
        <f>Assumptions!T338</f>
        <v>203.13492009751008</v>
      </c>
      <c r="U84" s="21">
        <f t="shared" si="373"/>
        <v>203.13492009751008</v>
      </c>
      <c r="V84" s="21">
        <f>Assumptions!V338</f>
        <v>219.4388710024802</v>
      </c>
      <c r="W84" s="21">
        <f>Assumptions!W338</f>
        <v>233.95550351893522</v>
      </c>
      <c r="X84" s="21">
        <f t="shared" si="374"/>
        <v>233.95550351893522</v>
      </c>
      <c r="Y84" s="21">
        <f>Assumptions!Y338</f>
        <v>251.03992161473255</v>
      </c>
      <c r="Z84" s="21">
        <f>Assumptions!Z338</f>
        <v>266.03938521209545</v>
      </c>
      <c r="AA84" s="21">
        <f t="shared" si="375"/>
        <v>266.03938521209545</v>
      </c>
      <c r="AB84" s="21">
        <f>Assumptions!AB338</f>
        <v>281.6627638713523</v>
      </c>
      <c r="AC84" s="21">
        <f>Assumptions!AC338</f>
        <v>294.90186752344238</v>
      </c>
      <c r="AD84" s="21">
        <f t="shared" si="377"/>
        <v>294.90186752344238</v>
      </c>
      <c r="AE84" s="21">
        <f>Assumptions!AE338</f>
        <v>311.53573940771804</v>
      </c>
      <c r="AF84" s="21">
        <f>Assumptions!AF338</f>
        <v>325.49135392593269</v>
      </c>
      <c r="AG84" s="21">
        <f t="shared" si="379"/>
        <v>325.49135392593269</v>
      </c>
      <c r="AH84" s="21">
        <f>Assumptions!AH338</f>
        <v>343.30318740841608</v>
      </c>
      <c r="AI84" s="21">
        <f>Assumptions!AI338</f>
        <v>358.12973599438664</v>
      </c>
      <c r="AJ84" s="21">
        <f t="shared" si="381"/>
        <v>358.12973599438664</v>
      </c>
      <c r="AK84" s="21">
        <f>Assumptions!AK338</f>
        <v>377.30637176344635</v>
      </c>
      <c r="AL84" s="21">
        <f>Assumptions!AL338</f>
        <v>393.17760515057859</v>
      </c>
      <c r="AM84" s="21">
        <f t="shared" si="383"/>
        <v>393.17760515057859</v>
      </c>
      <c r="AN84" s="21">
        <f>Assumptions!AN338</f>
        <v>411.21918727514088</v>
      </c>
      <c r="AO84" s="21">
        <f>Assumptions!AO338</f>
        <v>425.70355870567641</v>
      </c>
      <c r="AP84" s="21">
        <f t="shared" si="385"/>
        <v>425.70355870567641</v>
      </c>
      <c r="AQ84" s="21">
        <f>Assumptions!AQ338</f>
        <v>445.31825985257024</v>
      </c>
      <c r="AR84" s="21">
        <f>Assumptions!AR338</f>
        <v>461.14349806501815</v>
      </c>
      <c r="AS84" s="21">
        <f t="shared" si="387"/>
        <v>461.14349806501815</v>
      </c>
      <c r="AT84" s="21">
        <f>Assumptions!AT338</f>
        <v>482.50730945761416</v>
      </c>
      <c r="AU84" s="21">
        <f>Assumptions!AU338</f>
        <v>499.84896518220228</v>
      </c>
      <c r="AV84" s="21">
        <f t="shared" si="390"/>
        <v>499.84896518220228</v>
      </c>
      <c r="AW84" s="23"/>
      <c r="AX84" s="23"/>
      <c r="AY84" s="295"/>
    </row>
    <row r="85" spans="1:1021 1044:2033 2056:3068 3091:4080 4103:5115 5138:6127 6150:7162 7185:8174 8197:9209 9232:10221 10244:11256 11279:12268 12291:13303 13326:14315 14338:15350 15373:16362" x14ac:dyDescent="0.25">
      <c r="B85" s="8" t="s">
        <v>118</v>
      </c>
      <c r="C85" s="22" t="s">
        <v>28</v>
      </c>
      <c r="F85" s="8">
        <v>0</v>
      </c>
      <c r="I85" s="45">
        <v>98.938999999999993</v>
      </c>
      <c r="J85" s="45">
        <v>122.3</v>
      </c>
      <c r="K85" s="19">
        <f t="shared" si="391"/>
        <v>93.796000000000006</v>
      </c>
      <c r="L85" s="45">
        <v>93.796000000000006</v>
      </c>
      <c r="M85" s="446">
        <v>104.149</v>
      </c>
      <c r="N85" s="19">
        <f t="shared" si="392"/>
        <v>125.43</v>
      </c>
      <c r="O85" s="45">
        <v>125.43</v>
      </c>
      <c r="P85" s="21">
        <f>+Assumptions!P360</f>
        <v>129.16588522579423</v>
      </c>
      <c r="Q85" s="21">
        <f>+Assumptions!Q360</f>
        <v>139.76083646028729</v>
      </c>
      <c r="R85" s="21">
        <f t="shared" si="372"/>
        <v>139.76083646028729</v>
      </c>
      <c r="S85" s="21">
        <f>+Assumptions!S360</f>
        <v>143.26882006274744</v>
      </c>
      <c r="T85" s="21">
        <f>+Assumptions!T360</f>
        <v>161.52491076066605</v>
      </c>
      <c r="U85" s="21">
        <f t="shared" si="373"/>
        <v>161.52491076066605</v>
      </c>
      <c r="V85" s="21">
        <f>+Assumptions!V360</f>
        <v>161.83641715718684</v>
      </c>
      <c r="W85" s="21">
        <f>+Assumptions!W360</f>
        <v>177.09314805288773</v>
      </c>
      <c r="X85" s="21">
        <f t="shared" si="374"/>
        <v>177.09314805288773</v>
      </c>
      <c r="Y85" s="21">
        <f>+Assumptions!Y360</f>
        <v>174.58512867596926</v>
      </c>
      <c r="Z85" s="21">
        <f>+Assumptions!Z360</f>
        <v>187.6672349640036</v>
      </c>
      <c r="AA85" s="21">
        <f t="shared" si="375"/>
        <v>187.6672349640036</v>
      </c>
      <c r="AB85" s="21">
        <f>+Assumptions!AB360</f>
        <v>180.43964862038197</v>
      </c>
      <c r="AC85" s="21">
        <f>+Assumptions!AC360</f>
        <v>188.07768580435439</v>
      </c>
      <c r="AD85" s="21">
        <f t="shared" si="377"/>
        <v>188.07768580435439</v>
      </c>
      <c r="AE85" s="21">
        <f>+Assumptions!AE360</f>
        <v>175.6178944267067</v>
      </c>
      <c r="AF85" s="21">
        <f>+Assumptions!AF360</f>
        <v>178.41096177097546</v>
      </c>
      <c r="AG85" s="21">
        <f t="shared" si="379"/>
        <v>178.41096177097546</v>
      </c>
      <c r="AH85" s="21">
        <f>+Assumptions!AH360</f>
        <v>160.51215733986814</v>
      </c>
      <c r="AI85" s="21">
        <f>+Assumptions!AI360</f>
        <v>158.64252865504994</v>
      </c>
      <c r="AJ85" s="21">
        <f t="shared" si="381"/>
        <v>158.64252865504994</v>
      </c>
      <c r="AK85" s="21">
        <f>+Assumptions!AK360</f>
        <v>134.63983890302657</v>
      </c>
      <c r="AL85" s="21">
        <f>+Assumptions!AL360</f>
        <v>127.49618441994048</v>
      </c>
      <c r="AM85" s="21">
        <f t="shared" si="383"/>
        <v>127.49618441994048</v>
      </c>
      <c r="AN85" s="21">
        <f>+Assumptions!AN360</f>
        <v>107.0670168567647</v>
      </c>
      <c r="AO85" s="21">
        <f>+Assumptions!AO360</f>
        <v>95.259205191668983</v>
      </c>
      <c r="AP85" s="21">
        <f t="shared" si="385"/>
        <v>95.259205191668983</v>
      </c>
      <c r="AQ85" s="21">
        <f>+Assumptions!AQ360</f>
        <v>72.390524009009539</v>
      </c>
      <c r="AR85" s="21">
        <f>+Assumptions!AR360</f>
        <v>56.091957043086978</v>
      </c>
      <c r="AS85" s="21">
        <f t="shared" si="387"/>
        <v>56.091957043086978</v>
      </c>
      <c r="AT85" s="21">
        <f>+Assumptions!AT360</f>
        <v>29.092061383735953</v>
      </c>
      <c r="AU85" s="21">
        <f>+Assumptions!AU360</f>
        <v>8.3527870329816736</v>
      </c>
      <c r="AV85" s="21">
        <f t="shared" si="390"/>
        <v>8.3527870329816736</v>
      </c>
      <c r="AW85" s="23"/>
      <c r="AX85" s="23"/>
      <c r="AY85" s="295"/>
    </row>
    <row r="86" spans="1:1021 1044:2033 2056:3068 3091:4080 4103:5115 5138:6127 6150:7162 7185:8174 8197:9209 9232:10221 10244:11256 11279:12268 12291:13303 13326:14315 14338:15350 15373:16362" x14ac:dyDescent="0.25">
      <c r="B86" s="8" t="s">
        <v>119</v>
      </c>
      <c r="C86" s="22" t="s">
        <v>28</v>
      </c>
      <c r="F86" s="8">
        <v>0</v>
      </c>
      <c r="I86" s="45">
        <v>58.561</v>
      </c>
      <c r="J86" s="45">
        <v>57.6</v>
      </c>
      <c r="K86" s="19">
        <f t="shared" si="391"/>
        <v>114.404</v>
      </c>
      <c r="L86" s="45">
        <v>114.404</v>
      </c>
      <c r="M86" s="446">
        <v>137.32</v>
      </c>
      <c r="N86" s="19">
        <f t="shared" si="392"/>
        <v>162.34700000000001</v>
      </c>
      <c r="O86" s="45">
        <v>162.34700000000001</v>
      </c>
      <c r="P86" s="21">
        <f>+Assumptions!P407</f>
        <v>180.34285390464058</v>
      </c>
      <c r="Q86" s="21">
        <f>+Assumptions!Q407</f>
        <v>185.34779679751318</v>
      </c>
      <c r="R86" s="21">
        <f t="shared" si="372"/>
        <v>185.34779679751318</v>
      </c>
      <c r="S86" s="21">
        <f>+Assumptions!S407</f>
        <v>209.59638093174812</v>
      </c>
      <c r="T86" s="21">
        <f>+Assumptions!T407</f>
        <v>219.72210901981927</v>
      </c>
      <c r="U86" s="21">
        <f t="shared" si="373"/>
        <v>219.72210901981927</v>
      </c>
      <c r="V86" s="21">
        <f>+Assumptions!V407</f>
        <v>246.63530155838225</v>
      </c>
      <c r="W86" s="21">
        <f>+Assumptions!W407</f>
        <v>258.56221664455262</v>
      </c>
      <c r="X86" s="21">
        <f t="shared" si="374"/>
        <v>258.56221664455262</v>
      </c>
      <c r="Y86" s="21">
        <f>+Assumptions!Y407</f>
        <v>289.80256433332198</v>
      </c>
      <c r="Z86" s="21">
        <f>+Assumptions!Z407</f>
        <v>302.9888149409062</v>
      </c>
      <c r="AA86" s="21">
        <f t="shared" si="375"/>
        <v>302.9888149409062</v>
      </c>
      <c r="AB86" s="21">
        <f>+Assumptions!AB407</f>
        <v>335.80152388555513</v>
      </c>
      <c r="AC86" s="21">
        <f>+Assumptions!AC407</f>
        <v>349.52015252376526</v>
      </c>
      <c r="AD86" s="21">
        <f t="shared" si="377"/>
        <v>349.52015252376526</v>
      </c>
      <c r="AE86" s="21">
        <f>+Assumptions!AE407</f>
        <v>382.25331317518953</v>
      </c>
      <c r="AF86" s="21">
        <f>+Assumptions!AF407</f>
        <v>397.29523329826975</v>
      </c>
      <c r="AG86" s="21">
        <f t="shared" si="379"/>
        <v>397.29523329826975</v>
      </c>
      <c r="AH86" s="21">
        <f>+Assumptions!AH407</f>
        <v>432.44614097380128</v>
      </c>
      <c r="AI86" s="21">
        <f>+Assumptions!AI407</f>
        <v>448.9087619724408</v>
      </c>
      <c r="AJ86" s="21">
        <f t="shared" si="381"/>
        <v>448.9087619724408</v>
      </c>
      <c r="AK86" s="21">
        <f>+Assumptions!AK407</f>
        <v>486.64309091158935</v>
      </c>
      <c r="AL86" s="21">
        <f>+Assumptions!AL407</f>
        <v>504.630121696483</v>
      </c>
      <c r="AM86" s="21">
        <f t="shared" si="383"/>
        <v>504.630121696483</v>
      </c>
      <c r="AN86" s="21">
        <f>+Assumptions!AN407</f>
        <v>534.35407618433646</v>
      </c>
      <c r="AO86" s="21">
        <f>+Assumptions!AO407</f>
        <v>552.64833825596725</v>
      </c>
      <c r="AP86" s="21">
        <f t="shared" si="385"/>
        <v>552.64833825596725</v>
      </c>
      <c r="AQ86" s="21">
        <f>+Assumptions!AQ407</f>
        <v>580.54496163438444</v>
      </c>
      <c r="AR86" s="21">
        <f>+Assumptions!AR407</f>
        <v>600.05344794211942</v>
      </c>
      <c r="AS86" s="21">
        <f t="shared" si="387"/>
        <v>600.05344794211942</v>
      </c>
      <c r="AT86" s="21">
        <f>+Assumptions!AT407</f>
        <v>628.99964922728213</v>
      </c>
      <c r="AU86" s="21">
        <f>+Assumptions!AU407</f>
        <v>649.77839433695215</v>
      </c>
      <c r="AV86" s="21">
        <f t="shared" si="390"/>
        <v>649.77839433695215</v>
      </c>
      <c r="AW86" s="23"/>
      <c r="AX86" s="23"/>
      <c r="AY86" s="295"/>
    </row>
    <row r="87" spans="1:1021 1044:2033 2056:3068 3091:4080 4103:5115 5138:6127 6150:7162 7185:8174 8197:9209 9232:10221 10244:11256 11279:12268 12291:13303 13326:14315 14338:15350 15373:16362" x14ac:dyDescent="0.25">
      <c r="A87" s="8" t="s">
        <v>597</v>
      </c>
      <c r="B87" s="8" t="s">
        <v>120</v>
      </c>
      <c r="C87" s="22" t="s">
        <v>28</v>
      </c>
      <c r="F87" s="8">
        <v>0</v>
      </c>
      <c r="I87" s="45">
        <v>15.202</v>
      </c>
      <c r="J87" s="45">
        <v>11.7</v>
      </c>
      <c r="K87" s="19">
        <f t="shared" si="391"/>
        <v>10.586</v>
      </c>
      <c r="L87" s="45">
        <v>10.586</v>
      </c>
      <c r="M87" s="446">
        <v>19.152999999999999</v>
      </c>
      <c r="N87" s="19">
        <f t="shared" si="392"/>
        <v>18.305</v>
      </c>
      <c r="O87" s="45">
        <v>18.305</v>
      </c>
      <c r="P87" s="23">
        <f>+Assumptions!P374</f>
        <v>14.718665064638628</v>
      </c>
      <c r="Q87" s="23">
        <f>+Assumptions!Q374</f>
        <v>16.571152804684246</v>
      </c>
      <c r="R87" s="23">
        <f t="shared" si="372"/>
        <v>16.571152804684246</v>
      </c>
      <c r="S87" s="23">
        <f>+Assumptions!S374</f>
        <v>15.83497368166196</v>
      </c>
      <c r="T87" s="23">
        <f>+Assumptions!T374</f>
        <v>18.657355650641737</v>
      </c>
      <c r="U87" s="23">
        <f t="shared" si="373"/>
        <v>18.657355650641737</v>
      </c>
      <c r="V87" s="23">
        <f>+Assumptions!V374</f>
        <v>20.161098088996866</v>
      </c>
      <c r="W87" s="23">
        <f>+Assumptions!W374</f>
        <v>21.950917737918886</v>
      </c>
      <c r="X87" s="23">
        <f t="shared" si="374"/>
        <v>21.950917737918886</v>
      </c>
      <c r="Y87" s="23">
        <f>+Assumptions!Y374</f>
        <v>24.096460557397609</v>
      </c>
      <c r="Z87" s="23">
        <f>+Assumptions!Z374</f>
        <v>26.587648982805529</v>
      </c>
      <c r="AA87" s="23">
        <f t="shared" si="375"/>
        <v>26.587648982805529</v>
      </c>
      <c r="AB87" s="23">
        <f>+Assumptions!AB374</f>
        <v>29.39678215862822</v>
      </c>
      <c r="AC87" s="23">
        <f>+Assumptions!AC374</f>
        <v>32.618254712706616</v>
      </c>
      <c r="AD87" s="23">
        <f t="shared" si="377"/>
        <v>32.618254712706616</v>
      </c>
      <c r="AE87" s="23">
        <f>+Assumptions!AE374</f>
        <v>36.122823356242257</v>
      </c>
      <c r="AF87" s="23">
        <f>+Assumptions!AF374</f>
        <v>40.081170719462271</v>
      </c>
      <c r="AG87" s="23">
        <f t="shared" si="379"/>
        <v>40.081170719462271</v>
      </c>
      <c r="AH87" s="23">
        <f>+Assumptions!AH374</f>
        <v>44.341302984939205</v>
      </c>
      <c r="AI87" s="23">
        <f>+Assumptions!AI374</f>
        <v>49.099815965930667</v>
      </c>
      <c r="AJ87" s="23">
        <f t="shared" si="381"/>
        <v>49.099815965930667</v>
      </c>
      <c r="AK87" s="23">
        <f>+Assumptions!AK374</f>
        <v>54.179858924381861</v>
      </c>
      <c r="AL87" s="23">
        <f>+Assumptions!AL374</f>
        <v>59.806253656855638</v>
      </c>
      <c r="AM87" s="23">
        <f t="shared" si="383"/>
        <v>59.806253656855638</v>
      </c>
      <c r="AN87" s="23">
        <f>+Assumptions!AN374</f>
        <v>65.607764236801415</v>
      </c>
      <c r="AO87" s="23">
        <f>+Assumptions!AO374</f>
        <v>71.963893527216271</v>
      </c>
      <c r="AP87" s="23">
        <f t="shared" si="385"/>
        <v>71.963893527216271</v>
      </c>
      <c r="AQ87" s="23">
        <f>+Assumptions!AQ374</f>
        <v>78.461991935792227</v>
      </c>
      <c r="AR87" s="23">
        <f>+Assumptions!AR374</f>
        <v>85.552856111669712</v>
      </c>
      <c r="AS87" s="23">
        <f t="shared" si="387"/>
        <v>85.552856111669712</v>
      </c>
      <c r="AT87" s="23">
        <f>+Assumptions!AT374</f>
        <v>92.7785706371603</v>
      </c>
      <c r="AU87" s="23">
        <f>+Assumptions!AU374</f>
        <v>100.63669093628582</v>
      </c>
      <c r="AV87" s="23">
        <f t="shared" si="390"/>
        <v>100.63669093628582</v>
      </c>
      <c r="AW87" s="23"/>
      <c r="AX87" s="23"/>
      <c r="AY87" s="295"/>
    </row>
    <row r="88" spans="1:1021 1044:2033 2056:3068 3091:4080 4103:5115 5138:6127 6150:7162 7185:8174 8197:9209 9232:10221 10244:11256 11279:12268 12291:13303 13326:14315 14338:15350 15373:16362" x14ac:dyDescent="0.25">
      <c r="B88" s="8" t="s">
        <v>121</v>
      </c>
      <c r="C88" s="22" t="s">
        <v>28</v>
      </c>
      <c r="F88" s="8">
        <v>0</v>
      </c>
      <c r="I88" s="45">
        <v>4.2430000000000003</v>
      </c>
      <c r="J88" s="45">
        <v>14.3</v>
      </c>
      <c r="K88" s="19">
        <f t="shared" si="391"/>
        <v>16.276</v>
      </c>
      <c r="L88" s="45">
        <v>16.276</v>
      </c>
      <c r="M88" s="446">
        <v>16.632999999999999</v>
      </c>
      <c r="N88" s="19">
        <f t="shared" si="392"/>
        <v>19.709</v>
      </c>
      <c r="O88" s="45">
        <v>19.709</v>
      </c>
      <c r="P88" s="483">
        <f t="shared" ref="P88" si="393">+O88</f>
        <v>19.709</v>
      </c>
      <c r="Q88" s="483">
        <f t="shared" ref="Q88" si="394">+P88</f>
        <v>19.709</v>
      </c>
      <c r="R88" s="483">
        <f t="shared" si="372"/>
        <v>19.709</v>
      </c>
      <c r="S88" s="483">
        <f t="shared" ref="S88" si="395">+R88</f>
        <v>19.709</v>
      </c>
      <c r="T88" s="483">
        <f t="shared" ref="T88" si="396">+S88</f>
        <v>19.709</v>
      </c>
      <c r="U88" s="483">
        <f t="shared" si="373"/>
        <v>19.709</v>
      </c>
      <c r="V88" s="483">
        <f t="shared" ref="V88" si="397">+U88</f>
        <v>19.709</v>
      </c>
      <c r="W88" s="483">
        <f t="shared" ref="W88" si="398">+V88</f>
        <v>19.709</v>
      </c>
      <c r="X88" s="483">
        <f t="shared" si="374"/>
        <v>19.709</v>
      </c>
      <c r="Y88" s="483">
        <f t="shared" ref="Y88" si="399">+X88</f>
        <v>19.709</v>
      </c>
      <c r="Z88" s="483">
        <f t="shared" ref="Z88" si="400">+Y88</f>
        <v>19.709</v>
      </c>
      <c r="AA88" s="483">
        <f t="shared" si="375"/>
        <v>19.709</v>
      </c>
      <c r="AB88" s="483">
        <f t="shared" ref="AB88" si="401">+AA88</f>
        <v>19.709</v>
      </c>
      <c r="AC88" s="483">
        <f t="shared" ref="AC88" si="402">+AB88</f>
        <v>19.709</v>
      </c>
      <c r="AD88" s="483">
        <f t="shared" si="377"/>
        <v>19.709</v>
      </c>
      <c r="AE88" s="483">
        <f t="shared" ref="AE88" si="403">+AD88</f>
        <v>19.709</v>
      </c>
      <c r="AF88" s="483">
        <f t="shared" ref="AF88" si="404">+AE88</f>
        <v>19.709</v>
      </c>
      <c r="AG88" s="483">
        <f t="shared" si="379"/>
        <v>19.709</v>
      </c>
      <c r="AH88" s="483">
        <f t="shared" ref="AH88" si="405">+AG88</f>
        <v>19.709</v>
      </c>
      <c r="AI88" s="483">
        <f t="shared" ref="AI88" si="406">+AH88</f>
        <v>19.709</v>
      </c>
      <c r="AJ88" s="483">
        <f t="shared" si="381"/>
        <v>19.709</v>
      </c>
      <c r="AK88" s="483">
        <f t="shared" ref="AK88" si="407">+AJ88</f>
        <v>19.709</v>
      </c>
      <c r="AL88" s="483">
        <f t="shared" ref="AL88" si="408">+AK88</f>
        <v>19.709</v>
      </c>
      <c r="AM88" s="483">
        <f t="shared" si="383"/>
        <v>19.709</v>
      </c>
      <c r="AN88" s="483">
        <f t="shared" ref="AN88" si="409">+AM88</f>
        <v>19.709</v>
      </c>
      <c r="AO88" s="483">
        <f t="shared" ref="AO88" si="410">+AN88</f>
        <v>19.709</v>
      </c>
      <c r="AP88" s="483">
        <f t="shared" si="385"/>
        <v>19.709</v>
      </c>
      <c r="AQ88" s="483">
        <f t="shared" ref="AQ88" si="411">+AP88</f>
        <v>19.709</v>
      </c>
      <c r="AR88" s="483">
        <f t="shared" ref="AR88" si="412">+AQ88</f>
        <v>19.709</v>
      </c>
      <c r="AS88" s="483">
        <f t="shared" si="387"/>
        <v>19.709</v>
      </c>
      <c r="AT88" s="483">
        <f t="shared" ref="AT88" si="413">+AS88</f>
        <v>19.709</v>
      </c>
      <c r="AU88" s="483">
        <f t="shared" ref="AU88" si="414">+AT88</f>
        <v>19.709</v>
      </c>
      <c r="AV88" s="483">
        <f t="shared" si="390"/>
        <v>19.709</v>
      </c>
      <c r="AW88" s="23"/>
      <c r="AX88" s="23"/>
      <c r="AY88" s="295"/>
    </row>
    <row r="89" spans="1:1021 1044:2033 2056:3068 3091:4080 4103:5115 5138:6127 6150:7162 7185:8174 8197:9209 9232:10221 10244:11256 11279:12268 12291:13303 13326:14315 14338:15350 15373:16362" s="12" customFormat="1" x14ac:dyDescent="0.25">
      <c r="B89" s="12" t="s">
        <v>122</v>
      </c>
      <c r="C89" s="22" t="s">
        <v>28</v>
      </c>
      <c r="F89" s="63">
        <f t="shared" ref="F89" si="415">SUM(F83:F88)</f>
        <v>0</v>
      </c>
      <c r="I89" s="52">
        <f t="shared" ref="I89" si="416">SUM(I83:I88)</f>
        <v>247.571</v>
      </c>
      <c r="J89" s="52">
        <f>SUM(J83:J88)</f>
        <v>284.90000000000003</v>
      </c>
      <c r="K89" s="52">
        <f t="shared" si="391"/>
        <v>323.17099999999999</v>
      </c>
      <c r="L89" s="52">
        <f t="shared" ref="L89:T89" si="417">SUM(L83:L88)</f>
        <v>323.17099999999999</v>
      </c>
      <c r="M89" s="424">
        <f t="shared" ref="M89" si="418">SUM(M83:M88)</f>
        <v>380.52100000000002</v>
      </c>
      <c r="N89" s="52">
        <f t="shared" si="392"/>
        <v>455.98400000000004</v>
      </c>
      <c r="O89" s="52">
        <f t="shared" ref="O89" si="419">SUM(O83:O88)</f>
        <v>455.98400000000004</v>
      </c>
      <c r="P89" s="63">
        <f t="shared" ref="P89:R89" si="420">SUM(P83:P88)</f>
        <v>489.78104586294933</v>
      </c>
      <c r="Q89" s="63">
        <f t="shared" si="420"/>
        <v>521.65108091330831</v>
      </c>
      <c r="R89" s="63">
        <f t="shared" si="420"/>
        <v>521.65108091330831</v>
      </c>
      <c r="S89" s="63">
        <f t="shared" si="417"/>
        <v>570.92658407353804</v>
      </c>
      <c r="T89" s="63">
        <f t="shared" si="417"/>
        <v>622.88529552863713</v>
      </c>
      <c r="U89" s="63">
        <f t="shared" ref="U89" si="421">SUM(U83:U88)</f>
        <v>622.88529552863713</v>
      </c>
      <c r="V89" s="63">
        <f t="shared" ref="V89:X89" si="422">SUM(V83:V88)</f>
        <v>667.91768780704604</v>
      </c>
      <c r="W89" s="63">
        <f t="shared" si="422"/>
        <v>711.40778595429435</v>
      </c>
      <c r="X89" s="63">
        <f t="shared" si="422"/>
        <v>711.40778595429435</v>
      </c>
      <c r="Y89" s="63">
        <f t="shared" ref="Y89:AA89" si="423">SUM(Y83:Y88)</f>
        <v>759.37007518142127</v>
      </c>
      <c r="Z89" s="63">
        <f t="shared" si="423"/>
        <v>803.12908409981071</v>
      </c>
      <c r="AA89" s="63">
        <f t="shared" si="423"/>
        <v>803.12908409981071</v>
      </c>
      <c r="AB89" s="63">
        <f t="shared" ref="AB89:AP89" si="424">SUM(AB83:AB88)</f>
        <v>847.14671853591756</v>
      </c>
      <c r="AC89" s="63">
        <f t="shared" si="424"/>
        <v>884.96396056426863</v>
      </c>
      <c r="AD89" s="63">
        <f t="shared" si="424"/>
        <v>884.96396056426863</v>
      </c>
      <c r="AE89" s="63">
        <f t="shared" si="424"/>
        <v>925.37577036585651</v>
      </c>
      <c r="AF89" s="63">
        <f t="shared" si="424"/>
        <v>961.12471971464015</v>
      </c>
      <c r="AG89" s="63">
        <f t="shared" si="424"/>
        <v>961.12471971464015</v>
      </c>
      <c r="AH89" s="63">
        <f t="shared" si="424"/>
        <v>1000.4487887070246</v>
      </c>
      <c r="AI89" s="63">
        <f t="shared" si="424"/>
        <v>1034.6268425878081</v>
      </c>
      <c r="AJ89" s="63">
        <f t="shared" si="424"/>
        <v>1034.6268425878081</v>
      </c>
      <c r="AK89" s="63">
        <f t="shared" si="424"/>
        <v>1072.6151605024443</v>
      </c>
      <c r="AL89" s="63">
        <f t="shared" si="424"/>
        <v>1104.9561649238578</v>
      </c>
      <c r="AM89" s="63">
        <f t="shared" si="424"/>
        <v>1104.9561649238578</v>
      </c>
      <c r="AN89" s="63">
        <f t="shared" si="424"/>
        <v>1138.0940445530434</v>
      </c>
      <c r="AO89" s="63">
        <f t="shared" si="424"/>
        <v>1165.4209956805289</v>
      </c>
      <c r="AP89" s="63">
        <f t="shared" si="424"/>
        <v>1165.4209956805289</v>
      </c>
      <c r="AQ89" s="63">
        <f t="shared" ref="AQ89:AS89" si="425">SUM(AQ83:AQ88)</f>
        <v>1196.5617374317565</v>
      </c>
      <c r="AR89" s="63">
        <f t="shared" si="425"/>
        <v>1222.6877591618943</v>
      </c>
      <c r="AS89" s="63">
        <f t="shared" si="425"/>
        <v>1222.6877591618943</v>
      </c>
      <c r="AT89" s="63">
        <f t="shared" ref="AT89:AV89" si="426">SUM(AT83:AT88)</f>
        <v>1253.2235907057925</v>
      </c>
      <c r="AU89" s="63">
        <f t="shared" si="426"/>
        <v>1278.4628374884219</v>
      </c>
      <c r="AV89" s="63">
        <f t="shared" si="426"/>
        <v>1278.4628374884219</v>
      </c>
      <c r="AW89" s="23"/>
      <c r="AX89" s="23"/>
      <c r="AY89" s="295"/>
      <c r="AZ89"/>
      <c r="BA89"/>
      <c r="BB89"/>
      <c r="BC89"/>
      <c r="BD89"/>
      <c r="BE89"/>
      <c r="BZ89" s="52"/>
      <c r="CW89" s="52"/>
      <c r="DT89" s="52"/>
      <c r="EQ89" s="52"/>
      <c r="FN89" s="52"/>
      <c r="GK89" s="52"/>
      <c r="HH89" s="52"/>
      <c r="IE89" s="52"/>
      <c r="JB89" s="52"/>
      <c r="JY89" s="52"/>
      <c r="KV89" s="52"/>
      <c r="LS89" s="52"/>
      <c r="MP89" s="52"/>
      <c r="NM89" s="52"/>
      <c r="OJ89" s="52"/>
      <c r="PG89" s="52"/>
      <c r="QD89" s="52"/>
      <c r="RA89" s="52"/>
      <c r="RX89" s="52"/>
      <c r="SU89" s="52"/>
      <c r="TR89" s="52"/>
      <c r="UO89" s="52"/>
      <c r="VL89" s="52"/>
      <c r="WI89" s="52"/>
      <c r="XF89" s="52"/>
      <c r="YC89" s="52"/>
      <c r="YZ89" s="52"/>
      <c r="ZW89" s="52"/>
      <c r="AAT89" s="52"/>
      <c r="ABQ89" s="52"/>
      <c r="ACN89" s="52"/>
      <c r="ADK89" s="52"/>
      <c r="AEH89" s="52"/>
      <c r="AFE89" s="52"/>
      <c r="AGB89" s="52"/>
      <c r="AGY89" s="52"/>
      <c r="AHV89" s="52"/>
      <c r="AIS89" s="52"/>
      <c r="AJP89" s="52"/>
      <c r="AKM89" s="52"/>
      <c r="ALJ89" s="52"/>
      <c r="AMG89" s="52"/>
      <c r="AND89" s="52"/>
      <c r="AOA89" s="52"/>
      <c r="AOX89" s="52"/>
      <c r="APU89" s="52"/>
      <c r="AQR89" s="52"/>
      <c r="ARO89" s="52"/>
      <c r="ASL89" s="52"/>
      <c r="ATI89" s="52"/>
      <c r="AUF89" s="52"/>
      <c r="AVC89" s="52"/>
      <c r="AVZ89" s="52"/>
      <c r="AWW89" s="52"/>
      <c r="AXT89" s="52"/>
      <c r="AYQ89" s="52"/>
      <c r="AZN89" s="52"/>
      <c r="BAK89" s="52"/>
      <c r="BBH89" s="52"/>
      <c r="BCE89" s="52"/>
      <c r="BDB89" s="52"/>
      <c r="BDY89" s="52"/>
      <c r="BEV89" s="52"/>
      <c r="BFS89" s="52"/>
      <c r="BGP89" s="52"/>
      <c r="BHM89" s="52"/>
      <c r="BIJ89" s="52"/>
      <c r="BJG89" s="52"/>
      <c r="BKD89" s="52"/>
      <c r="BLA89" s="52"/>
      <c r="BLX89" s="52"/>
      <c r="BMU89" s="52"/>
      <c r="BNR89" s="52"/>
      <c r="BOO89" s="52"/>
      <c r="BPL89" s="52"/>
      <c r="BQI89" s="52"/>
      <c r="BRF89" s="52"/>
      <c r="BSC89" s="52"/>
      <c r="BSZ89" s="52"/>
      <c r="BTW89" s="52"/>
      <c r="BUT89" s="52"/>
      <c r="BVQ89" s="52"/>
      <c r="BWN89" s="52"/>
      <c r="BXK89" s="52"/>
      <c r="BYH89" s="52"/>
      <c r="BZE89" s="52"/>
      <c r="CAB89" s="52"/>
      <c r="CAY89" s="52"/>
      <c r="CBV89" s="52"/>
      <c r="CCS89" s="52"/>
      <c r="CDP89" s="52"/>
      <c r="CEM89" s="52"/>
      <c r="CFJ89" s="52"/>
      <c r="CGG89" s="52"/>
      <c r="CHD89" s="52"/>
      <c r="CIA89" s="52"/>
      <c r="CIX89" s="52"/>
      <c r="CJU89" s="52"/>
      <c r="CKR89" s="52"/>
      <c r="CLO89" s="52"/>
      <c r="CML89" s="52"/>
      <c r="CNI89" s="52"/>
      <c r="COF89" s="52"/>
      <c r="CPC89" s="52"/>
      <c r="CPZ89" s="52"/>
      <c r="CQW89" s="52"/>
      <c r="CRT89" s="52"/>
      <c r="CSQ89" s="52"/>
      <c r="CTN89" s="52"/>
      <c r="CUK89" s="52"/>
      <c r="CVH89" s="52"/>
      <c r="CWE89" s="52"/>
      <c r="CXB89" s="52"/>
      <c r="CXY89" s="52"/>
      <c r="CYV89" s="52"/>
      <c r="CZS89" s="52"/>
      <c r="DAP89" s="52"/>
      <c r="DBM89" s="52"/>
      <c r="DCJ89" s="52"/>
      <c r="DDG89" s="52"/>
      <c r="DED89" s="52"/>
      <c r="DFA89" s="52"/>
      <c r="DFX89" s="52"/>
      <c r="DGU89" s="52"/>
      <c r="DHR89" s="52"/>
      <c r="DIO89" s="52"/>
      <c r="DJL89" s="52"/>
      <c r="DKI89" s="52"/>
      <c r="DLF89" s="52"/>
      <c r="DMC89" s="52"/>
      <c r="DMZ89" s="52"/>
      <c r="DNW89" s="52"/>
      <c r="DOT89" s="52"/>
      <c r="DPQ89" s="52"/>
      <c r="DQN89" s="52"/>
      <c r="DRK89" s="52"/>
      <c r="DSH89" s="52"/>
      <c r="DTE89" s="52"/>
      <c r="DUB89" s="52"/>
      <c r="DUY89" s="52"/>
      <c r="DVV89" s="52"/>
      <c r="DWS89" s="52"/>
      <c r="DXP89" s="52"/>
      <c r="DYM89" s="52"/>
      <c r="DZJ89" s="52"/>
      <c r="EAG89" s="52"/>
      <c r="EBD89" s="52"/>
      <c r="ECA89" s="52"/>
      <c r="ECX89" s="52"/>
      <c r="EDU89" s="52"/>
      <c r="EER89" s="52"/>
      <c r="EFO89" s="52"/>
      <c r="EGL89" s="52"/>
      <c r="EHI89" s="52"/>
      <c r="EIF89" s="52"/>
      <c r="EJC89" s="52"/>
      <c r="EJZ89" s="52"/>
      <c r="EKW89" s="52"/>
      <c r="ELT89" s="52"/>
      <c r="EMQ89" s="52"/>
      <c r="ENN89" s="52"/>
      <c r="EOK89" s="52"/>
      <c r="EPH89" s="52"/>
      <c r="EQE89" s="52"/>
      <c r="ERB89" s="52"/>
      <c r="ERY89" s="52"/>
      <c r="ESV89" s="52"/>
      <c r="ETS89" s="52"/>
      <c r="EUP89" s="52"/>
      <c r="EVM89" s="52"/>
      <c r="EWJ89" s="52"/>
      <c r="EXG89" s="52"/>
      <c r="EYD89" s="52"/>
      <c r="EZA89" s="52"/>
      <c r="EZX89" s="52"/>
      <c r="FAU89" s="52"/>
      <c r="FBR89" s="52"/>
      <c r="FCO89" s="52"/>
      <c r="FDL89" s="52"/>
      <c r="FEI89" s="52"/>
      <c r="FFF89" s="52"/>
      <c r="FGC89" s="52"/>
      <c r="FGZ89" s="52"/>
      <c r="FHW89" s="52"/>
      <c r="FIT89" s="52"/>
      <c r="FJQ89" s="52"/>
      <c r="FKN89" s="52"/>
      <c r="FLK89" s="52"/>
      <c r="FMH89" s="52"/>
      <c r="FNE89" s="52"/>
      <c r="FOB89" s="52"/>
      <c r="FOY89" s="52"/>
      <c r="FPV89" s="52"/>
      <c r="FQS89" s="52"/>
      <c r="FRP89" s="52"/>
      <c r="FSM89" s="52"/>
      <c r="FTJ89" s="52"/>
      <c r="FUG89" s="52"/>
      <c r="FVD89" s="52"/>
      <c r="FWA89" s="52"/>
      <c r="FWX89" s="52"/>
      <c r="FXU89" s="52"/>
      <c r="FYR89" s="52"/>
      <c r="FZO89" s="52"/>
      <c r="GAL89" s="52"/>
      <c r="GBI89" s="52"/>
      <c r="GCF89" s="52"/>
      <c r="GDC89" s="52"/>
      <c r="GDZ89" s="52"/>
      <c r="GEW89" s="52"/>
      <c r="GFT89" s="52"/>
      <c r="GGQ89" s="52"/>
      <c r="GHN89" s="52"/>
      <c r="GIK89" s="52"/>
      <c r="GJH89" s="52"/>
      <c r="GKE89" s="52"/>
      <c r="GLB89" s="52"/>
      <c r="GLY89" s="52"/>
      <c r="GMV89" s="52"/>
      <c r="GNS89" s="52"/>
      <c r="GOP89" s="52"/>
      <c r="GPM89" s="52"/>
      <c r="GQJ89" s="52"/>
      <c r="GRG89" s="52"/>
      <c r="GSD89" s="52"/>
      <c r="GTA89" s="52"/>
      <c r="GTX89" s="52"/>
      <c r="GUU89" s="52"/>
      <c r="GVR89" s="52"/>
      <c r="GWO89" s="52"/>
      <c r="GXL89" s="52"/>
      <c r="GYI89" s="52"/>
      <c r="GZF89" s="52"/>
      <c r="HAC89" s="52"/>
      <c r="HAZ89" s="52"/>
      <c r="HBW89" s="52"/>
      <c r="HCT89" s="52"/>
      <c r="HDQ89" s="52"/>
      <c r="HEN89" s="52"/>
      <c r="HFK89" s="52"/>
      <c r="HGH89" s="52"/>
      <c r="HHE89" s="52"/>
      <c r="HIB89" s="52"/>
      <c r="HIY89" s="52"/>
      <c r="HJV89" s="52"/>
      <c r="HKS89" s="52"/>
      <c r="HLP89" s="52"/>
      <c r="HMM89" s="52"/>
      <c r="HNJ89" s="52"/>
      <c r="HOG89" s="52"/>
      <c r="HPD89" s="52"/>
      <c r="HQA89" s="52"/>
      <c r="HQX89" s="52"/>
      <c r="HRU89" s="52"/>
      <c r="HSR89" s="52"/>
      <c r="HTO89" s="52"/>
      <c r="HUL89" s="52"/>
      <c r="HVI89" s="52"/>
      <c r="HWF89" s="52"/>
      <c r="HXC89" s="52"/>
      <c r="HXZ89" s="52"/>
      <c r="HYW89" s="52"/>
      <c r="HZT89" s="52"/>
      <c r="IAQ89" s="52"/>
      <c r="IBN89" s="52"/>
      <c r="ICK89" s="52"/>
      <c r="IDH89" s="52"/>
      <c r="IEE89" s="52"/>
      <c r="IFB89" s="52"/>
      <c r="IFY89" s="52"/>
      <c r="IGV89" s="52"/>
      <c r="IHS89" s="52"/>
      <c r="IIP89" s="52"/>
      <c r="IJM89" s="52"/>
      <c r="IKJ89" s="52"/>
      <c r="ILG89" s="52"/>
      <c r="IMD89" s="52"/>
      <c r="INA89" s="52"/>
      <c r="INX89" s="52"/>
      <c r="IOU89" s="52"/>
      <c r="IPR89" s="52"/>
      <c r="IQO89" s="52"/>
      <c r="IRL89" s="52"/>
      <c r="ISI89" s="52"/>
      <c r="ITF89" s="52"/>
      <c r="IUC89" s="52"/>
      <c r="IUZ89" s="52"/>
      <c r="IVW89" s="52"/>
      <c r="IWT89" s="52"/>
      <c r="IXQ89" s="52"/>
      <c r="IYN89" s="52"/>
      <c r="IZK89" s="52"/>
      <c r="JAH89" s="52"/>
      <c r="JBE89" s="52"/>
      <c r="JCB89" s="52"/>
      <c r="JCY89" s="52"/>
      <c r="JDV89" s="52"/>
      <c r="JES89" s="52"/>
      <c r="JFP89" s="52"/>
      <c r="JGM89" s="52"/>
      <c r="JHJ89" s="52"/>
      <c r="JIG89" s="52"/>
      <c r="JJD89" s="52"/>
      <c r="JKA89" s="52"/>
      <c r="JKX89" s="52"/>
      <c r="JLU89" s="52"/>
      <c r="JMR89" s="52"/>
      <c r="JNO89" s="52"/>
      <c r="JOL89" s="52"/>
      <c r="JPI89" s="52"/>
      <c r="JQF89" s="52"/>
      <c r="JRC89" s="52"/>
      <c r="JRZ89" s="52"/>
      <c r="JSW89" s="52"/>
      <c r="JTT89" s="52"/>
      <c r="JUQ89" s="52"/>
      <c r="JVN89" s="52"/>
      <c r="JWK89" s="52"/>
      <c r="JXH89" s="52"/>
      <c r="JYE89" s="52"/>
      <c r="JZB89" s="52"/>
      <c r="JZY89" s="52"/>
      <c r="KAV89" s="52"/>
      <c r="KBS89" s="52"/>
      <c r="KCP89" s="52"/>
      <c r="KDM89" s="52"/>
      <c r="KEJ89" s="52"/>
      <c r="KFG89" s="52"/>
      <c r="KGD89" s="52"/>
      <c r="KHA89" s="52"/>
      <c r="KHX89" s="52"/>
      <c r="KIU89" s="52"/>
      <c r="KJR89" s="52"/>
      <c r="KKO89" s="52"/>
      <c r="KLL89" s="52"/>
      <c r="KMI89" s="52"/>
      <c r="KNF89" s="52"/>
      <c r="KOC89" s="52"/>
      <c r="KOZ89" s="52"/>
      <c r="KPW89" s="52"/>
      <c r="KQT89" s="52"/>
      <c r="KRQ89" s="52"/>
      <c r="KSN89" s="52"/>
      <c r="KTK89" s="52"/>
      <c r="KUH89" s="52"/>
      <c r="KVE89" s="52"/>
      <c r="KWB89" s="52"/>
      <c r="KWY89" s="52"/>
      <c r="KXV89" s="52"/>
      <c r="KYS89" s="52"/>
      <c r="KZP89" s="52"/>
      <c r="LAM89" s="52"/>
      <c r="LBJ89" s="52"/>
      <c r="LCG89" s="52"/>
      <c r="LDD89" s="52"/>
      <c r="LEA89" s="52"/>
      <c r="LEX89" s="52"/>
      <c r="LFU89" s="52"/>
      <c r="LGR89" s="52"/>
      <c r="LHO89" s="52"/>
      <c r="LIL89" s="52"/>
      <c r="LJI89" s="52"/>
      <c r="LKF89" s="52"/>
      <c r="LLC89" s="52"/>
      <c r="LLZ89" s="52"/>
      <c r="LMW89" s="52"/>
      <c r="LNT89" s="52"/>
      <c r="LOQ89" s="52"/>
      <c r="LPN89" s="52"/>
      <c r="LQK89" s="52"/>
      <c r="LRH89" s="52"/>
      <c r="LSE89" s="52"/>
      <c r="LTB89" s="52"/>
      <c r="LTY89" s="52"/>
      <c r="LUV89" s="52"/>
      <c r="LVS89" s="52"/>
      <c r="LWP89" s="52"/>
      <c r="LXM89" s="52"/>
      <c r="LYJ89" s="52"/>
      <c r="LZG89" s="52"/>
      <c r="MAD89" s="52"/>
      <c r="MBA89" s="52"/>
      <c r="MBX89" s="52"/>
      <c r="MCU89" s="52"/>
      <c r="MDR89" s="52"/>
      <c r="MEO89" s="52"/>
      <c r="MFL89" s="52"/>
      <c r="MGI89" s="52"/>
      <c r="MHF89" s="52"/>
      <c r="MIC89" s="52"/>
      <c r="MIZ89" s="52"/>
      <c r="MJW89" s="52"/>
      <c r="MKT89" s="52"/>
      <c r="MLQ89" s="52"/>
      <c r="MMN89" s="52"/>
      <c r="MNK89" s="52"/>
      <c r="MOH89" s="52"/>
      <c r="MPE89" s="52"/>
      <c r="MQB89" s="52"/>
      <c r="MQY89" s="52"/>
      <c r="MRV89" s="52"/>
      <c r="MSS89" s="52"/>
      <c r="MTP89" s="52"/>
      <c r="MUM89" s="52"/>
      <c r="MVJ89" s="52"/>
      <c r="MWG89" s="52"/>
      <c r="MXD89" s="52"/>
      <c r="MYA89" s="52"/>
      <c r="MYX89" s="52"/>
      <c r="MZU89" s="52"/>
      <c r="NAR89" s="52"/>
      <c r="NBO89" s="52"/>
      <c r="NCL89" s="52"/>
      <c r="NDI89" s="52"/>
      <c r="NEF89" s="52"/>
      <c r="NFC89" s="52"/>
      <c r="NFZ89" s="52"/>
      <c r="NGW89" s="52"/>
      <c r="NHT89" s="52"/>
      <c r="NIQ89" s="52"/>
      <c r="NJN89" s="52"/>
      <c r="NKK89" s="52"/>
      <c r="NLH89" s="52"/>
      <c r="NME89" s="52"/>
      <c r="NNB89" s="52"/>
      <c r="NNY89" s="52"/>
      <c r="NOV89" s="52"/>
      <c r="NPS89" s="52"/>
      <c r="NQP89" s="52"/>
      <c r="NRM89" s="52"/>
      <c r="NSJ89" s="52"/>
      <c r="NTG89" s="52"/>
      <c r="NUD89" s="52"/>
      <c r="NVA89" s="52"/>
      <c r="NVX89" s="52"/>
      <c r="NWU89" s="52"/>
      <c r="NXR89" s="52"/>
      <c r="NYO89" s="52"/>
      <c r="NZL89" s="52"/>
      <c r="OAI89" s="52"/>
      <c r="OBF89" s="52"/>
      <c r="OCC89" s="52"/>
      <c r="OCZ89" s="52"/>
      <c r="ODW89" s="52"/>
      <c r="OET89" s="52"/>
      <c r="OFQ89" s="52"/>
      <c r="OGN89" s="52"/>
      <c r="OHK89" s="52"/>
      <c r="OIH89" s="52"/>
      <c r="OJE89" s="52"/>
      <c r="OKB89" s="52"/>
      <c r="OKY89" s="52"/>
      <c r="OLV89" s="52"/>
      <c r="OMS89" s="52"/>
      <c r="ONP89" s="52"/>
      <c r="OOM89" s="52"/>
      <c r="OPJ89" s="52"/>
      <c r="OQG89" s="52"/>
      <c r="ORD89" s="52"/>
      <c r="OSA89" s="52"/>
      <c r="OSX89" s="52"/>
      <c r="OTU89" s="52"/>
      <c r="OUR89" s="52"/>
      <c r="OVO89" s="52"/>
      <c r="OWL89" s="52"/>
      <c r="OXI89" s="52"/>
      <c r="OYF89" s="52"/>
      <c r="OZC89" s="52"/>
      <c r="OZZ89" s="52"/>
      <c r="PAW89" s="52"/>
      <c r="PBT89" s="52"/>
      <c r="PCQ89" s="52"/>
      <c r="PDN89" s="52"/>
      <c r="PEK89" s="52"/>
      <c r="PFH89" s="52"/>
      <c r="PGE89" s="52"/>
      <c r="PHB89" s="52"/>
      <c r="PHY89" s="52"/>
      <c r="PIV89" s="52"/>
      <c r="PJS89" s="52"/>
      <c r="PKP89" s="52"/>
      <c r="PLM89" s="52"/>
      <c r="PMJ89" s="52"/>
      <c r="PNG89" s="52"/>
      <c r="POD89" s="52"/>
      <c r="PPA89" s="52"/>
      <c r="PPX89" s="52"/>
      <c r="PQU89" s="52"/>
      <c r="PRR89" s="52"/>
      <c r="PSO89" s="52"/>
      <c r="PTL89" s="52"/>
      <c r="PUI89" s="52"/>
      <c r="PVF89" s="52"/>
      <c r="PWC89" s="52"/>
      <c r="PWZ89" s="52"/>
      <c r="PXW89" s="52"/>
      <c r="PYT89" s="52"/>
      <c r="PZQ89" s="52"/>
      <c r="QAN89" s="52"/>
      <c r="QBK89" s="52"/>
      <c r="QCH89" s="52"/>
      <c r="QDE89" s="52"/>
      <c r="QEB89" s="52"/>
      <c r="QEY89" s="52"/>
      <c r="QFV89" s="52"/>
      <c r="QGS89" s="52"/>
      <c r="QHP89" s="52"/>
      <c r="QIM89" s="52"/>
      <c r="QJJ89" s="52"/>
      <c r="QKG89" s="52"/>
      <c r="QLD89" s="52"/>
      <c r="QMA89" s="52"/>
      <c r="QMX89" s="52"/>
      <c r="QNU89" s="52"/>
      <c r="QOR89" s="52"/>
      <c r="QPO89" s="52"/>
      <c r="QQL89" s="52"/>
      <c r="QRI89" s="52"/>
      <c r="QSF89" s="52"/>
      <c r="QTC89" s="52"/>
      <c r="QTZ89" s="52"/>
      <c r="QUW89" s="52"/>
      <c r="QVT89" s="52"/>
      <c r="QWQ89" s="52"/>
      <c r="QXN89" s="52"/>
      <c r="QYK89" s="52"/>
      <c r="QZH89" s="52"/>
      <c r="RAE89" s="52"/>
      <c r="RBB89" s="52"/>
      <c r="RBY89" s="52"/>
      <c r="RCV89" s="52"/>
      <c r="RDS89" s="52"/>
      <c r="REP89" s="52"/>
      <c r="RFM89" s="52"/>
      <c r="RGJ89" s="52"/>
      <c r="RHG89" s="52"/>
      <c r="RID89" s="52"/>
      <c r="RJA89" s="52"/>
      <c r="RJX89" s="52"/>
      <c r="RKU89" s="52"/>
      <c r="RLR89" s="52"/>
      <c r="RMO89" s="52"/>
      <c r="RNL89" s="52"/>
      <c r="ROI89" s="52"/>
      <c r="RPF89" s="52"/>
      <c r="RQC89" s="52"/>
      <c r="RQZ89" s="52"/>
      <c r="RRW89" s="52"/>
      <c r="RST89" s="52"/>
      <c r="RTQ89" s="52"/>
      <c r="RUN89" s="52"/>
      <c r="RVK89" s="52"/>
      <c r="RWH89" s="52"/>
      <c r="RXE89" s="52"/>
      <c r="RYB89" s="52"/>
      <c r="RYY89" s="52"/>
      <c r="RZV89" s="52"/>
      <c r="SAS89" s="52"/>
      <c r="SBP89" s="52"/>
      <c r="SCM89" s="52"/>
      <c r="SDJ89" s="52"/>
      <c r="SEG89" s="52"/>
      <c r="SFD89" s="52"/>
      <c r="SGA89" s="52"/>
      <c r="SGX89" s="52"/>
      <c r="SHU89" s="52"/>
      <c r="SIR89" s="52"/>
      <c r="SJO89" s="52"/>
      <c r="SKL89" s="52"/>
      <c r="SLI89" s="52"/>
      <c r="SMF89" s="52"/>
      <c r="SNC89" s="52"/>
      <c r="SNZ89" s="52"/>
      <c r="SOW89" s="52"/>
      <c r="SPT89" s="52"/>
      <c r="SQQ89" s="52"/>
      <c r="SRN89" s="52"/>
      <c r="SSK89" s="52"/>
      <c r="STH89" s="52"/>
      <c r="SUE89" s="52"/>
      <c r="SVB89" s="52"/>
      <c r="SVY89" s="52"/>
      <c r="SWV89" s="52"/>
      <c r="SXS89" s="52"/>
      <c r="SYP89" s="52"/>
      <c r="SZM89" s="52"/>
      <c r="TAJ89" s="52"/>
      <c r="TBG89" s="52"/>
      <c r="TCD89" s="52"/>
      <c r="TDA89" s="52"/>
      <c r="TDX89" s="52"/>
      <c r="TEU89" s="52"/>
      <c r="TFR89" s="52"/>
      <c r="TGO89" s="52"/>
      <c r="THL89" s="52"/>
      <c r="TII89" s="52"/>
      <c r="TJF89" s="52"/>
      <c r="TKC89" s="52"/>
      <c r="TKZ89" s="52"/>
      <c r="TLW89" s="52"/>
      <c r="TMT89" s="52"/>
      <c r="TNQ89" s="52"/>
      <c r="TON89" s="52"/>
      <c r="TPK89" s="52"/>
      <c r="TQH89" s="52"/>
      <c r="TRE89" s="52"/>
      <c r="TSB89" s="52"/>
      <c r="TSY89" s="52"/>
      <c r="TTV89" s="52"/>
      <c r="TUS89" s="52"/>
      <c r="TVP89" s="52"/>
      <c r="TWM89" s="52"/>
      <c r="TXJ89" s="52"/>
      <c r="TYG89" s="52"/>
      <c r="TZD89" s="52"/>
      <c r="UAA89" s="52"/>
      <c r="UAX89" s="52"/>
      <c r="UBU89" s="52"/>
      <c r="UCR89" s="52"/>
      <c r="UDO89" s="52"/>
      <c r="UEL89" s="52"/>
      <c r="UFI89" s="52"/>
      <c r="UGF89" s="52"/>
      <c r="UHC89" s="52"/>
      <c r="UHZ89" s="52"/>
      <c r="UIW89" s="52"/>
      <c r="UJT89" s="52"/>
      <c r="UKQ89" s="52"/>
      <c r="ULN89" s="52"/>
      <c r="UMK89" s="52"/>
      <c r="UNH89" s="52"/>
      <c r="UOE89" s="52"/>
      <c r="UPB89" s="52"/>
      <c r="UPY89" s="52"/>
      <c r="UQV89" s="52"/>
      <c r="URS89" s="52"/>
      <c r="USP89" s="52"/>
      <c r="UTM89" s="52"/>
      <c r="UUJ89" s="52"/>
      <c r="UVG89" s="52"/>
      <c r="UWD89" s="52"/>
      <c r="UXA89" s="52"/>
      <c r="UXX89" s="52"/>
      <c r="UYU89" s="52"/>
      <c r="UZR89" s="52"/>
      <c r="VAO89" s="52"/>
      <c r="VBL89" s="52"/>
      <c r="VCI89" s="52"/>
      <c r="VDF89" s="52"/>
      <c r="VEC89" s="52"/>
      <c r="VEZ89" s="52"/>
      <c r="VFW89" s="52"/>
      <c r="VGT89" s="52"/>
      <c r="VHQ89" s="52"/>
      <c r="VIN89" s="52"/>
      <c r="VJK89" s="52"/>
      <c r="VKH89" s="52"/>
      <c r="VLE89" s="52"/>
      <c r="VMB89" s="52"/>
      <c r="VMY89" s="52"/>
      <c r="VNV89" s="52"/>
      <c r="VOS89" s="52"/>
      <c r="VPP89" s="52"/>
      <c r="VQM89" s="52"/>
      <c r="VRJ89" s="52"/>
      <c r="VSG89" s="52"/>
      <c r="VTD89" s="52"/>
      <c r="VUA89" s="52"/>
      <c r="VUX89" s="52"/>
      <c r="VVU89" s="52"/>
      <c r="VWR89" s="52"/>
      <c r="VXO89" s="52"/>
      <c r="VYL89" s="52"/>
      <c r="VZI89" s="52"/>
      <c r="WAF89" s="52"/>
      <c r="WBC89" s="52"/>
      <c r="WBZ89" s="52"/>
      <c r="WCW89" s="52"/>
      <c r="WDT89" s="52"/>
      <c r="WEQ89" s="52"/>
      <c r="WFN89" s="52"/>
      <c r="WGK89" s="52"/>
      <c r="WHH89" s="52"/>
      <c r="WIE89" s="52"/>
      <c r="WJB89" s="52"/>
      <c r="WJY89" s="52"/>
      <c r="WKV89" s="52"/>
      <c r="WLS89" s="52"/>
      <c r="WMP89" s="52"/>
      <c r="WNM89" s="52"/>
      <c r="WOJ89" s="52"/>
      <c r="WPG89" s="52"/>
      <c r="WQD89" s="52"/>
      <c r="WRA89" s="52"/>
      <c r="WRX89" s="52"/>
      <c r="WSU89" s="52"/>
      <c r="WTR89" s="52"/>
      <c r="WUO89" s="52"/>
      <c r="WVL89" s="52"/>
      <c r="WWI89" s="52"/>
      <c r="WXF89" s="52"/>
      <c r="WYC89" s="52"/>
      <c r="WYZ89" s="52"/>
      <c r="WZW89" s="52"/>
      <c r="XAT89" s="52"/>
      <c r="XBQ89" s="52"/>
      <c r="XCN89" s="52"/>
      <c r="XDK89" s="52"/>
      <c r="XEH89" s="52"/>
    </row>
    <row r="90" spans="1:1021 1044:2033 2056:3068 3091:4080 4103:5115 5138:6127 6150:7162 7185:8174 8197:9209 9232:10221 10244:11256 11279:12268 12291:13303 13326:14315 14338:15350 15373:16362" s="12" customFormat="1" x14ac:dyDescent="0.25">
      <c r="A90" s="8" t="s">
        <v>468</v>
      </c>
      <c r="B90" s="12" t="s">
        <v>123</v>
      </c>
      <c r="C90" s="22" t="s">
        <v>28</v>
      </c>
      <c r="F90" s="63">
        <f t="shared" ref="F90" si="427">+F89+F80</f>
        <v>0</v>
      </c>
      <c r="I90" s="52">
        <f t="shared" ref="I90" si="428">+I89+I80</f>
        <v>324.50700000000001</v>
      </c>
      <c r="J90" s="52">
        <f>+J89+J80</f>
        <v>603.9</v>
      </c>
      <c r="K90" s="52">
        <f t="shared" si="391"/>
        <v>661.79700000000003</v>
      </c>
      <c r="L90" s="52">
        <f t="shared" ref="L90:T90" si="429">+L89+L80</f>
        <v>661.79700000000003</v>
      </c>
      <c r="M90" s="424">
        <f t="shared" ref="M90" si="430">+M89+M80</f>
        <v>694.96900000000005</v>
      </c>
      <c r="N90" s="52">
        <f t="shared" si="392"/>
        <v>783.19800000000009</v>
      </c>
      <c r="O90" s="52">
        <f t="shared" ref="O90" si="431">+O89+O80</f>
        <v>783.19800000000009</v>
      </c>
      <c r="P90" s="63">
        <f t="shared" ref="P90:R90" ca="1" si="432">+P89+P80</f>
        <v>821.84032238469774</v>
      </c>
      <c r="Q90" s="63">
        <f t="shared" ca="1" si="432"/>
        <v>845.47597138941887</v>
      </c>
      <c r="R90" s="63">
        <f t="shared" ca="1" si="432"/>
        <v>845.47597138941887</v>
      </c>
      <c r="S90" s="63">
        <f t="shared" ca="1" si="429"/>
        <v>887.81468019197689</v>
      </c>
      <c r="T90" s="63">
        <f t="shared" ca="1" si="429"/>
        <v>928.00487181651943</v>
      </c>
      <c r="U90" s="63">
        <f t="shared" ref="U90" ca="1" si="433">+U89+U80</f>
        <v>928.00487181651943</v>
      </c>
      <c r="V90" s="63">
        <f t="shared" ref="V90:X90" ca="1" si="434">+V89+V80</f>
        <v>975.54589457665088</v>
      </c>
      <c r="W90" s="63">
        <f t="shared" ca="1" si="434"/>
        <v>1017.2382497938337</v>
      </c>
      <c r="X90" s="63">
        <f t="shared" ca="1" si="434"/>
        <v>1017.2382497938337</v>
      </c>
      <c r="Y90" s="63">
        <f t="shared" ref="Y90:AA90" ca="1" si="435">+Y89+Y80</f>
        <v>1069.8052642675073</v>
      </c>
      <c r="Z90" s="63">
        <f t="shared" ca="1" si="435"/>
        <v>1115.4182780735191</v>
      </c>
      <c r="AA90" s="63">
        <f t="shared" ca="1" si="435"/>
        <v>1115.4182780735191</v>
      </c>
      <c r="AB90" s="63">
        <f t="shared" ref="AB90:AP90" ca="1" si="436">+AB89+AB80</f>
        <v>1169.1241432811125</v>
      </c>
      <c r="AC90" s="63">
        <f t="shared" ca="1" si="436"/>
        <v>1215.3189915923592</v>
      </c>
      <c r="AD90" s="63">
        <f t="shared" ca="1" si="436"/>
        <v>1215.3189915923592</v>
      </c>
      <c r="AE90" s="63">
        <f t="shared" ca="1" si="436"/>
        <v>1269.1795162592193</v>
      </c>
      <c r="AF90" s="63">
        <f t="shared" ca="1" si="436"/>
        <v>1317.566755402564</v>
      </c>
      <c r="AG90" s="63">
        <f t="shared" ca="1" si="436"/>
        <v>1317.566755402564</v>
      </c>
      <c r="AH90" s="63">
        <f t="shared" ca="1" si="436"/>
        <v>1374.9138028191571</v>
      </c>
      <c r="AI90" s="63">
        <f t="shared" ca="1" si="436"/>
        <v>1426.6674011276366</v>
      </c>
      <c r="AJ90" s="63">
        <f t="shared" ca="1" si="436"/>
        <v>1426.6674011276366</v>
      </c>
      <c r="AK90" s="63">
        <f t="shared" ca="1" si="436"/>
        <v>1487.9465187635203</v>
      </c>
      <c r="AL90" s="63">
        <f t="shared" ca="1" si="436"/>
        <v>1543.5305851923147</v>
      </c>
      <c r="AM90" s="63">
        <f t="shared" ca="1" si="436"/>
        <v>1543.5305851923147</v>
      </c>
      <c r="AN90" s="63">
        <f t="shared" ca="1" si="436"/>
        <v>1603.5759032950716</v>
      </c>
      <c r="AO90" s="63">
        <f t="shared" ca="1" si="436"/>
        <v>1660.8840480863623</v>
      </c>
      <c r="AP90" s="63">
        <f t="shared" ca="1" si="436"/>
        <v>1660.8840480863623</v>
      </c>
      <c r="AQ90" s="63">
        <f t="shared" ref="AQ90:AS90" ca="1" si="437">+AQ89+AQ80</f>
        <v>1721.5323137131313</v>
      </c>
      <c r="AR90" s="63">
        <f t="shared" ca="1" si="437"/>
        <v>1781.8662735425137</v>
      </c>
      <c r="AS90" s="63">
        <f t="shared" ca="1" si="437"/>
        <v>1781.8662735425137</v>
      </c>
      <c r="AT90" s="63">
        <f t="shared" ref="AT90:AV90" ca="1" si="438">+AT89+AT80</f>
        <v>1845.6656574319381</v>
      </c>
      <c r="AU90" s="63">
        <f t="shared" ca="1" si="438"/>
        <v>1909.5224462903402</v>
      </c>
      <c r="AV90" s="63">
        <f t="shared" ca="1" si="438"/>
        <v>1909.5224462903402</v>
      </c>
      <c r="AW90" s="23"/>
      <c r="AX90" s="23"/>
      <c r="AY90" s="295"/>
      <c r="AZ90"/>
      <c r="BA90"/>
      <c r="BB90"/>
      <c r="BC90"/>
      <c r="BD90"/>
      <c r="BE90"/>
      <c r="BZ90" s="52"/>
      <c r="CW90" s="52"/>
      <c r="DT90" s="52"/>
      <c r="EQ90" s="52"/>
      <c r="FN90" s="52"/>
      <c r="GK90" s="52"/>
      <c r="HH90" s="52"/>
      <c r="IE90" s="52"/>
      <c r="JB90" s="52"/>
      <c r="JY90" s="52"/>
      <c r="KV90" s="52"/>
      <c r="LS90" s="52"/>
      <c r="MP90" s="52"/>
      <c r="NM90" s="52"/>
      <c r="OJ90" s="52"/>
      <c r="PG90" s="52"/>
      <c r="QD90" s="52"/>
      <c r="RA90" s="52"/>
      <c r="RX90" s="52"/>
      <c r="SU90" s="52"/>
      <c r="TR90" s="52"/>
      <c r="UO90" s="52"/>
      <c r="VL90" s="52"/>
      <c r="WI90" s="52"/>
      <c r="XF90" s="52"/>
      <c r="YC90" s="52"/>
      <c r="YZ90" s="52"/>
      <c r="ZW90" s="52"/>
      <c r="AAT90" s="52"/>
      <c r="ABQ90" s="52"/>
      <c r="ACN90" s="52"/>
      <c r="ADK90" s="52"/>
      <c r="AEH90" s="52"/>
      <c r="AFE90" s="52"/>
      <c r="AGB90" s="52"/>
      <c r="AGY90" s="52"/>
      <c r="AHV90" s="52"/>
      <c r="AIS90" s="52"/>
      <c r="AJP90" s="52"/>
      <c r="AKM90" s="52"/>
      <c r="ALJ90" s="52"/>
      <c r="AMG90" s="52"/>
      <c r="AND90" s="52"/>
      <c r="AOA90" s="52"/>
      <c r="AOX90" s="52"/>
      <c r="APU90" s="52"/>
      <c r="AQR90" s="52"/>
      <c r="ARO90" s="52"/>
      <c r="ASL90" s="52"/>
      <c r="ATI90" s="52"/>
      <c r="AUF90" s="52"/>
      <c r="AVC90" s="52"/>
      <c r="AVZ90" s="52"/>
      <c r="AWW90" s="52"/>
      <c r="AXT90" s="52"/>
      <c r="AYQ90" s="52"/>
      <c r="AZN90" s="52"/>
      <c r="BAK90" s="52"/>
      <c r="BBH90" s="52"/>
      <c r="BCE90" s="52"/>
      <c r="BDB90" s="52"/>
      <c r="BDY90" s="52"/>
      <c r="BEV90" s="52"/>
      <c r="BFS90" s="52"/>
      <c r="BGP90" s="52"/>
      <c r="BHM90" s="52"/>
      <c r="BIJ90" s="52"/>
      <c r="BJG90" s="52"/>
      <c r="BKD90" s="52"/>
      <c r="BLA90" s="52"/>
      <c r="BLX90" s="52"/>
      <c r="BMU90" s="52"/>
      <c r="BNR90" s="52"/>
      <c r="BOO90" s="52"/>
      <c r="BPL90" s="52"/>
      <c r="BQI90" s="52"/>
      <c r="BRF90" s="52"/>
      <c r="BSC90" s="52"/>
      <c r="BSZ90" s="52"/>
      <c r="BTW90" s="52"/>
      <c r="BUT90" s="52"/>
      <c r="BVQ90" s="52"/>
      <c r="BWN90" s="52"/>
      <c r="BXK90" s="52"/>
      <c r="BYH90" s="52"/>
      <c r="BZE90" s="52"/>
      <c r="CAB90" s="52"/>
      <c r="CAY90" s="52"/>
      <c r="CBV90" s="52"/>
      <c r="CCS90" s="52"/>
      <c r="CDP90" s="52"/>
      <c r="CEM90" s="52"/>
      <c r="CFJ90" s="52"/>
      <c r="CGG90" s="52"/>
      <c r="CHD90" s="52"/>
      <c r="CIA90" s="52"/>
      <c r="CIX90" s="52"/>
      <c r="CJU90" s="52"/>
      <c r="CKR90" s="52"/>
      <c r="CLO90" s="52"/>
      <c r="CML90" s="52"/>
      <c r="CNI90" s="52"/>
      <c r="COF90" s="52"/>
      <c r="CPC90" s="52"/>
      <c r="CPZ90" s="52"/>
      <c r="CQW90" s="52"/>
      <c r="CRT90" s="52"/>
      <c r="CSQ90" s="52"/>
      <c r="CTN90" s="52"/>
      <c r="CUK90" s="52"/>
      <c r="CVH90" s="52"/>
      <c r="CWE90" s="52"/>
      <c r="CXB90" s="52"/>
      <c r="CXY90" s="52"/>
      <c r="CYV90" s="52"/>
      <c r="CZS90" s="52"/>
      <c r="DAP90" s="52"/>
      <c r="DBM90" s="52"/>
      <c r="DCJ90" s="52"/>
      <c r="DDG90" s="52"/>
      <c r="DED90" s="52"/>
      <c r="DFA90" s="52"/>
      <c r="DFX90" s="52"/>
      <c r="DGU90" s="52"/>
      <c r="DHR90" s="52"/>
      <c r="DIO90" s="52"/>
      <c r="DJL90" s="52"/>
      <c r="DKI90" s="52"/>
      <c r="DLF90" s="52"/>
      <c r="DMC90" s="52"/>
      <c r="DMZ90" s="52"/>
      <c r="DNW90" s="52"/>
      <c r="DOT90" s="52"/>
      <c r="DPQ90" s="52"/>
      <c r="DQN90" s="52"/>
      <c r="DRK90" s="52"/>
      <c r="DSH90" s="52"/>
      <c r="DTE90" s="52"/>
      <c r="DUB90" s="52"/>
      <c r="DUY90" s="52"/>
      <c r="DVV90" s="52"/>
      <c r="DWS90" s="52"/>
      <c r="DXP90" s="52"/>
      <c r="DYM90" s="52"/>
      <c r="DZJ90" s="52"/>
      <c r="EAG90" s="52"/>
      <c r="EBD90" s="52"/>
      <c r="ECA90" s="52"/>
      <c r="ECX90" s="52"/>
      <c r="EDU90" s="52"/>
      <c r="EER90" s="52"/>
      <c r="EFO90" s="52"/>
      <c r="EGL90" s="52"/>
      <c r="EHI90" s="52"/>
      <c r="EIF90" s="52"/>
      <c r="EJC90" s="52"/>
      <c r="EJZ90" s="52"/>
      <c r="EKW90" s="52"/>
      <c r="ELT90" s="52"/>
      <c r="EMQ90" s="52"/>
      <c r="ENN90" s="52"/>
      <c r="EOK90" s="52"/>
      <c r="EPH90" s="52"/>
      <c r="EQE90" s="52"/>
      <c r="ERB90" s="52"/>
      <c r="ERY90" s="52"/>
      <c r="ESV90" s="52"/>
      <c r="ETS90" s="52"/>
      <c r="EUP90" s="52"/>
      <c r="EVM90" s="52"/>
      <c r="EWJ90" s="52"/>
      <c r="EXG90" s="52"/>
      <c r="EYD90" s="52"/>
      <c r="EZA90" s="52"/>
      <c r="EZX90" s="52"/>
      <c r="FAU90" s="52"/>
      <c r="FBR90" s="52"/>
      <c r="FCO90" s="52"/>
      <c r="FDL90" s="52"/>
      <c r="FEI90" s="52"/>
      <c r="FFF90" s="52"/>
      <c r="FGC90" s="52"/>
      <c r="FGZ90" s="52"/>
      <c r="FHW90" s="52"/>
      <c r="FIT90" s="52"/>
      <c r="FJQ90" s="52"/>
      <c r="FKN90" s="52"/>
      <c r="FLK90" s="52"/>
      <c r="FMH90" s="52"/>
      <c r="FNE90" s="52"/>
      <c r="FOB90" s="52"/>
      <c r="FOY90" s="52"/>
      <c r="FPV90" s="52"/>
      <c r="FQS90" s="52"/>
      <c r="FRP90" s="52"/>
      <c r="FSM90" s="52"/>
      <c r="FTJ90" s="52"/>
      <c r="FUG90" s="52"/>
      <c r="FVD90" s="52"/>
      <c r="FWA90" s="52"/>
      <c r="FWX90" s="52"/>
      <c r="FXU90" s="52"/>
      <c r="FYR90" s="52"/>
      <c r="FZO90" s="52"/>
      <c r="GAL90" s="52"/>
      <c r="GBI90" s="52"/>
      <c r="GCF90" s="52"/>
      <c r="GDC90" s="52"/>
      <c r="GDZ90" s="52"/>
      <c r="GEW90" s="52"/>
      <c r="GFT90" s="52"/>
      <c r="GGQ90" s="52"/>
      <c r="GHN90" s="52"/>
      <c r="GIK90" s="52"/>
      <c r="GJH90" s="52"/>
      <c r="GKE90" s="52"/>
      <c r="GLB90" s="52"/>
      <c r="GLY90" s="52"/>
      <c r="GMV90" s="52"/>
      <c r="GNS90" s="52"/>
      <c r="GOP90" s="52"/>
      <c r="GPM90" s="52"/>
      <c r="GQJ90" s="52"/>
      <c r="GRG90" s="52"/>
      <c r="GSD90" s="52"/>
      <c r="GTA90" s="52"/>
      <c r="GTX90" s="52"/>
      <c r="GUU90" s="52"/>
      <c r="GVR90" s="52"/>
      <c r="GWO90" s="52"/>
      <c r="GXL90" s="52"/>
      <c r="GYI90" s="52"/>
      <c r="GZF90" s="52"/>
      <c r="HAC90" s="52"/>
      <c r="HAZ90" s="52"/>
      <c r="HBW90" s="52"/>
      <c r="HCT90" s="52"/>
      <c r="HDQ90" s="52"/>
      <c r="HEN90" s="52"/>
      <c r="HFK90" s="52"/>
      <c r="HGH90" s="52"/>
      <c r="HHE90" s="52"/>
      <c r="HIB90" s="52"/>
      <c r="HIY90" s="52"/>
      <c r="HJV90" s="52"/>
      <c r="HKS90" s="52"/>
      <c r="HLP90" s="52"/>
      <c r="HMM90" s="52"/>
      <c r="HNJ90" s="52"/>
      <c r="HOG90" s="52"/>
      <c r="HPD90" s="52"/>
      <c r="HQA90" s="52"/>
      <c r="HQX90" s="52"/>
      <c r="HRU90" s="52"/>
      <c r="HSR90" s="52"/>
      <c r="HTO90" s="52"/>
      <c r="HUL90" s="52"/>
      <c r="HVI90" s="52"/>
      <c r="HWF90" s="52"/>
      <c r="HXC90" s="52"/>
      <c r="HXZ90" s="52"/>
      <c r="HYW90" s="52"/>
      <c r="HZT90" s="52"/>
      <c r="IAQ90" s="52"/>
      <c r="IBN90" s="52"/>
      <c r="ICK90" s="52"/>
      <c r="IDH90" s="52"/>
      <c r="IEE90" s="52"/>
      <c r="IFB90" s="52"/>
      <c r="IFY90" s="52"/>
      <c r="IGV90" s="52"/>
      <c r="IHS90" s="52"/>
      <c r="IIP90" s="52"/>
      <c r="IJM90" s="52"/>
      <c r="IKJ90" s="52"/>
      <c r="ILG90" s="52"/>
      <c r="IMD90" s="52"/>
      <c r="INA90" s="52"/>
      <c r="INX90" s="52"/>
      <c r="IOU90" s="52"/>
      <c r="IPR90" s="52"/>
      <c r="IQO90" s="52"/>
      <c r="IRL90" s="52"/>
      <c r="ISI90" s="52"/>
      <c r="ITF90" s="52"/>
      <c r="IUC90" s="52"/>
      <c r="IUZ90" s="52"/>
      <c r="IVW90" s="52"/>
      <c r="IWT90" s="52"/>
      <c r="IXQ90" s="52"/>
      <c r="IYN90" s="52"/>
      <c r="IZK90" s="52"/>
      <c r="JAH90" s="52"/>
      <c r="JBE90" s="52"/>
      <c r="JCB90" s="52"/>
      <c r="JCY90" s="52"/>
      <c r="JDV90" s="52"/>
      <c r="JES90" s="52"/>
      <c r="JFP90" s="52"/>
      <c r="JGM90" s="52"/>
      <c r="JHJ90" s="52"/>
      <c r="JIG90" s="52"/>
      <c r="JJD90" s="52"/>
      <c r="JKA90" s="52"/>
      <c r="JKX90" s="52"/>
      <c r="JLU90" s="52"/>
      <c r="JMR90" s="52"/>
      <c r="JNO90" s="52"/>
      <c r="JOL90" s="52"/>
      <c r="JPI90" s="52"/>
      <c r="JQF90" s="52"/>
      <c r="JRC90" s="52"/>
      <c r="JRZ90" s="52"/>
      <c r="JSW90" s="52"/>
      <c r="JTT90" s="52"/>
      <c r="JUQ90" s="52"/>
      <c r="JVN90" s="52"/>
      <c r="JWK90" s="52"/>
      <c r="JXH90" s="52"/>
      <c r="JYE90" s="52"/>
      <c r="JZB90" s="52"/>
      <c r="JZY90" s="52"/>
      <c r="KAV90" s="52"/>
      <c r="KBS90" s="52"/>
      <c r="KCP90" s="52"/>
      <c r="KDM90" s="52"/>
      <c r="KEJ90" s="52"/>
      <c r="KFG90" s="52"/>
      <c r="KGD90" s="52"/>
      <c r="KHA90" s="52"/>
      <c r="KHX90" s="52"/>
      <c r="KIU90" s="52"/>
      <c r="KJR90" s="52"/>
      <c r="KKO90" s="52"/>
      <c r="KLL90" s="52"/>
      <c r="KMI90" s="52"/>
      <c r="KNF90" s="52"/>
      <c r="KOC90" s="52"/>
      <c r="KOZ90" s="52"/>
      <c r="KPW90" s="52"/>
      <c r="KQT90" s="52"/>
      <c r="KRQ90" s="52"/>
      <c r="KSN90" s="52"/>
      <c r="KTK90" s="52"/>
      <c r="KUH90" s="52"/>
      <c r="KVE90" s="52"/>
      <c r="KWB90" s="52"/>
      <c r="KWY90" s="52"/>
      <c r="KXV90" s="52"/>
      <c r="KYS90" s="52"/>
      <c r="KZP90" s="52"/>
      <c r="LAM90" s="52"/>
      <c r="LBJ90" s="52"/>
      <c r="LCG90" s="52"/>
      <c r="LDD90" s="52"/>
      <c r="LEA90" s="52"/>
      <c r="LEX90" s="52"/>
      <c r="LFU90" s="52"/>
      <c r="LGR90" s="52"/>
      <c r="LHO90" s="52"/>
      <c r="LIL90" s="52"/>
      <c r="LJI90" s="52"/>
      <c r="LKF90" s="52"/>
      <c r="LLC90" s="52"/>
      <c r="LLZ90" s="52"/>
      <c r="LMW90" s="52"/>
      <c r="LNT90" s="52"/>
      <c r="LOQ90" s="52"/>
      <c r="LPN90" s="52"/>
      <c r="LQK90" s="52"/>
      <c r="LRH90" s="52"/>
      <c r="LSE90" s="52"/>
      <c r="LTB90" s="52"/>
      <c r="LTY90" s="52"/>
      <c r="LUV90" s="52"/>
      <c r="LVS90" s="52"/>
      <c r="LWP90" s="52"/>
      <c r="LXM90" s="52"/>
      <c r="LYJ90" s="52"/>
      <c r="LZG90" s="52"/>
      <c r="MAD90" s="52"/>
      <c r="MBA90" s="52"/>
      <c r="MBX90" s="52"/>
      <c r="MCU90" s="52"/>
      <c r="MDR90" s="52"/>
      <c r="MEO90" s="52"/>
      <c r="MFL90" s="52"/>
      <c r="MGI90" s="52"/>
      <c r="MHF90" s="52"/>
      <c r="MIC90" s="52"/>
      <c r="MIZ90" s="52"/>
      <c r="MJW90" s="52"/>
      <c r="MKT90" s="52"/>
      <c r="MLQ90" s="52"/>
      <c r="MMN90" s="52"/>
      <c r="MNK90" s="52"/>
      <c r="MOH90" s="52"/>
      <c r="MPE90" s="52"/>
      <c r="MQB90" s="52"/>
      <c r="MQY90" s="52"/>
      <c r="MRV90" s="52"/>
      <c r="MSS90" s="52"/>
      <c r="MTP90" s="52"/>
      <c r="MUM90" s="52"/>
      <c r="MVJ90" s="52"/>
      <c r="MWG90" s="52"/>
      <c r="MXD90" s="52"/>
      <c r="MYA90" s="52"/>
      <c r="MYX90" s="52"/>
      <c r="MZU90" s="52"/>
      <c r="NAR90" s="52"/>
      <c r="NBO90" s="52"/>
      <c r="NCL90" s="52"/>
      <c r="NDI90" s="52"/>
      <c r="NEF90" s="52"/>
      <c r="NFC90" s="52"/>
      <c r="NFZ90" s="52"/>
      <c r="NGW90" s="52"/>
      <c r="NHT90" s="52"/>
      <c r="NIQ90" s="52"/>
      <c r="NJN90" s="52"/>
      <c r="NKK90" s="52"/>
      <c r="NLH90" s="52"/>
      <c r="NME90" s="52"/>
      <c r="NNB90" s="52"/>
      <c r="NNY90" s="52"/>
      <c r="NOV90" s="52"/>
      <c r="NPS90" s="52"/>
      <c r="NQP90" s="52"/>
      <c r="NRM90" s="52"/>
      <c r="NSJ90" s="52"/>
      <c r="NTG90" s="52"/>
      <c r="NUD90" s="52"/>
      <c r="NVA90" s="52"/>
      <c r="NVX90" s="52"/>
      <c r="NWU90" s="52"/>
      <c r="NXR90" s="52"/>
      <c r="NYO90" s="52"/>
      <c r="NZL90" s="52"/>
      <c r="OAI90" s="52"/>
      <c r="OBF90" s="52"/>
      <c r="OCC90" s="52"/>
      <c r="OCZ90" s="52"/>
      <c r="ODW90" s="52"/>
      <c r="OET90" s="52"/>
      <c r="OFQ90" s="52"/>
      <c r="OGN90" s="52"/>
      <c r="OHK90" s="52"/>
      <c r="OIH90" s="52"/>
      <c r="OJE90" s="52"/>
      <c r="OKB90" s="52"/>
      <c r="OKY90" s="52"/>
      <c r="OLV90" s="52"/>
      <c r="OMS90" s="52"/>
      <c r="ONP90" s="52"/>
      <c r="OOM90" s="52"/>
      <c r="OPJ90" s="52"/>
      <c r="OQG90" s="52"/>
      <c r="ORD90" s="52"/>
      <c r="OSA90" s="52"/>
      <c r="OSX90" s="52"/>
      <c r="OTU90" s="52"/>
      <c r="OUR90" s="52"/>
      <c r="OVO90" s="52"/>
      <c r="OWL90" s="52"/>
      <c r="OXI90" s="52"/>
      <c r="OYF90" s="52"/>
      <c r="OZC90" s="52"/>
      <c r="OZZ90" s="52"/>
      <c r="PAW90" s="52"/>
      <c r="PBT90" s="52"/>
      <c r="PCQ90" s="52"/>
      <c r="PDN90" s="52"/>
      <c r="PEK90" s="52"/>
      <c r="PFH90" s="52"/>
      <c r="PGE90" s="52"/>
      <c r="PHB90" s="52"/>
      <c r="PHY90" s="52"/>
      <c r="PIV90" s="52"/>
      <c r="PJS90" s="52"/>
      <c r="PKP90" s="52"/>
      <c r="PLM90" s="52"/>
      <c r="PMJ90" s="52"/>
      <c r="PNG90" s="52"/>
      <c r="POD90" s="52"/>
      <c r="PPA90" s="52"/>
      <c r="PPX90" s="52"/>
      <c r="PQU90" s="52"/>
      <c r="PRR90" s="52"/>
      <c r="PSO90" s="52"/>
      <c r="PTL90" s="52"/>
      <c r="PUI90" s="52"/>
      <c r="PVF90" s="52"/>
      <c r="PWC90" s="52"/>
      <c r="PWZ90" s="52"/>
      <c r="PXW90" s="52"/>
      <c r="PYT90" s="52"/>
      <c r="PZQ90" s="52"/>
      <c r="QAN90" s="52"/>
      <c r="QBK90" s="52"/>
      <c r="QCH90" s="52"/>
      <c r="QDE90" s="52"/>
      <c r="QEB90" s="52"/>
      <c r="QEY90" s="52"/>
      <c r="QFV90" s="52"/>
      <c r="QGS90" s="52"/>
      <c r="QHP90" s="52"/>
      <c r="QIM90" s="52"/>
      <c r="QJJ90" s="52"/>
      <c r="QKG90" s="52"/>
      <c r="QLD90" s="52"/>
      <c r="QMA90" s="52"/>
      <c r="QMX90" s="52"/>
      <c r="QNU90" s="52"/>
      <c r="QOR90" s="52"/>
      <c r="QPO90" s="52"/>
      <c r="QQL90" s="52"/>
      <c r="QRI90" s="52"/>
      <c r="QSF90" s="52"/>
      <c r="QTC90" s="52"/>
      <c r="QTZ90" s="52"/>
      <c r="QUW90" s="52"/>
      <c r="QVT90" s="52"/>
      <c r="QWQ90" s="52"/>
      <c r="QXN90" s="52"/>
      <c r="QYK90" s="52"/>
      <c r="QZH90" s="52"/>
      <c r="RAE90" s="52"/>
      <c r="RBB90" s="52"/>
      <c r="RBY90" s="52"/>
      <c r="RCV90" s="52"/>
      <c r="RDS90" s="52"/>
      <c r="REP90" s="52"/>
      <c r="RFM90" s="52"/>
      <c r="RGJ90" s="52"/>
      <c r="RHG90" s="52"/>
      <c r="RID90" s="52"/>
      <c r="RJA90" s="52"/>
      <c r="RJX90" s="52"/>
      <c r="RKU90" s="52"/>
      <c r="RLR90" s="52"/>
      <c r="RMO90" s="52"/>
      <c r="RNL90" s="52"/>
      <c r="ROI90" s="52"/>
      <c r="RPF90" s="52"/>
      <c r="RQC90" s="52"/>
      <c r="RQZ90" s="52"/>
      <c r="RRW90" s="52"/>
      <c r="RST90" s="52"/>
      <c r="RTQ90" s="52"/>
      <c r="RUN90" s="52"/>
      <c r="RVK90" s="52"/>
      <c r="RWH90" s="52"/>
      <c r="RXE90" s="52"/>
      <c r="RYB90" s="52"/>
      <c r="RYY90" s="52"/>
      <c r="RZV90" s="52"/>
      <c r="SAS90" s="52"/>
      <c r="SBP90" s="52"/>
      <c r="SCM90" s="52"/>
      <c r="SDJ90" s="52"/>
      <c r="SEG90" s="52"/>
      <c r="SFD90" s="52"/>
      <c r="SGA90" s="52"/>
      <c r="SGX90" s="52"/>
      <c r="SHU90" s="52"/>
      <c r="SIR90" s="52"/>
      <c r="SJO90" s="52"/>
      <c r="SKL90" s="52"/>
      <c r="SLI90" s="52"/>
      <c r="SMF90" s="52"/>
      <c r="SNC90" s="52"/>
      <c r="SNZ90" s="52"/>
      <c r="SOW90" s="52"/>
      <c r="SPT90" s="52"/>
      <c r="SQQ90" s="52"/>
      <c r="SRN90" s="52"/>
      <c r="SSK90" s="52"/>
      <c r="STH90" s="52"/>
      <c r="SUE90" s="52"/>
      <c r="SVB90" s="52"/>
      <c r="SVY90" s="52"/>
      <c r="SWV90" s="52"/>
      <c r="SXS90" s="52"/>
      <c r="SYP90" s="52"/>
      <c r="SZM90" s="52"/>
      <c r="TAJ90" s="52"/>
      <c r="TBG90" s="52"/>
      <c r="TCD90" s="52"/>
      <c r="TDA90" s="52"/>
      <c r="TDX90" s="52"/>
      <c r="TEU90" s="52"/>
      <c r="TFR90" s="52"/>
      <c r="TGO90" s="52"/>
      <c r="THL90" s="52"/>
      <c r="TII90" s="52"/>
      <c r="TJF90" s="52"/>
      <c r="TKC90" s="52"/>
      <c r="TKZ90" s="52"/>
      <c r="TLW90" s="52"/>
      <c r="TMT90" s="52"/>
      <c r="TNQ90" s="52"/>
      <c r="TON90" s="52"/>
      <c r="TPK90" s="52"/>
      <c r="TQH90" s="52"/>
      <c r="TRE90" s="52"/>
      <c r="TSB90" s="52"/>
      <c r="TSY90" s="52"/>
      <c r="TTV90" s="52"/>
      <c r="TUS90" s="52"/>
      <c r="TVP90" s="52"/>
      <c r="TWM90" s="52"/>
      <c r="TXJ90" s="52"/>
      <c r="TYG90" s="52"/>
      <c r="TZD90" s="52"/>
      <c r="UAA90" s="52"/>
      <c r="UAX90" s="52"/>
      <c r="UBU90" s="52"/>
      <c r="UCR90" s="52"/>
      <c r="UDO90" s="52"/>
      <c r="UEL90" s="52"/>
      <c r="UFI90" s="52"/>
      <c r="UGF90" s="52"/>
      <c r="UHC90" s="52"/>
      <c r="UHZ90" s="52"/>
      <c r="UIW90" s="52"/>
      <c r="UJT90" s="52"/>
      <c r="UKQ90" s="52"/>
      <c r="ULN90" s="52"/>
      <c r="UMK90" s="52"/>
      <c r="UNH90" s="52"/>
      <c r="UOE90" s="52"/>
      <c r="UPB90" s="52"/>
      <c r="UPY90" s="52"/>
      <c r="UQV90" s="52"/>
      <c r="URS90" s="52"/>
      <c r="USP90" s="52"/>
      <c r="UTM90" s="52"/>
      <c r="UUJ90" s="52"/>
      <c r="UVG90" s="52"/>
      <c r="UWD90" s="52"/>
      <c r="UXA90" s="52"/>
      <c r="UXX90" s="52"/>
      <c r="UYU90" s="52"/>
      <c r="UZR90" s="52"/>
      <c r="VAO90" s="52"/>
      <c r="VBL90" s="52"/>
      <c r="VCI90" s="52"/>
      <c r="VDF90" s="52"/>
      <c r="VEC90" s="52"/>
      <c r="VEZ90" s="52"/>
      <c r="VFW90" s="52"/>
      <c r="VGT90" s="52"/>
      <c r="VHQ90" s="52"/>
      <c r="VIN90" s="52"/>
      <c r="VJK90" s="52"/>
      <c r="VKH90" s="52"/>
      <c r="VLE90" s="52"/>
      <c r="VMB90" s="52"/>
      <c r="VMY90" s="52"/>
      <c r="VNV90" s="52"/>
      <c r="VOS90" s="52"/>
      <c r="VPP90" s="52"/>
      <c r="VQM90" s="52"/>
      <c r="VRJ90" s="52"/>
      <c r="VSG90" s="52"/>
      <c r="VTD90" s="52"/>
      <c r="VUA90" s="52"/>
      <c r="VUX90" s="52"/>
      <c r="VVU90" s="52"/>
      <c r="VWR90" s="52"/>
      <c r="VXO90" s="52"/>
      <c r="VYL90" s="52"/>
      <c r="VZI90" s="52"/>
      <c r="WAF90" s="52"/>
      <c r="WBC90" s="52"/>
      <c r="WBZ90" s="52"/>
      <c r="WCW90" s="52"/>
      <c r="WDT90" s="52"/>
      <c r="WEQ90" s="52"/>
      <c r="WFN90" s="52"/>
      <c r="WGK90" s="52"/>
      <c r="WHH90" s="52"/>
      <c r="WIE90" s="52"/>
      <c r="WJB90" s="52"/>
      <c r="WJY90" s="52"/>
      <c r="WKV90" s="52"/>
      <c r="WLS90" s="52"/>
      <c r="WMP90" s="52"/>
      <c r="WNM90" s="52"/>
      <c r="WOJ90" s="52"/>
      <c r="WPG90" s="52"/>
      <c r="WQD90" s="52"/>
      <c r="WRA90" s="52"/>
      <c r="WRX90" s="52"/>
      <c r="WSU90" s="52"/>
      <c r="WTR90" s="52"/>
      <c r="WUO90" s="52"/>
      <c r="WVL90" s="52"/>
      <c r="WWI90" s="52"/>
      <c r="WXF90" s="52"/>
      <c r="WYC90" s="52"/>
      <c r="WYZ90" s="52"/>
      <c r="WZW90" s="52"/>
      <c r="XAT90" s="52"/>
      <c r="XBQ90" s="52"/>
      <c r="XCN90" s="52"/>
      <c r="XDK90" s="52"/>
      <c r="XEH90" s="52"/>
    </row>
    <row r="91" spans="1:1021 1044:2033 2056:3068 3091:4080 4103:5115 5138:6127 6150:7162 7185:8174 8197:9209 9232:10221 10244:11256 11279:12268 12291:13303 13326:14315 14338:15350 15373:16362" x14ac:dyDescent="0.25">
      <c r="F91" s="21"/>
      <c r="I91" s="19"/>
      <c r="J91" s="19"/>
      <c r="K91" s="19"/>
      <c r="L91" s="19"/>
      <c r="M91" s="291"/>
      <c r="N91" s="19"/>
      <c r="O91" s="19"/>
      <c r="P91" s="21"/>
      <c r="Q91" s="21"/>
      <c r="R91" s="21">
        <f>+R89/Q89-1</f>
        <v>0</v>
      </c>
      <c r="S91" s="21"/>
      <c r="T91" s="21"/>
      <c r="U91" s="21">
        <f>+U89/T89-1</f>
        <v>0</v>
      </c>
      <c r="V91" s="21"/>
      <c r="W91" s="21"/>
      <c r="X91" s="21">
        <f>+X89/W89-1</f>
        <v>0</v>
      </c>
      <c r="Y91" s="21"/>
      <c r="Z91" s="21"/>
      <c r="AA91" s="21">
        <f>+AA89/Z89-1</f>
        <v>0</v>
      </c>
      <c r="AB91" s="21"/>
      <c r="AC91" s="21"/>
      <c r="AD91" s="21">
        <f t="shared" ref="AD91" si="439">+AD89/AC89-1</f>
        <v>0</v>
      </c>
      <c r="AE91" s="21"/>
      <c r="AF91" s="21"/>
      <c r="AG91" s="21">
        <f t="shared" ref="AG91" si="440">+AG89/AF89-1</f>
        <v>0</v>
      </c>
      <c r="AH91" s="21"/>
      <c r="AI91" s="21"/>
      <c r="AJ91" s="21">
        <f t="shared" ref="AJ91" si="441">+AJ89/AI89-1</f>
        <v>0</v>
      </c>
      <c r="AK91" s="21"/>
      <c r="AL91" s="21"/>
      <c r="AM91" s="21">
        <f t="shared" ref="AM91" si="442">+AM89/AL89-1</f>
        <v>0</v>
      </c>
      <c r="AN91" s="21"/>
      <c r="AO91" s="21"/>
      <c r="AP91" s="21">
        <f t="shared" ref="AP91" si="443">+AP89/AO89-1</f>
        <v>0</v>
      </c>
      <c r="AQ91" s="21"/>
      <c r="AR91" s="21"/>
      <c r="AS91" s="21">
        <f t="shared" ref="AS91" si="444">+AS89/AR89-1</f>
        <v>0</v>
      </c>
      <c r="AT91" s="21"/>
      <c r="AU91" s="21"/>
      <c r="AV91" s="21">
        <f t="shared" ref="AV91" si="445">+AV89/AU89-1</f>
        <v>0</v>
      </c>
      <c r="AW91" s="23"/>
      <c r="AX91" s="23"/>
      <c r="AY91" s="295"/>
    </row>
    <row r="92" spans="1:1021 1044:2033 2056:3068 3091:4080 4103:5115 5138:6127 6150:7162 7185:8174 8197:9209 9232:10221 10244:11256 11279:12268 12291:13303 13326:14315 14338:15350 15373:16362" x14ac:dyDescent="0.25">
      <c r="B92" s="12" t="s">
        <v>124</v>
      </c>
      <c r="I92" s="19"/>
      <c r="J92" s="19"/>
      <c r="K92" s="19"/>
      <c r="L92" s="19"/>
      <c r="M92" s="291"/>
      <c r="N92" s="19"/>
      <c r="O92" s="19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  <c r="AM92" s="21"/>
      <c r="AN92" s="21"/>
      <c r="AO92" s="21"/>
      <c r="AP92" s="21"/>
      <c r="AQ92" s="21"/>
      <c r="AR92" s="21"/>
      <c r="AS92" s="21"/>
      <c r="AT92" s="21"/>
      <c r="AU92" s="21"/>
      <c r="AV92" s="21"/>
      <c r="AW92" s="23"/>
      <c r="AX92" s="23"/>
      <c r="AY92" s="295"/>
    </row>
    <row r="93" spans="1:1021 1044:2033 2056:3068 3091:4080 4103:5115 5138:6127 6150:7162 7185:8174 8197:9209 9232:10221 10244:11256 11279:12268 12291:13303 13326:14315 14338:15350 15373:16362" x14ac:dyDescent="0.25">
      <c r="A93" s="8" t="s">
        <v>598</v>
      </c>
      <c r="B93" s="8" t="s">
        <v>125</v>
      </c>
      <c r="C93" s="22" t="s">
        <v>28</v>
      </c>
      <c r="F93" s="8">
        <v>0</v>
      </c>
      <c r="I93" s="45">
        <v>32.634999999999998</v>
      </c>
      <c r="J93" s="45">
        <v>22</v>
      </c>
      <c r="K93" s="19">
        <f>L93</f>
        <v>39.387</v>
      </c>
      <c r="L93" s="45">
        <v>39.387</v>
      </c>
      <c r="M93" s="446">
        <v>30.198</v>
      </c>
      <c r="N93" s="19">
        <f>O93</f>
        <v>40.439</v>
      </c>
      <c r="O93" s="45">
        <v>40.439</v>
      </c>
      <c r="P93" s="21">
        <f>+Assumptions!P417</f>
        <v>52.921729419691019</v>
      </c>
      <c r="Q93" s="21">
        <f>+Assumptions!Q417</f>
        <v>55.997826903475861</v>
      </c>
      <c r="R93" s="21">
        <f t="shared" ref="R93:R97" si="446">Q93</f>
        <v>55.997826903475861</v>
      </c>
      <c r="S93" s="21">
        <f>+Assumptions!S417</f>
        <v>64.241710641882378</v>
      </c>
      <c r="T93" s="21">
        <f>+Assumptions!T417</f>
        <v>68.09765656309014</v>
      </c>
      <c r="U93" s="21">
        <f t="shared" ref="U93:U97" si="447">T93</f>
        <v>68.09765656309014</v>
      </c>
      <c r="V93" s="21">
        <f>+Assumptions!V417</f>
        <v>78.464922365923854</v>
      </c>
      <c r="W93" s="21">
        <f>+Assumptions!W417</f>
        <v>82.720269174901702</v>
      </c>
      <c r="X93" s="21">
        <f t="shared" ref="X93:X97" si="448">W93</f>
        <v>82.720269174901702</v>
      </c>
      <c r="Y93" s="21">
        <f>+Assumptions!Y417</f>
        <v>92.581832813734977</v>
      </c>
      <c r="Z93" s="21">
        <f>+Assumptions!Z417</f>
        <v>97.334260809763677</v>
      </c>
      <c r="AA93" s="21">
        <f t="shared" ref="AA93:AA97" si="449">Z93</f>
        <v>97.334260809763677</v>
      </c>
      <c r="AB93" s="21">
        <f>+Assumptions!AB417</f>
        <v>107.48107557245859</v>
      </c>
      <c r="AC93" s="21">
        <f>+Assumptions!AC417</f>
        <v>112.46681108344767</v>
      </c>
      <c r="AD93" s="21">
        <f t="shared" ref="AD93:AD97" si="450">AC93</f>
        <v>112.46681108344767</v>
      </c>
      <c r="AE93" s="21">
        <f>+Assumptions!AE417</f>
        <v>123.14694484473544</v>
      </c>
      <c r="AF93" s="21">
        <f>+Assumptions!AF417</f>
        <v>128.68104482288038</v>
      </c>
      <c r="AG93" s="21">
        <f t="shared" ref="AG93:AG97" si="451">AF93</f>
        <v>128.68104482288038</v>
      </c>
      <c r="AH93" s="21">
        <f>+Assumptions!AH417</f>
        <v>140.11113763720516</v>
      </c>
      <c r="AI93" s="21">
        <f>+Assumptions!AI417</f>
        <v>146.23638406794112</v>
      </c>
      <c r="AJ93" s="21">
        <f t="shared" ref="AJ93:AJ97" si="452">AI93</f>
        <v>146.23638406794112</v>
      </c>
      <c r="AK93" s="21">
        <f>+Assumptions!AK417</f>
        <v>158.46424368392232</v>
      </c>
      <c r="AL93" s="21">
        <f>+Assumptions!AL417</f>
        <v>165.22625653699185</v>
      </c>
      <c r="AM93" s="21">
        <f t="shared" ref="AM93:AM97" si="453">AL93</f>
        <v>165.22625653699185</v>
      </c>
      <c r="AN93" s="21">
        <f>+Assumptions!AN417</f>
        <v>174.7573479550006</v>
      </c>
      <c r="AO93" s="21">
        <f>+Assumptions!AO417</f>
        <v>181.70625131777371</v>
      </c>
      <c r="AP93" s="21">
        <f t="shared" ref="AP93:AR97" si="454">AO93</f>
        <v>181.70625131777371</v>
      </c>
      <c r="AQ93" s="21">
        <f>+Assumptions!AQ417</f>
        <v>190.51761061723158</v>
      </c>
      <c r="AR93" s="21">
        <f>+Assumptions!AR417</f>
        <v>197.97680134525021</v>
      </c>
      <c r="AS93" s="21">
        <f t="shared" ref="AS93:AS97" si="455">AR93</f>
        <v>197.97680134525021</v>
      </c>
      <c r="AT93" s="21">
        <f>+Assumptions!AT417</f>
        <v>207.07030531925082</v>
      </c>
      <c r="AU93" s="21">
        <f>+Assumptions!AU417</f>
        <v>215.06429296632706</v>
      </c>
      <c r="AV93" s="21">
        <f t="shared" ref="AV93:AV97" si="456">AU93</f>
        <v>215.06429296632706</v>
      </c>
      <c r="AW93" s="23"/>
      <c r="AX93" s="23"/>
      <c r="AY93" s="295"/>
    </row>
    <row r="94" spans="1:1021 1044:2033 2056:3068 3091:4080 4103:5115 5138:6127 6150:7162 7185:8174 8197:9209 9232:10221 10244:11256 11279:12268 12291:13303 13326:14315 14338:15350 15373:16362" x14ac:dyDescent="0.25">
      <c r="B94" s="8" t="s">
        <v>126</v>
      </c>
      <c r="C94" s="22" t="s">
        <v>28</v>
      </c>
      <c r="F94" s="8">
        <v>0</v>
      </c>
      <c r="I94" s="45">
        <v>1.681</v>
      </c>
      <c r="J94" s="45">
        <v>2.4</v>
      </c>
      <c r="K94" s="19">
        <f t="shared" ref="K94:K97" si="457">L94</f>
        <v>2.0539999999999998</v>
      </c>
      <c r="L94" s="45">
        <v>2.0539999999999998</v>
      </c>
      <c r="M94" s="446">
        <v>1.397</v>
      </c>
      <c r="N94" s="19">
        <f t="shared" ref="N94:N97" si="458">O94</f>
        <v>2.2669999999999999</v>
      </c>
      <c r="O94" s="45">
        <v>2.2669999999999999</v>
      </c>
      <c r="P94" s="483">
        <f>O94</f>
        <v>2.2669999999999999</v>
      </c>
      <c r="Q94" s="483">
        <f>P94</f>
        <v>2.2669999999999999</v>
      </c>
      <c r="R94" s="483">
        <f t="shared" si="446"/>
        <v>2.2669999999999999</v>
      </c>
      <c r="S94" s="483">
        <f>R94</f>
        <v>2.2669999999999999</v>
      </c>
      <c r="T94" s="483">
        <f>S94</f>
        <v>2.2669999999999999</v>
      </c>
      <c r="U94" s="483">
        <f t="shared" si="447"/>
        <v>2.2669999999999999</v>
      </c>
      <c r="V94" s="483">
        <f>U94</f>
        <v>2.2669999999999999</v>
      </c>
      <c r="W94" s="483">
        <f>V94</f>
        <v>2.2669999999999999</v>
      </c>
      <c r="X94" s="483">
        <f t="shared" si="448"/>
        <v>2.2669999999999999</v>
      </c>
      <c r="Y94" s="483">
        <f>X94</f>
        <v>2.2669999999999999</v>
      </c>
      <c r="Z94" s="483">
        <f>Y94</f>
        <v>2.2669999999999999</v>
      </c>
      <c r="AA94" s="483">
        <f t="shared" si="449"/>
        <v>2.2669999999999999</v>
      </c>
      <c r="AB94" s="483">
        <f t="shared" ref="AB94:AC94" si="459">AA94</f>
        <v>2.2669999999999999</v>
      </c>
      <c r="AC94" s="483">
        <f t="shared" si="459"/>
        <v>2.2669999999999999</v>
      </c>
      <c r="AD94" s="483">
        <f t="shared" si="450"/>
        <v>2.2669999999999999</v>
      </c>
      <c r="AE94" s="483">
        <f t="shared" ref="AE94:AF94" si="460">AD94</f>
        <v>2.2669999999999999</v>
      </c>
      <c r="AF94" s="483">
        <f t="shared" si="460"/>
        <v>2.2669999999999999</v>
      </c>
      <c r="AG94" s="483">
        <f t="shared" si="451"/>
        <v>2.2669999999999999</v>
      </c>
      <c r="AH94" s="483">
        <f t="shared" ref="AH94:AI94" si="461">AG94</f>
        <v>2.2669999999999999</v>
      </c>
      <c r="AI94" s="483">
        <f t="shared" si="461"/>
        <v>2.2669999999999999</v>
      </c>
      <c r="AJ94" s="483">
        <f t="shared" si="452"/>
        <v>2.2669999999999999</v>
      </c>
      <c r="AK94" s="483">
        <f t="shared" ref="AK94:AL94" si="462">AJ94</f>
        <v>2.2669999999999999</v>
      </c>
      <c r="AL94" s="483">
        <f t="shared" si="462"/>
        <v>2.2669999999999999</v>
      </c>
      <c r="AM94" s="483">
        <f t="shared" si="453"/>
        <v>2.2669999999999999</v>
      </c>
      <c r="AN94" s="483">
        <f t="shared" ref="AN94:AO94" si="463">AM94</f>
        <v>2.2669999999999999</v>
      </c>
      <c r="AO94" s="483">
        <f t="shared" si="463"/>
        <v>2.2669999999999999</v>
      </c>
      <c r="AP94" s="483">
        <f t="shared" si="454"/>
        <v>2.2669999999999999</v>
      </c>
      <c r="AQ94" s="483">
        <f t="shared" si="454"/>
        <v>2.2669999999999999</v>
      </c>
      <c r="AR94" s="483">
        <f t="shared" si="454"/>
        <v>2.2669999999999999</v>
      </c>
      <c r="AS94" s="483">
        <f t="shared" si="455"/>
        <v>2.2669999999999999</v>
      </c>
      <c r="AT94" s="483">
        <f t="shared" ref="AT94:AT95" si="464">AS94</f>
        <v>2.2669999999999999</v>
      </c>
      <c r="AU94" s="483">
        <f t="shared" ref="AU94:AU95" si="465">AT94</f>
        <v>2.2669999999999999</v>
      </c>
      <c r="AV94" s="483">
        <f t="shared" si="456"/>
        <v>2.2669999999999999</v>
      </c>
      <c r="AW94" s="23"/>
      <c r="AX94" s="23"/>
      <c r="AY94" s="295"/>
    </row>
    <row r="95" spans="1:1021 1044:2033 2056:3068 3091:4080 4103:5115 5138:6127 6150:7162 7185:8174 8197:9209 9232:10221 10244:11256 11279:12268 12291:13303 13326:14315 14338:15350 15373:16362" x14ac:dyDescent="0.25">
      <c r="B95" s="8" t="s">
        <v>127</v>
      </c>
      <c r="C95" s="22" t="s">
        <v>28</v>
      </c>
      <c r="F95" s="8">
        <v>0</v>
      </c>
      <c r="I95" s="45">
        <v>20.164999999999999</v>
      </c>
      <c r="J95" s="45">
        <v>20</v>
      </c>
      <c r="K95" s="19">
        <f t="shared" si="457"/>
        <v>22.201000000000001</v>
      </c>
      <c r="L95" s="45">
        <v>22.201000000000001</v>
      </c>
      <c r="M95" s="446">
        <v>19.687000000000001</v>
      </c>
      <c r="N95" s="19">
        <f t="shared" si="458"/>
        <v>23.652000000000001</v>
      </c>
      <c r="O95" s="45">
        <v>23.652000000000001</v>
      </c>
      <c r="P95" s="483">
        <f>O95</f>
        <v>23.652000000000001</v>
      </c>
      <c r="Q95" s="483">
        <f>P95</f>
        <v>23.652000000000001</v>
      </c>
      <c r="R95" s="483">
        <f t="shared" si="446"/>
        <v>23.652000000000001</v>
      </c>
      <c r="S95" s="483">
        <f>R95</f>
        <v>23.652000000000001</v>
      </c>
      <c r="T95" s="483">
        <f>S95</f>
        <v>23.652000000000001</v>
      </c>
      <c r="U95" s="483">
        <f t="shared" si="447"/>
        <v>23.652000000000001</v>
      </c>
      <c r="V95" s="483">
        <f>U95</f>
        <v>23.652000000000001</v>
      </c>
      <c r="W95" s="483">
        <f>V95</f>
        <v>23.652000000000001</v>
      </c>
      <c r="X95" s="483">
        <f t="shared" si="448"/>
        <v>23.652000000000001</v>
      </c>
      <c r="Y95" s="483">
        <f>X95</f>
        <v>23.652000000000001</v>
      </c>
      <c r="Z95" s="483">
        <f>Y95</f>
        <v>23.652000000000001</v>
      </c>
      <c r="AA95" s="483">
        <f t="shared" si="449"/>
        <v>23.652000000000001</v>
      </c>
      <c r="AB95" s="483">
        <f t="shared" ref="AB95:AC95" si="466">AA95</f>
        <v>23.652000000000001</v>
      </c>
      <c r="AC95" s="483">
        <f t="shared" si="466"/>
        <v>23.652000000000001</v>
      </c>
      <c r="AD95" s="483">
        <f t="shared" si="450"/>
        <v>23.652000000000001</v>
      </c>
      <c r="AE95" s="483">
        <f t="shared" ref="AE95:AF95" si="467">AD95</f>
        <v>23.652000000000001</v>
      </c>
      <c r="AF95" s="483">
        <f t="shared" si="467"/>
        <v>23.652000000000001</v>
      </c>
      <c r="AG95" s="483">
        <f t="shared" si="451"/>
        <v>23.652000000000001</v>
      </c>
      <c r="AH95" s="483">
        <f t="shared" ref="AH95:AI95" si="468">AG95</f>
        <v>23.652000000000001</v>
      </c>
      <c r="AI95" s="483">
        <f t="shared" si="468"/>
        <v>23.652000000000001</v>
      </c>
      <c r="AJ95" s="483">
        <f t="shared" si="452"/>
        <v>23.652000000000001</v>
      </c>
      <c r="AK95" s="483">
        <f t="shared" ref="AK95:AL95" si="469">AJ95</f>
        <v>23.652000000000001</v>
      </c>
      <c r="AL95" s="483">
        <f t="shared" si="469"/>
        <v>23.652000000000001</v>
      </c>
      <c r="AM95" s="483">
        <f t="shared" si="453"/>
        <v>23.652000000000001</v>
      </c>
      <c r="AN95" s="483">
        <f t="shared" ref="AN95:AO95" si="470">AM95</f>
        <v>23.652000000000001</v>
      </c>
      <c r="AO95" s="483">
        <f t="shared" si="470"/>
        <v>23.652000000000001</v>
      </c>
      <c r="AP95" s="483">
        <f t="shared" si="454"/>
        <v>23.652000000000001</v>
      </c>
      <c r="AQ95" s="483">
        <f t="shared" si="454"/>
        <v>23.652000000000001</v>
      </c>
      <c r="AR95" s="483">
        <f t="shared" si="454"/>
        <v>23.652000000000001</v>
      </c>
      <c r="AS95" s="483">
        <f t="shared" si="455"/>
        <v>23.652000000000001</v>
      </c>
      <c r="AT95" s="483">
        <f t="shared" si="464"/>
        <v>23.652000000000001</v>
      </c>
      <c r="AU95" s="483">
        <f t="shared" si="465"/>
        <v>23.652000000000001</v>
      </c>
      <c r="AV95" s="483">
        <f t="shared" si="456"/>
        <v>23.652000000000001</v>
      </c>
      <c r="AW95" s="23"/>
      <c r="AX95" s="23"/>
      <c r="AY95" s="295"/>
    </row>
    <row r="96" spans="1:1021 1044:2033 2056:3068 3091:4080 4103:5115 5138:6127 6150:7162 7185:8174 8197:9209 9232:10221 10244:11256 11279:12268 12291:13303 13326:14315 14338:15350 15373:16362" x14ac:dyDescent="0.25">
      <c r="B96" s="8" t="s">
        <v>128</v>
      </c>
      <c r="C96" s="22" t="s">
        <v>28</v>
      </c>
      <c r="F96" s="8">
        <v>0</v>
      </c>
      <c r="I96" s="45">
        <v>3.6360000000000001</v>
      </c>
      <c r="J96" s="45">
        <v>9.6999999999999993</v>
      </c>
      <c r="K96" s="19">
        <f t="shared" si="457"/>
        <v>10.138</v>
      </c>
      <c r="L96" s="45">
        <v>10.138</v>
      </c>
      <c r="M96" s="446">
        <v>4.7039999999999997</v>
      </c>
      <c r="N96" s="19">
        <f t="shared" si="458"/>
        <v>8.9160000000000004</v>
      </c>
      <c r="O96" s="45">
        <v>8.9160000000000004</v>
      </c>
      <c r="P96" s="483">
        <f>+O96</f>
        <v>8.9160000000000004</v>
      </c>
      <c r="Q96" s="483">
        <f>+P96</f>
        <v>8.9160000000000004</v>
      </c>
      <c r="R96" s="483">
        <f t="shared" si="446"/>
        <v>8.9160000000000004</v>
      </c>
      <c r="S96" s="483">
        <f>+R96</f>
        <v>8.9160000000000004</v>
      </c>
      <c r="T96" s="483">
        <f>+S96</f>
        <v>8.9160000000000004</v>
      </c>
      <c r="U96" s="483">
        <f t="shared" si="447"/>
        <v>8.9160000000000004</v>
      </c>
      <c r="V96" s="483">
        <f>+U96</f>
        <v>8.9160000000000004</v>
      </c>
      <c r="W96" s="483">
        <f>+V96</f>
        <v>8.9160000000000004</v>
      </c>
      <c r="X96" s="483">
        <f t="shared" si="448"/>
        <v>8.9160000000000004</v>
      </c>
      <c r="Y96" s="483">
        <f>+X96</f>
        <v>8.9160000000000004</v>
      </c>
      <c r="Z96" s="483">
        <f>+Y96</f>
        <v>8.9160000000000004</v>
      </c>
      <c r="AA96" s="483">
        <f t="shared" si="449"/>
        <v>8.9160000000000004</v>
      </c>
      <c r="AB96" s="483">
        <f t="shared" ref="AB96:AC96" si="471">+AA96</f>
        <v>8.9160000000000004</v>
      </c>
      <c r="AC96" s="483">
        <f t="shared" si="471"/>
        <v>8.9160000000000004</v>
      </c>
      <c r="AD96" s="483">
        <f t="shared" si="450"/>
        <v>8.9160000000000004</v>
      </c>
      <c r="AE96" s="483">
        <f t="shared" ref="AE96:AF96" si="472">+AD96</f>
        <v>8.9160000000000004</v>
      </c>
      <c r="AF96" s="483">
        <f t="shared" si="472"/>
        <v>8.9160000000000004</v>
      </c>
      <c r="AG96" s="483">
        <f t="shared" si="451"/>
        <v>8.9160000000000004</v>
      </c>
      <c r="AH96" s="483">
        <f t="shared" ref="AH96:AI96" si="473">+AG96</f>
        <v>8.9160000000000004</v>
      </c>
      <c r="AI96" s="483">
        <f t="shared" si="473"/>
        <v>8.9160000000000004</v>
      </c>
      <c r="AJ96" s="483">
        <f t="shared" si="452"/>
        <v>8.9160000000000004</v>
      </c>
      <c r="AK96" s="483">
        <f t="shared" ref="AK96:AL96" si="474">+AJ96</f>
        <v>8.9160000000000004</v>
      </c>
      <c r="AL96" s="483">
        <f t="shared" si="474"/>
        <v>8.9160000000000004</v>
      </c>
      <c r="AM96" s="483">
        <f t="shared" si="453"/>
        <v>8.9160000000000004</v>
      </c>
      <c r="AN96" s="483">
        <f t="shared" ref="AN96:AO96" si="475">+AM96</f>
        <v>8.9160000000000004</v>
      </c>
      <c r="AO96" s="483">
        <f t="shared" si="475"/>
        <v>8.9160000000000004</v>
      </c>
      <c r="AP96" s="483">
        <f t="shared" si="454"/>
        <v>8.9160000000000004</v>
      </c>
      <c r="AQ96" s="483">
        <f t="shared" ref="AQ96:AR96" si="476">+AP96</f>
        <v>8.9160000000000004</v>
      </c>
      <c r="AR96" s="483">
        <f t="shared" si="476"/>
        <v>8.9160000000000004</v>
      </c>
      <c r="AS96" s="483">
        <f t="shared" si="455"/>
        <v>8.9160000000000004</v>
      </c>
      <c r="AT96" s="483">
        <f t="shared" ref="AT96:AT97" si="477">+AS96</f>
        <v>8.9160000000000004</v>
      </c>
      <c r="AU96" s="483">
        <f t="shared" ref="AU96:AU97" si="478">+AT96</f>
        <v>8.9160000000000004</v>
      </c>
      <c r="AV96" s="483">
        <f t="shared" si="456"/>
        <v>8.9160000000000004</v>
      </c>
      <c r="AW96" s="23"/>
      <c r="AX96" s="23"/>
      <c r="AY96" s="295"/>
    </row>
    <row r="97" spans="1:1021 1044:2033 2056:3068 3091:4080 4103:5115 5138:6127 6150:7162 7185:8174 8197:9209 9232:10221 10244:11256 11279:12268 12291:13303 13326:14315 14338:15350 15373:16362" x14ac:dyDescent="0.25">
      <c r="B97" s="8" t="s">
        <v>129</v>
      </c>
      <c r="C97" s="22" t="s">
        <v>28</v>
      </c>
      <c r="F97" s="8">
        <v>0</v>
      </c>
      <c r="I97" s="45">
        <v>8.3490000000000002</v>
      </c>
      <c r="J97" s="45">
        <v>5.4</v>
      </c>
      <c r="K97" s="19">
        <f t="shared" si="457"/>
        <v>10.507</v>
      </c>
      <c r="L97" s="45">
        <v>10.507</v>
      </c>
      <c r="M97" s="446">
        <v>9.7249999999999996</v>
      </c>
      <c r="N97" s="19">
        <f t="shared" si="458"/>
        <v>10.766</v>
      </c>
      <c r="O97" s="45">
        <v>10.766</v>
      </c>
      <c r="P97" s="483">
        <f>+O97</f>
        <v>10.766</v>
      </c>
      <c r="Q97" s="483">
        <f>+P97</f>
        <v>10.766</v>
      </c>
      <c r="R97" s="483">
        <f t="shared" si="446"/>
        <v>10.766</v>
      </c>
      <c r="S97" s="483">
        <f>+R97</f>
        <v>10.766</v>
      </c>
      <c r="T97" s="483">
        <f>+S97</f>
        <v>10.766</v>
      </c>
      <c r="U97" s="483">
        <f t="shared" si="447"/>
        <v>10.766</v>
      </c>
      <c r="V97" s="483">
        <f>+U97</f>
        <v>10.766</v>
      </c>
      <c r="W97" s="483">
        <f>+V97</f>
        <v>10.766</v>
      </c>
      <c r="X97" s="483">
        <f t="shared" si="448"/>
        <v>10.766</v>
      </c>
      <c r="Y97" s="483">
        <f>+X97</f>
        <v>10.766</v>
      </c>
      <c r="Z97" s="483">
        <f>+Y97</f>
        <v>10.766</v>
      </c>
      <c r="AA97" s="483">
        <f t="shared" si="449"/>
        <v>10.766</v>
      </c>
      <c r="AB97" s="483">
        <f t="shared" ref="AB97:AC97" si="479">+AA97</f>
        <v>10.766</v>
      </c>
      <c r="AC97" s="483">
        <f t="shared" si="479"/>
        <v>10.766</v>
      </c>
      <c r="AD97" s="483">
        <f t="shared" si="450"/>
        <v>10.766</v>
      </c>
      <c r="AE97" s="483">
        <f t="shared" ref="AE97:AF97" si="480">+AD97</f>
        <v>10.766</v>
      </c>
      <c r="AF97" s="483">
        <f t="shared" si="480"/>
        <v>10.766</v>
      </c>
      <c r="AG97" s="483">
        <f t="shared" si="451"/>
        <v>10.766</v>
      </c>
      <c r="AH97" s="483">
        <f t="shared" ref="AH97:AI97" si="481">+AG97</f>
        <v>10.766</v>
      </c>
      <c r="AI97" s="483">
        <f t="shared" si="481"/>
        <v>10.766</v>
      </c>
      <c r="AJ97" s="483">
        <f t="shared" si="452"/>
        <v>10.766</v>
      </c>
      <c r="AK97" s="483">
        <f t="shared" ref="AK97:AL97" si="482">+AJ97</f>
        <v>10.766</v>
      </c>
      <c r="AL97" s="483">
        <f t="shared" si="482"/>
        <v>10.766</v>
      </c>
      <c r="AM97" s="483">
        <f t="shared" si="453"/>
        <v>10.766</v>
      </c>
      <c r="AN97" s="483">
        <f t="shared" ref="AN97:AO97" si="483">+AM97</f>
        <v>10.766</v>
      </c>
      <c r="AO97" s="483">
        <f t="shared" si="483"/>
        <v>10.766</v>
      </c>
      <c r="AP97" s="483">
        <f t="shared" si="454"/>
        <v>10.766</v>
      </c>
      <c r="AQ97" s="483">
        <f t="shared" ref="AQ97:AR97" si="484">+AP97</f>
        <v>10.766</v>
      </c>
      <c r="AR97" s="483">
        <f t="shared" si="484"/>
        <v>10.766</v>
      </c>
      <c r="AS97" s="483">
        <f t="shared" si="455"/>
        <v>10.766</v>
      </c>
      <c r="AT97" s="483">
        <f t="shared" si="477"/>
        <v>10.766</v>
      </c>
      <c r="AU97" s="483">
        <f t="shared" si="478"/>
        <v>10.766</v>
      </c>
      <c r="AV97" s="483">
        <f t="shared" si="456"/>
        <v>10.766</v>
      </c>
      <c r="AW97" s="23"/>
      <c r="AX97" s="23"/>
      <c r="AY97" s="295"/>
    </row>
    <row r="98" spans="1:1021 1044:2033 2056:3068 3091:4080 4103:5115 5138:6127 6150:7162 7185:8174 8197:9209 9232:10221 10244:11256 11279:12268 12291:13303 13326:14315 14338:15350 15373:16362" s="12" customFormat="1" x14ac:dyDescent="0.25">
      <c r="B98" s="12" t="s">
        <v>130</v>
      </c>
      <c r="C98" s="22" t="s">
        <v>28</v>
      </c>
      <c r="F98" s="63">
        <f t="shared" ref="F98" si="485">SUM(F93:F97)</f>
        <v>0</v>
      </c>
      <c r="I98" s="52">
        <f t="shared" ref="I98:T98" si="486">SUM(I93:I97)</f>
        <v>66.465999999999994</v>
      </c>
      <c r="J98" s="52">
        <f>SUM(J93:J97)</f>
        <v>59.499999999999993</v>
      </c>
      <c r="K98" s="19">
        <f>L98</f>
        <v>84.287000000000006</v>
      </c>
      <c r="L98" s="52">
        <f t="shared" si="486"/>
        <v>84.287000000000006</v>
      </c>
      <c r="M98" s="424">
        <f t="shared" ref="M98" si="487">SUM(M93:M97)</f>
        <v>65.710999999999999</v>
      </c>
      <c r="N98" s="52">
        <f>O98</f>
        <v>86.04</v>
      </c>
      <c r="O98" s="52">
        <f t="shared" ref="O98" si="488">SUM(O93:O97)</f>
        <v>86.04</v>
      </c>
      <c r="P98" s="63">
        <f t="shared" ref="P98:R98" si="489">SUM(P93:P97)</f>
        <v>98.522729419691032</v>
      </c>
      <c r="Q98" s="63">
        <f t="shared" si="489"/>
        <v>101.59882690347587</v>
      </c>
      <c r="R98" s="63">
        <f t="shared" si="489"/>
        <v>101.59882690347587</v>
      </c>
      <c r="S98" s="63">
        <f t="shared" si="486"/>
        <v>109.84271064188238</v>
      </c>
      <c r="T98" s="63">
        <f t="shared" si="486"/>
        <v>113.69865656309014</v>
      </c>
      <c r="U98" s="63">
        <f t="shared" ref="U98" si="490">SUM(U93:U97)</f>
        <v>113.69865656309014</v>
      </c>
      <c r="V98" s="63">
        <f t="shared" ref="V98:X98" si="491">SUM(V93:V97)</f>
        <v>124.06592236592385</v>
      </c>
      <c r="W98" s="63">
        <f t="shared" si="491"/>
        <v>128.32126917490169</v>
      </c>
      <c r="X98" s="63">
        <f t="shared" si="491"/>
        <v>128.32126917490169</v>
      </c>
      <c r="Y98" s="63">
        <f t="shared" ref="Y98:AA98" si="492">SUM(Y93:Y97)</f>
        <v>138.18283281373496</v>
      </c>
      <c r="Z98" s="63">
        <f t="shared" si="492"/>
        <v>142.93526080976366</v>
      </c>
      <c r="AA98" s="63">
        <f t="shared" si="492"/>
        <v>142.93526080976366</v>
      </c>
      <c r="AB98" s="63">
        <f t="shared" ref="AB98:AP98" si="493">SUM(AB93:AB97)</f>
        <v>153.08207557245859</v>
      </c>
      <c r="AC98" s="63">
        <f t="shared" si="493"/>
        <v>158.06781108344765</v>
      </c>
      <c r="AD98" s="63">
        <f t="shared" si="493"/>
        <v>158.06781108344765</v>
      </c>
      <c r="AE98" s="63">
        <f t="shared" si="493"/>
        <v>168.74794484473543</v>
      </c>
      <c r="AF98" s="63">
        <f t="shared" si="493"/>
        <v>174.28204482288035</v>
      </c>
      <c r="AG98" s="63">
        <f t="shared" si="493"/>
        <v>174.28204482288035</v>
      </c>
      <c r="AH98" s="63">
        <f t="shared" si="493"/>
        <v>185.71213763720513</v>
      </c>
      <c r="AI98" s="63">
        <f t="shared" si="493"/>
        <v>191.83738406794109</v>
      </c>
      <c r="AJ98" s="63">
        <f t="shared" si="493"/>
        <v>191.83738406794109</v>
      </c>
      <c r="AK98" s="63">
        <f t="shared" si="493"/>
        <v>204.06524368392232</v>
      </c>
      <c r="AL98" s="63">
        <f t="shared" si="493"/>
        <v>210.82725653699183</v>
      </c>
      <c r="AM98" s="63">
        <f t="shared" si="493"/>
        <v>210.82725653699183</v>
      </c>
      <c r="AN98" s="63">
        <f t="shared" si="493"/>
        <v>220.3583479550006</v>
      </c>
      <c r="AO98" s="63">
        <f t="shared" si="493"/>
        <v>227.30725131777368</v>
      </c>
      <c r="AP98" s="63">
        <f t="shared" si="493"/>
        <v>227.30725131777368</v>
      </c>
      <c r="AQ98" s="63">
        <f t="shared" ref="AQ98:AS98" si="494">SUM(AQ93:AQ97)</f>
        <v>236.11861061723155</v>
      </c>
      <c r="AR98" s="63">
        <f t="shared" si="494"/>
        <v>243.57780134525021</v>
      </c>
      <c r="AS98" s="63">
        <f t="shared" si="494"/>
        <v>243.57780134525021</v>
      </c>
      <c r="AT98" s="63">
        <f t="shared" ref="AT98:AV98" si="495">SUM(AT93:AT97)</f>
        <v>252.67130531925082</v>
      </c>
      <c r="AU98" s="63">
        <f t="shared" si="495"/>
        <v>260.66529296632706</v>
      </c>
      <c r="AV98" s="63">
        <f t="shared" si="495"/>
        <v>260.66529296632706</v>
      </c>
      <c r="AW98" s="23"/>
      <c r="AX98" s="23"/>
      <c r="AY98" s="295"/>
      <c r="AZ98"/>
      <c r="BA98"/>
      <c r="BB98"/>
      <c r="BC98"/>
      <c r="BD98"/>
      <c r="BE98"/>
      <c r="BZ98" s="52"/>
      <c r="CW98" s="52"/>
      <c r="DT98" s="52"/>
      <c r="EQ98" s="52"/>
      <c r="FN98" s="52"/>
      <c r="GK98" s="52"/>
      <c r="HH98" s="52"/>
      <c r="IE98" s="52"/>
      <c r="JB98" s="52"/>
      <c r="JY98" s="52"/>
      <c r="KV98" s="52"/>
      <c r="LS98" s="52"/>
      <c r="MP98" s="52"/>
      <c r="NM98" s="52"/>
      <c r="OJ98" s="52"/>
      <c r="PG98" s="52"/>
      <c r="QD98" s="52"/>
      <c r="RA98" s="52"/>
      <c r="RX98" s="52"/>
      <c r="SU98" s="52"/>
      <c r="TR98" s="52"/>
      <c r="UO98" s="52"/>
      <c r="VL98" s="52"/>
      <c r="WI98" s="52"/>
      <c r="XF98" s="52"/>
      <c r="YC98" s="52"/>
      <c r="YZ98" s="52"/>
      <c r="ZW98" s="52"/>
      <c r="AAT98" s="52"/>
      <c r="ABQ98" s="52"/>
      <c r="ACN98" s="52"/>
      <c r="ADK98" s="52"/>
      <c r="AEH98" s="52"/>
      <c r="AFE98" s="52"/>
      <c r="AGB98" s="52"/>
      <c r="AGY98" s="52"/>
      <c r="AHV98" s="52"/>
      <c r="AIS98" s="52"/>
      <c r="AJP98" s="52"/>
      <c r="AKM98" s="52"/>
      <c r="ALJ98" s="52"/>
      <c r="AMG98" s="52"/>
      <c r="AND98" s="52"/>
      <c r="AOA98" s="52"/>
      <c r="AOX98" s="52"/>
      <c r="APU98" s="52"/>
      <c r="AQR98" s="52"/>
      <c r="ARO98" s="52"/>
      <c r="ASL98" s="52"/>
      <c r="ATI98" s="52"/>
      <c r="AUF98" s="52"/>
      <c r="AVC98" s="52"/>
      <c r="AVZ98" s="52"/>
      <c r="AWW98" s="52"/>
      <c r="AXT98" s="52"/>
      <c r="AYQ98" s="52"/>
      <c r="AZN98" s="52"/>
      <c r="BAK98" s="52"/>
      <c r="BBH98" s="52"/>
      <c r="BCE98" s="52"/>
      <c r="BDB98" s="52"/>
      <c r="BDY98" s="52"/>
      <c r="BEV98" s="52"/>
      <c r="BFS98" s="52"/>
      <c r="BGP98" s="52"/>
      <c r="BHM98" s="52"/>
      <c r="BIJ98" s="52"/>
      <c r="BJG98" s="52"/>
      <c r="BKD98" s="52"/>
      <c r="BLA98" s="52"/>
      <c r="BLX98" s="52"/>
      <c r="BMU98" s="52"/>
      <c r="BNR98" s="52"/>
      <c r="BOO98" s="52"/>
      <c r="BPL98" s="52"/>
      <c r="BQI98" s="52"/>
      <c r="BRF98" s="52"/>
      <c r="BSC98" s="52"/>
      <c r="BSZ98" s="52"/>
      <c r="BTW98" s="52"/>
      <c r="BUT98" s="52"/>
      <c r="BVQ98" s="52"/>
      <c r="BWN98" s="52"/>
      <c r="BXK98" s="52"/>
      <c r="BYH98" s="52"/>
      <c r="BZE98" s="52"/>
      <c r="CAB98" s="52"/>
      <c r="CAY98" s="52"/>
      <c r="CBV98" s="52"/>
      <c r="CCS98" s="52"/>
      <c r="CDP98" s="52"/>
      <c r="CEM98" s="52"/>
      <c r="CFJ98" s="52"/>
      <c r="CGG98" s="52"/>
      <c r="CHD98" s="52"/>
      <c r="CIA98" s="52"/>
      <c r="CIX98" s="52"/>
      <c r="CJU98" s="52"/>
      <c r="CKR98" s="52"/>
      <c r="CLO98" s="52"/>
      <c r="CML98" s="52"/>
      <c r="CNI98" s="52"/>
      <c r="COF98" s="52"/>
      <c r="CPC98" s="52"/>
      <c r="CPZ98" s="52"/>
      <c r="CQW98" s="52"/>
      <c r="CRT98" s="52"/>
      <c r="CSQ98" s="52"/>
      <c r="CTN98" s="52"/>
      <c r="CUK98" s="52"/>
      <c r="CVH98" s="52"/>
      <c r="CWE98" s="52"/>
      <c r="CXB98" s="52"/>
      <c r="CXY98" s="52"/>
      <c r="CYV98" s="52"/>
      <c r="CZS98" s="52"/>
      <c r="DAP98" s="52"/>
      <c r="DBM98" s="52"/>
      <c r="DCJ98" s="52"/>
      <c r="DDG98" s="52"/>
      <c r="DED98" s="52"/>
      <c r="DFA98" s="52"/>
      <c r="DFX98" s="52"/>
      <c r="DGU98" s="52"/>
      <c r="DHR98" s="52"/>
      <c r="DIO98" s="52"/>
      <c r="DJL98" s="52"/>
      <c r="DKI98" s="52"/>
      <c r="DLF98" s="52"/>
      <c r="DMC98" s="52"/>
      <c r="DMZ98" s="52"/>
      <c r="DNW98" s="52"/>
      <c r="DOT98" s="52"/>
      <c r="DPQ98" s="52"/>
      <c r="DQN98" s="52"/>
      <c r="DRK98" s="52"/>
      <c r="DSH98" s="52"/>
      <c r="DTE98" s="52"/>
      <c r="DUB98" s="52"/>
      <c r="DUY98" s="52"/>
      <c r="DVV98" s="52"/>
      <c r="DWS98" s="52"/>
      <c r="DXP98" s="52"/>
      <c r="DYM98" s="52"/>
      <c r="DZJ98" s="52"/>
      <c r="EAG98" s="52"/>
      <c r="EBD98" s="52"/>
      <c r="ECA98" s="52"/>
      <c r="ECX98" s="52"/>
      <c r="EDU98" s="52"/>
      <c r="EER98" s="52"/>
      <c r="EFO98" s="52"/>
      <c r="EGL98" s="52"/>
      <c r="EHI98" s="52"/>
      <c r="EIF98" s="52"/>
      <c r="EJC98" s="52"/>
      <c r="EJZ98" s="52"/>
      <c r="EKW98" s="52"/>
      <c r="ELT98" s="52"/>
      <c r="EMQ98" s="52"/>
      <c r="ENN98" s="52"/>
      <c r="EOK98" s="52"/>
      <c r="EPH98" s="52"/>
      <c r="EQE98" s="52"/>
      <c r="ERB98" s="52"/>
      <c r="ERY98" s="52"/>
      <c r="ESV98" s="52"/>
      <c r="ETS98" s="52"/>
      <c r="EUP98" s="52"/>
      <c r="EVM98" s="52"/>
      <c r="EWJ98" s="52"/>
      <c r="EXG98" s="52"/>
      <c r="EYD98" s="52"/>
      <c r="EZA98" s="52"/>
      <c r="EZX98" s="52"/>
      <c r="FAU98" s="52"/>
      <c r="FBR98" s="52"/>
      <c r="FCO98" s="52"/>
      <c r="FDL98" s="52"/>
      <c r="FEI98" s="52"/>
      <c r="FFF98" s="52"/>
      <c r="FGC98" s="52"/>
      <c r="FGZ98" s="52"/>
      <c r="FHW98" s="52"/>
      <c r="FIT98" s="52"/>
      <c r="FJQ98" s="52"/>
      <c r="FKN98" s="52"/>
      <c r="FLK98" s="52"/>
      <c r="FMH98" s="52"/>
      <c r="FNE98" s="52"/>
      <c r="FOB98" s="52"/>
      <c r="FOY98" s="52"/>
      <c r="FPV98" s="52"/>
      <c r="FQS98" s="52"/>
      <c r="FRP98" s="52"/>
      <c r="FSM98" s="52"/>
      <c r="FTJ98" s="52"/>
      <c r="FUG98" s="52"/>
      <c r="FVD98" s="52"/>
      <c r="FWA98" s="52"/>
      <c r="FWX98" s="52"/>
      <c r="FXU98" s="52"/>
      <c r="FYR98" s="52"/>
      <c r="FZO98" s="52"/>
      <c r="GAL98" s="52"/>
      <c r="GBI98" s="52"/>
      <c r="GCF98" s="52"/>
      <c r="GDC98" s="52"/>
      <c r="GDZ98" s="52"/>
      <c r="GEW98" s="52"/>
      <c r="GFT98" s="52"/>
      <c r="GGQ98" s="52"/>
      <c r="GHN98" s="52"/>
      <c r="GIK98" s="52"/>
      <c r="GJH98" s="52"/>
      <c r="GKE98" s="52"/>
      <c r="GLB98" s="52"/>
      <c r="GLY98" s="52"/>
      <c r="GMV98" s="52"/>
      <c r="GNS98" s="52"/>
      <c r="GOP98" s="52"/>
      <c r="GPM98" s="52"/>
      <c r="GQJ98" s="52"/>
      <c r="GRG98" s="52"/>
      <c r="GSD98" s="52"/>
      <c r="GTA98" s="52"/>
      <c r="GTX98" s="52"/>
      <c r="GUU98" s="52"/>
      <c r="GVR98" s="52"/>
      <c r="GWO98" s="52"/>
      <c r="GXL98" s="52"/>
      <c r="GYI98" s="52"/>
      <c r="GZF98" s="52"/>
      <c r="HAC98" s="52"/>
      <c r="HAZ98" s="52"/>
      <c r="HBW98" s="52"/>
      <c r="HCT98" s="52"/>
      <c r="HDQ98" s="52"/>
      <c r="HEN98" s="52"/>
      <c r="HFK98" s="52"/>
      <c r="HGH98" s="52"/>
      <c r="HHE98" s="52"/>
      <c r="HIB98" s="52"/>
      <c r="HIY98" s="52"/>
      <c r="HJV98" s="52"/>
      <c r="HKS98" s="52"/>
      <c r="HLP98" s="52"/>
      <c r="HMM98" s="52"/>
      <c r="HNJ98" s="52"/>
      <c r="HOG98" s="52"/>
      <c r="HPD98" s="52"/>
      <c r="HQA98" s="52"/>
      <c r="HQX98" s="52"/>
      <c r="HRU98" s="52"/>
      <c r="HSR98" s="52"/>
      <c r="HTO98" s="52"/>
      <c r="HUL98" s="52"/>
      <c r="HVI98" s="52"/>
      <c r="HWF98" s="52"/>
      <c r="HXC98" s="52"/>
      <c r="HXZ98" s="52"/>
      <c r="HYW98" s="52"/>
      <c r="HZT98" s="52"/>
      <c r="IAQ98" s="52"/>
      <c r="IBN98" s="52"/>
      <c r="ICK98" s="52"/>
      <c r="IDH98" s="52"/>
      <c r="IEE98" s="52"/>
      <c r="IFB98" s="52"/>
      <c r="IFY98" s="52"/>
      <c r="IGV98" s="52"/>
      <c r="IHS98" s="52"/>
      <c r="IIP98" s="52"/>
      <c r="IJM98" s="52"/>
      <c r="IKJ98" s="52"/>
      <c r="ILG98" s="52"/>
      <c r="IMD98" s="52"/>
      <c r="INA98" s="52"/>
      <c r="INX98" s="52"/>
      <c r="IOU98" s="52"/>
      <c r="IPR98" s="52"/>
      <c r="IQO98" s="52"/>
      <c r="IRL98" s="52"/>
      <c r="ISI98" s="52"/>
      <c r="ITF98" s="52"/>
      <c r="IUC98" s="52"/>
      <c r="IUZ98" s="52"/>
      <c r="IVW98" s="52"/>
      <c r="IWT98" s="52"/>
      <c r="IXQ98" s="52"/>
      <c r="IYN98" s="52"/>
      <c r="IZK98" s="52"/>
      <c r="JAH98" s="52"/>
      <c r="JBE98" s="52"/>
      <c r="JCB98" s="52"/>
      <c r="JCY98" s="52"/>
      <c r="JDV98" s="52"/>
      <c r="JES98" s="52"/>
      <c r="JFP98" s="52"/>
      <c r="JGM98" s="52"/>
      <c r="JHJ98" s="52"/>
      <c r="JIG98" s="52"/>
      <c r="JJD98" s="52"/>
      <c r="JKA98" s="52"/>
      <c r="JKX98" s="52"/>
      <c r="JLU98" s="52"/>
      <c r="JMR98" s="52"/>
      <c r="JNO98" s="52"/>
      <c r="JOL98" s="52"/>
      <c r="JPI98" s="52"/>
      <c r="JQF98" s="52"/>
      <c r="JRC98" s="52"/>
      <c r="JRZ98" s="52"/>
      <c r="JSW98" s="52"/>
      <c r="JTT98" s="52"/>
      <c r="JUQ98" s="52"/>
      <c r="JVN98" s="52"/>
      <c r="JWK98" s="52"/>
      <c r="JXH98" s="52"/>
      <c r="JYE98" s="52"/>
      <c r="JZB98" s="52"/>
      <c r="JZY98" s="52"/>
      <c r="KAV98" s="52"/>
      <c r="KBS98" s="52"/>
      <c r="KCP98" s="52"/>
      <c r="KDM98" s="52"/>
      <c r="KEJ98" s="52"/>
      <c r="KFG98" s="52"/>
      <c r="KGD98" s="52"/>
      <c r="KHA98" s="52"/>
      <c r="KHX98" s="52"/>
      <c r="KIU98" s="52"/>
      <c r="KJR98" s="52"/>
      <c r="KKO98" s="52"/>
      <c r="KLL98" s="52"/>
      <c r="KMI98" s="52"/>
      <c r="KNF98" s="52"/>
      <c r="KOC98" s="52"/>
      <c r="KOZ98" s="52"/>
      <c r="KPW98" s="52"/>
      <c r="KQT98" s="52"/>
      <c r="KRQ98" s="52"/>
      <c r="KSN98" s="52"/>
      <c r="KTK98" s="52"/>
      <c r="KUH98" s="52"/>
      <c r="KVE98" s="52"/>
      <c r="KWB98" s="52"/>
      <c r="KWY98" s="52"/>
      <c r="KXV98" s="52"/>
      <c r="KYS98" s="52"/>
      <c r="KZP98" s="52"/>
      <c r="LAM98" s="52"/>
      <c r="LBJ98" s="52"/>
      <c r="LCG98" s="52"/>
      <c r="LDD98" s="52"/>
      <c r="LEA98" s="52"/>
      <c r="LEX98" s="52"/>
      <c r="LFU98" s="52"/>
      <c r="LGR98" s="52"/>
      <c r="LHO98" s="52"/>
      <c r="LIL98" s="52"/>
      <c r="LJI98" s="52"/>
      <c r="LKF98" s="52"/>
      <c r="LLC98" s="52"/>
      <c r="LLZ98" s="52"/>
      <c r="LMW98" s="52"/>
      <c r="LNT98" s="52"/>
      <c r="LOQ98" s="52"/>
      <c r="LPN98" s="52"/>
      <c r="LQK98" s="52"/>
      <c r="LRH98" s="52"/>
      <c r="LSE98" s="52"/>
      <c r="LTB98" s="52"/>
      <c r="LTY98" s="52"/>
      <c r="LUV98" s="52"/>
      <c r="LVS98" s="52"/>
      <c r="LWP98" s="52"/>
      <c r="LXM98" s="52"/>
      <c r="LYJ98" s="52"/>
      <c r="LZG98" s="52"/>
      <c r="MAD98" s="52"/>
      <c r="MBA98" s="52"/>
      <c r="MBX98" s="52"/>
      <c r="MCU98" s="52"/>
      <c r="MDR98" s="52"/>
      <c r="MEO98" s="52"/>
      <c r="MFL98" s="52"/>
      <c r="MGI98" s="52"/>
      <c r="MHF98" s="52"/>
      <c r="MIC98" s="52"/>
      <c r="MIZ98" s="52"/>
      <c r="MJW98" s="52"/>
      <c r="MKT98" s="52"/>
      <c r="MLQ98" s="52"/>
      <c r="MMN98" s="52"/>
      <c r="MNK98" s="52"/>
      <c r="MOH98" s="52"/>
      <c r="MPE98" s="52"/>
      <c r="MQB98" s="52"/>
      <c r="MQY98" s="52"/>
      <c r="MRV98" s="52"/>
      <c r="MSS98" s="52"/>
      <c r="MTP98" s="52"/>
      <c r="MUM98" s="52"/>
      <c r="MVJ98" s="52"/>
      <c r="MWG98" s="52"/>
      <c r="MXD98" s="52"/>
      <c r="MYA98" s="52"/>
      <c r="MYX98" s="52"/>
      <c r="MZU98" s="52"/>
      <c r="NAR98" s="52"/>
      <c r="NBO98" s="52"/>
      <c r="NCL98" s="52"/>
      <c r="NDI98" s="52"/>
      <c r="NEF98" s="52"/>
      <c r="NFC98" s="52"/>
      <c r="NFZ98" s="52"/>
      <c r="NGW98" s="52"/>
      <c r="NHT98" s="52"/>
      <c r="NIQ98" s="52"/>
      <c r="NJN98" s="52"/>
      <c r="NKK98" s="52"/>
      <c r="NLH98" s="52"/>
      <c r="NME98" s="52"/>
      <c r="NNB98" s="52"/>
      <c r="NNY98" s="52"/>
      <c r="NOV98" s="52"/>
      <c r="NPS98" s="52"/>
      <c r="NQP98" s="52"/>
      <c r="NRM98" s="52"/>
      <c r="NSJ98" s="52"/>
      <c r="NTG98" s="52"/>
      <c r="NUD98" s="52"/>
      <c r="NVA98" s="52"/>
      <c r="NVX98" s="52"/>
      <c r="NWU98" s="52"/>
      <c r="NXR98" s="52"/>
      <c r="NYO98" s="52"/>
      <c r="NZL98" s="52"/>
      <c r="OAI98" s="52"/>
      <c r="OBF98" s="52"/>
      <c r="OCC98" s="52"/>
      <c r="OCZ98" s="52"/>
      <c r="ODW98" s="52"/>
      <c r="OET98" s="52"/>
      <c r="OFQ98" s="52"/>
      <c r="OGN98" s="52"/>
      <c r="OHK98" s="52"/>
      <c r="OIH98" s="52"/>
      <c r="OJE98" s="52"/>
      <c r="OKB98" s="52"/>
      <c r="OKY98" s="52"/>
      <c r="OLV98" s="52"/>
      <c r="OMS98" s="52"/>
      <c r="ONP98" s="52"/>
      <c r="OOM98" s="52"/>
      <c r="OPJ98" s="52"/>
      <c r="OQG98" s="52"/>
      <c r="ORD98" s="52"/>
      <c r="OSA98" s="52"/>
      <c r="OSX98" s="52"/>
      <c r="OTU98" s="52"/>
      <c r="OUR98" s="52"/>
      <c r="OVO98" s="52"/>
      <c r="OWL98" s="52"/>
      <c r="OXI98" s="52"/>
      <c r="OYF98" s="52"/>
      <c r="OZC98" s="52"/>
      <c r="OZZ98" s="52"/>
      <c r="PAW98" s="52"/>
      <c r="PBT98" s="52"/>
      <c r="PCQ98" s="52"/>
      <c r="PDN98" s="52"/>
      <c r="PEK98" s="52"/>
      <c r="PFH98" s="52"/>
      <c r="PGE98" s="52"/>
      <c r="PHB98" s="52"/>
      <c r="PHY98" s="52"/>
      <c r="PIV98" s="52"/>
      <c r="PJS98" s="52"/>
      <c r="PKP98" s="52"/>
      <c r="PLM98" s="52"/>
      <c r="PMJ98" s="52"/>
      <c r="PNG98" s="52"/>
      <c r="POD98" s="52"/>
      <c r="PPA98" s="52"/>
      <c r="PPX98" s="52"/>
      <c r="PQU98" s="52"/>
      <c r="PRR98" s="52"/>
      <c r="PSO98" s="52"/>
      <c r="PTL98" s="52"/>
      <c r="PUI98" s="52"/>
      <c r="PVF98" s="52"/>
      <c r="PWC98" s="52"/>
      <c r="PWZ98" s="52"/>
      <c r="PXW98" s="52"/>
      <c r="PYT98" s="52"/>
      <c r="PZQ98" s="52"/>
      <c r="QAN98" s="52"/>
      <c r="QBK98" s="52"/>
      <c r="QCH98" s="52"/>
      <c r="QDE98" s="52"/>
      <c r="QEB98" s="52"/>
      <c r="QEY98" s="52"/>
      <c r="QFV98" s="52"/>
      <c r="QGS98" s="52"/>
      <c r="QHP98" s="52"/>
      <c r="QIM98" s="52"/>
      <c r="QJJ98" s="52"/>
      <c r="QKG98" s="52"/>
      <c r="QLD98" s="52"/>
      <c r="QMA98" s="52"/>
      <c r="QMX98" s="52"/>
      <c r="QNU98" s="52"/>
      <c r="QOR98" s="52"/>
      <c r="QPO98" s="52"/>
      <c r="QQL98" s="52"/>
      <c r="QRI98" s="52"/>
      <c r="QSF98" s="52"/>
      <c r="QTC98" s="52"/>
      <c r="QTZ98" s="52"/>
      <c r="QUW98" s="52"/>
      <c r="QVT98" s="52"/>
      <c r="QWQ98" s="52"/>
      <c r="QXN98" s="52"/>
      <c r="QYK98" s="52"/>
      <c r="QZH98" s="52"/>
      <c r="RAE98" s="52"/>
      <c r="RBB98" s="52"/>
      <c r="RBY98" s="52"/>
      <c r="RCV98" s="52"/>
      <c r="RDS98" s="52"/>
      <c r="REP98" s="52"/>
      <c r="RFM98" s="52"/>
      <c r="RGJ98" s="52"/>
      <c r="RHG98" s="52"/>
      <c r="RID98" s="52"/>
      <c r="RJA98" s="52"/>
      <c r="RJX98" s="52"/>
      <c r="RKU98" s="52"/>
      <c r="RLR98" s="52"/>
      <c r="RMO98" s="52"/>
      <c r="RNL98" s="52"/>
      <c r="ROI98" s="52"/>
      <c r="RPF98" s="52"/>
      <c r="RQC98" s="52"/>
      <c r="RQZ98" s="52"/>
      <c r="RRW98" s="52"/>
      <c r="RST98" s="52"/>
      <c r="RTQ98" s="52"/>
      <c r="RUN98" s="52"/>
      <c r="RVK98" s="52"/>
      <c r="RWH98" s="52"/>
      <c r="RXE98" s="52"/>
      <c r="RYB98" s="52"/>
      <c r="RYY98" s="52"/>
      <c r="RZV98" s="52"/>
      <c r="SAS98" s="52"/>
      <c r="SBP98" s="52"/>
      <c r="SCM98" s="52"/>
      <c r="SDJ98" s="52"/>
      <c r="SEG98" s="52"/>
      <c r="SFD98" s="52"/>
      <c r="SGA98" s="52"/>
      <c r="SGX98" s="52"/>
      <c r="SHU98" s="52"/>
      <c r="SIR98" s="52"/>
      <c r="SJO98" s="52"/>
      <c r="SKL98" s="52"/>
      <c r="SLI98" s="52"/>
      <c r="SMF98" s="52"/>
      <c r="SNC98" s="52"/>
      <c r="SNZ98" s="52"/>
      <c r="SOW98" s="52"/>
      <c r="SPT98" s="52"/>
      <c r="SQQ98" s="52"/>
      <c r="SRN98" s="52"/>
      <c r="SSK98" s="52"/>
      <c r="STH98" s="52"/>
      <c r="SUE98" s="52"/>
      <c r="SVB98" s="52"/>
      <c r="SVY98" s="52"/>
      <c r="SWV98" s="52"/>
      <c r="SXS98" s="52"/>
      <c r="SYP98" s="52"/>
      <c r="SZM98" s="52"/>
      <c r="TAJ98" s="52"/>
      <c r="TBG98" s="52"/>
      <c r="TCD98" s="52"/>
      <c r="TDA98" s="52"/>
      <c r="TDX98" s="52"/>
      <c r="TEU98" s="52"/>
      <c r="TFR98" s="52"/>
      <c r="TGO98" s="52"/>
      <c r="THL98" s="52"/>
      <c r="TII98" s="52"/>
      <c r="TJF98" s="52"/>
      <c r="TKC98" s="52"/>
      <c r="TKZ98" s="52"/>
      <c r="TLW98" s="52"/>
      <c r="TMT98" s="52"/>
      <c r="TNQ98" s="52"/>
      <c r="TON98" s="52"/>
      <c r="TPK98" s="52"/>
      <c r="TQH98" s="52"/>
      <c r="TRE98" s="52"/>
      <c r="TSB98" s="52"/>
      <c r="TSY98" s="52"/>
      <c r="TTV98" s="52"/>
      <c r="TUS98" s="52"/>
      <c r="TVP98" s="52"/>
      <c r="TWM98" s="52"/>
      <c r="TXJ98" s="52"/>
      <c r="TYG98" s="52"/>
      <c r="TZD98" s="52"/>
      <c r="UAA98" s="52"/>
      <c r="UAX98" s="52"/>
      <c r="UBU98" s="52"/>
      <c r="UCR98" s="52"/>
      <c r="UDO98" s="52"/>
      <c r="UEL98" s="52"/>
      <c r="UFI98" s="52"/>
      <c r="UGF98" s="52"/>
      <c r="UHC98" s="52"/>
      <c r="UHZ98" s="52"/>
      <c r="UIW98" s="52"/>
      <c r="UJT98" s="52"/>
      <c r="UKQ98" s="52"/>
      <c r="ULN98" s="52"/>
      <c r="UMK98" s="52"/>
      <c r="UNH98" s="52"/>
      <c r="UOE98" s="52"/>
      <c r="UPB98" s="52"/>
      <c r="UPY98" s="52"/>
      <c r="UQV98" s="52"/>
      <c r="URS98" s="52"/>
      <c r="USP98" s="52"/>
      <c r="UTM98" s="52"/>
      <c r="UUJ98" s="52"/>
      <c r="UVG98" s="52"/>
      <c r="UWD98" s="52"/>
      <c r="UXA98" s="52"/>
      <c r="UXX98" s="52"/>
      <c r="UYU98" s="52"/>
      <c r="UZR98" s="52"/>
      <c r="VAO98" s="52"/>
      <c r="VBL98" s="52"/>
      <c r="VCI98" s="52"/>
      <c r="VDF98" s="52"/>
      <c r="VEC98" s="52"/>
      <c r="VEZ98" s="52"/>
      <c r="VFW98" s="52"/>
      <c r="VGT98" s="52"/>
      <c r="VHQ98" s="52"/>
      <c r="VIN98" s="52"/>
      <c r="VJK98" s="52"/>
      <c r="VKH98" s="52"/>
      <c r="VLE98" s="52"/>
      <c r="VMB98" s="52"/>
      <c r="VMY98" s="52"/>
      <c r="VNV98" s="52"/>
      <c r="VOS98" s="52"/>
      <c r="VPP98" s="52"/>
      <c r="VQM98" s="52"/>
      <c r="VRJ98" s="52"/>
      <c r="VSG98" s="52"/>
      <c r="VTD98" s="52"/>
      <c r="VUA98" s="52"/>
      <c r="VUX98" s="52"/>
      <c r="VVU98" s="52"/>
      <c r="VWR98" s="52"/>
      <c r="VXO98" s="52"/>
      <c r="VYL98" s="52"/>
      <c r="VZI98" s="52"/>
      <c r="WAF98" s="52"/>
      <c r="WBC98" s="52"/>
      <c r="WBZ98" s="52"/>
      <c r="WCW98" s="52"/>
      <c r="WDT98" s="52"/>
      <c r="WEQ98" s="52"/>
      <c r="WFN98" s="52"/>
      <c r="WGK98" s="52"/>
      <c r="WHH98" s="52"/>
      <c r="WIE98" s="52"/>
      <c r="WJB98" s="52"/>
      <c r="WJY98" s="52"/>
      <c r="WKV98" s="52"/>
      <c r="WLS98" s="52"/>
      <c r="WMP98" s="52"/>
      <c r="WNM98" s="52"/>
      <c r="WOJ98" s="52"/>
      <c r="WPG98" s="52"/>
      <c r="WQD98" s="52"/>
      <c r="WRA98" s="52"/>
      <c r="WRX98" s="52"/>
      <c r="WSU98" s="52"/>
      <c r="WTR98" s="52"/>
      <c r="WUO98" s="52"/>
      <c r="WVL98" s="52"/>
      <c r="WWI98" s="52"/>
      <c r="WXF98" s="52"/>
      <c r="WYC98" s="52"/>
      <c r="WYZ98" s="52"/>
      <c r="WZW98" s="52"/>
      <c r="XAT98" s="52"/>
      <c r="XBQ98" s="52"/>
      <c r="XCN98" s="52"/>
      <c r="XDK98" s="52"/>
      <c r="XEH98" s="52"/>
    </row>
    <row r="99" spans="1:1021 1044:2033 2056:3068 3091:4080 4103:5115 5138:6127 6150:7162 7185:8174 8197:9209 9232:10221 10244:11256 11279:12268 12291:13303 13326:14315 14338:15350 15373:16362" x14ac:dyDescent="0.25">
      <c r="I99" s="19"/>
      <c r="J99" s="19"/>
      <c r="K99" s="19"/>
      <c r="L99" s="19"/>
      <c r="M99" s="291"/>
      <c r="N99" s="19"/>
      <c r="O99" s="19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21"/>
      <c r="AL99" s="21"/>
      <c r="AM99" s="21"/>
      <c r="AN99" s="21"/>
      <c r="AO99" s="21"/>
      <c r="AP99" s="21"/>
      <c r="AQ99" s="21"/>
      <c r="AR99" s="21"/>
      <c r="AS99" s="21"/>
      <c r="AT99" s="21"/>
      <c r="AU99" s="21"/>
      <c r="AV99" s="21"/>
      <c r="AW99" s="23"/>
      <c r="AX99" s="23"/>
      <c r="AY99" s="295"/>
    </row>
    <row r="100" spans="1:1021 1044:2033 2056:3068 3091:4080 4103:5115 5138:6127 6150:7162 7185:8174 8197:9209 9232:10221 10244:11256 11279:12268 12291:13303 13326:14315 14338:15350 15373:16362" x14ac:dyDescent="0.25">
      <c r="B100" s="12" t="s">
        <v>131</v>
      </c>
      <c r="I100" s="19"/>
      <c r="J100" s="19"/>
      <c r="K100" s="19"/>
      <c r="L100" s="19"/>
      <c r="M100" s="291"/>
      <c r="N100" s="19"/>
      <c r="O100" s="19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  <c r="AO100" s="21"/>
      <c r="AP100" s="21"/>
      <c r="AQ100" s="21"/>
      <c r="AR100" s="21"/>
      <c r="AS100" s="21"/>
      <c r="AT100" s="21"/>
      <c r="AU100" s="21"/>
      <c r="AV100" s="21"/>
      <c r="AW100" s="23"/>
      <c r="AX100" s="23"/>
      <c r="AY100" s="295"/>
    </row>
    <row r="101" spans="1:1021 1044:2033 2056:3068 3091:4080 4103:5115 5138:6127 6150:7162 7185:8174 8197:9209 9232:10221 10244:11256 11279:12268 12291:13303 13326:14315 14338:15350 15373:16362" x14ac:dyDescent="0.25">
      <c r="B101" s="8" t="s">
        <v>126</v>
      </c>
      <c r="C101" s="22" t="s">
        <v>28</v>
      </c>
      <c r="F101" s="8">
        <v>0</v>
      </c>
      <c r="I101" s="45">
        <v>2.177</v>
      </c>
      <c r="J101" s="45">
        <v>2.2000000000000002</v>
      </c>
      <c r="K101" s="474">
        <f>L101</f>
        <v>2.4289999999999998</v>
      </c>
      <c r="L101" s="45">
        <v>2.4289999999999998</v>
      </c>
      <c r="M101" s="446">
        <v>2.5190000000000001</v>
      </c>
      <c r="N101" s="472">
        <f>O101</f>
        <v>2.9359999999999999</v>
      </c>
      <c r="O101" s="45">
        <v>2.9359999999999999</v>
      </c>
      <c r="P101" s="483">
        <f>+O101</f>
        <v>2.9359999999999999</v>
      </c>
      <c r="Q101" s="483">
        <f>+P101</f>
        <v>2.9359999999999999</v>
      </c>
      <c r="R101" s="483">
        <f t="shared" ref="R101:R104" si="496">Q101</f>
        <v>2.9359999999999999</v>
      </c>
      <c r="S101" s="483">
        <f>+R101</f>
        <v>2.9359999999999999</v>
      </c>
      <c r="T101" s="483">
        <f>+S101</f>
        <v>2.9359999999999999</v>
      </c>
      <c r="U101" s="483">
        <f t="shared" ref="U101:U104" si="497">T101</f>
        <v>2.9359999999999999</v>
      </c>
      <c r="V101" s="483">
        <f>+U101</f>
        <v>2.9359999999999999</v>
      </c>
      <c r="W101" s="483">
        <f>+V101</f>
        <v>2.9359999999999999</v>
      </c>
      <c r="X101" s="483">
        <f t="shared" ref="X101:X104" si="498">W101</f>
        <v>2.9359999999999999</v>
      </c>
      <c r="Y101" s="483">
        <f>+X101</f>
        <v>2.9359999999999999</v>
      </c>
      <c r="Z101" s="483">
        <f>+Y101</f>
        <v>2.9359999999999999</v>
      </c>
      <c r="AA101" s="483">
        <f t="shared" ref="AA101:AA104" si="499">Z101</f>
        <v>2.9359999999999999</v>
      </c>
      <c r="AB101" s="483">
        <f t="shared" ref="AB101:AC101" si="500">+AA101</f>
        <v>2.9359999999999999</v>
      </c>
      <c r="AC101" s="483">
        <f t="shared" si="500"/>
        <v>2.9359999999999999</v>
      </c>
      <c r="AD101" s="483">
        <f t="shared" ref="AD101:AD104" si="501">AC101</f>
        <v>2.9359999999999999</v>
      </c>
      <c r="AE101" s="483">
        <f t="shared" ref="AE101:AF101" si="502">+AD101</f>
        <v>2.9359999999999999</v>
      </c>
      <c r="AF101" s="483">
        <f t="shared" si="502"/>
        <v>2.9359999999999999</v>
      </c>
      <c r="AG101" s="483">
        <f t="shared" ref="AG101:AG104" si="503">AF101</f>
        <v>2.9359999999999999</v>
      </c>
      <c r="AH101" s="483">
        <f t="shared" ref="AH101:AI101" si="504">+AG101</f>
        <v>2.9359999999999999</v>
      </c>
      <c r="AI101" s="483">
        <f t="shared" si="504"/>
        <v>2.9359999999999999</v>
      </c>
      <c r="AJ101" s="483">
        <f t="shared" ref="AJ101:AJ104" si="505">AI101</f>
        <v>2.9359999999999999</v>
      </c>
      <c r="AK101" s="483">
        <f t="shared" ref="AK101:AL101" si="506">+AJ101</f>
        <v>2.9359999999999999</v>
      </c>
      <c r="AL101" s="483">
        <f t="shared" si="506"/>
        <v>2.9359999999999999</v>
      </c>
      <c r="AM101" s="483">
        <f t="shared" ref="AM101:AM104" si="507">AL101</f>
        <v>2.9359999999999999</v>
      </c>
      <c r="AN101" s="483">
        <f t="shared" ref="AN101:AO101" si="508">+AM101</f>
        <v>2.9359999999999999</v>
      </c>
      <c r="AO101" s="483">
        <f t="shared" si="508"/>
        <v>2.9359999999999999</v>
      </c>
      <c r="AP101" s="483">
        <f t="shared" ref="AP101:AP104" si="509">AO101</f>
        <v>2.9359999999999999</v>
      </c>
      <c r="AQ101" s="483">
        <f t="shared" ref="AQ101:AR101" si="510">+AP101</f>
        <v>2.9359999999999999</v>
      </c>
      <c r="AR101" s="483">
        <f t="shared" si="510"/>
        <v>2.9359999999999999</v>
      </c>
      <c r="AS101" s="483">
        <f t="shared" ref="AS101:AS104" si="511">AR101</f>
        <v>2.9359999999999999</v>
      </c>
      <c r="AT101" s="483">
        <f t="shared" ref="AT101" si="512">+AS101</f>
        <v>2.9359999999999999</v>
      </c>
      <c r="AU101" s="483">
        <f t="shared" ref="AU101" si="513">+AT101</f>
        <v>2.9359999999999999</v>
      </c>
      <c r="AV101" s="483">
        <f t="shared" ref="AV101:AV104" si="514">AU101</f>
        <v>2.9359999999999999</v>
      </c>
      <c r="AW101" s="23"/>
      <c r="AX101" s="23"/>
      <c r="AY101" s="295"/>
    </row>
    <row r="102" spans="1:1021 1044:2033 2056:3068 3091:4080 4103:5115 5138:6127 6150:7162 7185:8174 8197:9209 9232:10221 10244:11256 11279:12268 12291:13303 13326:14315 14338:15350 15373:16362" x14ac:dyDescent="0.25">
      <c r="A102" s="8" t="s">
        <v>599</v>
      </c>
      <c r="B102" s="8" t="s">
        <v>132</v>
      </c>
      <c r="C102" s="22" t="s">
        <v>28</v>
      </c>
      <c r="F102" s="8">
        <v>0</v>
      </c>
      <c r="I102" s="45">
        <v>3</v>
      </c>
      <c r="J102" s="475">
        <v>3</v>
      </c>
      <c r="K102" s="474">
        <f t="shared" ref="K102:K111" si="515">L102</f>
        <v>0</v>
      </c>
      <c r="L102" s="45">
        <v>0</v>
      </c>
      <c r="M102" s="476">
        <v>0</v>
      </c>
      <c r="N102" s="472">
        <f t="shared" ref="N102:N106" si="516">O102</f>
        <v>0</v>
      </c>
      <c r="O102" s="45">
        <v>0</v>
      </c>
      <c r="P102" s="21">
        <f ca="1">+Assumptions!P440</f>
        <v>0</v>
      </c>
      <c r="Q102" s="21">
        <f ca="1">+Assumptions!Q440</f>
        <v>0</v>
      </c>
      <c r="R102" s="21">
        <f t="shared" ca="1" si="496"/>
        <v>0</v>
      </c>
      <c r="S102" s="21">
        <f ca="1">+Assumptions!S440</f>
        <v>0</v>
      </c>
      <c r="T102" s="21">
        <f ca="1">+Assumptions!T440</f>
        <v>0</v>
      </c>
      <c r="U102" s="21">
        <f t="shared" ca="1" si="497"/>
        <v>0</v>
      </c>
      <c r="V102" s="21">
        <f ca="1">+Assumptions!V440</f>
        <v>0</v>
      </c>
      <c r="W102" s="21">
        <f ca="1">+Assumptions!W440</f>
        <v>0</v>
      </c>
      <c r="X102" s="21">
        <f t="shared" ca="1" si="498"/>
        <v>0</v>
      </c>
      <c r="Y102" s="21">
        <f ca="1">+Assumptions!Y440</f>
        <v>0</v>
      </c>
      <c r="Z102" s="21">
        <f ca="1">+Assumptions!Z440</f>
        <v>0</v>
      </c>
      <c r="AA102" s="21">
        <f t="shared" ca="1" si="499"/>
        <v>0</v>
      </c>
      <c r="AB102" s="21">
        <f ca="1">+Assumptions!AB440</f>
        <v>0</v>
      </c>
      <c r="AC102" s="21">
        <f ca="1">+Assumptions!AC440</f>
        <v>0</v>
      </c>
      <c r="AD102" s="21">
        <f t="shared" ca="1" si="501"/>
        <v>0</v>
      </c>
      <c r="AE102" s="21">
        <f ca="1">+Assumptions!AE440</f>
        <v>0</v>
      </c>
      <c r="AF102" s="21">
        <f ca="1">+Assumptions!AF440</f>
        <v>0</v>
      </c>
      <c r="AG102" s="21">
        <f t="shared" ca="1" si="503"/>
        <v>0</v>
      </c>
      <c r="AH102" s="21">
        <f ca="1">+Assumptions!AH440</f>
        <v>0</v>
      </c>
      <c r="AI102" s="21">
        <f ca="1">+Assumptions!AI440</f>
        <v>0</v>
      </c>
      <c r="AJ102" s="21">
        <f t="shared" ca="1" si="505"/>
        <v>0</v>
      </c>
      <c r="AK102" s="21">
        <f ca="1">+Assumptions!AK440</f>
        <v>0</v>
      </c>
      <c r="AL102" s="21">
        <f ca="1">+Assumptions!AL440</f>
        <v>0</v>
      </c>
      <c r="AM102" s="21">
        <f t="shared" ca="1" si="507"/>
        <v>0</v>
      </c>
      <c r="AN102" s="21">
        <f ca="1">+Assumptions!AN440</f>
        <v>0</v>
      </c>
      <c r="AO102" s="21">
        <f ca="1">+Assumptions!AO440</f>
        <v>0</v>
      </c>
      <c r="AP102" s="21">
        <f t="shared" ca="1" si="509"/>
        <v>0</v>
      </c>
      <c r="AQ102" s="21">
        <f ca="1">+Assumptions!AQ440</f>
        <v>0</v>
      </c>
      <c r="AR102" s="21">
        <f ca="1">+Assumptions!AR440</f>
        <v>0</v>
      </c>
      <c r="AS102" s="21">
        <f t="shared" ca="1" si="511"/>
        <v>0</v>
      </c>
      <c r="AT102" s="21">
        <f ca="1">+Assumptions!AT440</f>
        <v>0</v>
      </c>
      <c r="AU102" s="21">
        <f ca="1">+Assumptions!AU440</f>
        <v>0</v>
      </c>
      <c r="AV102" s="21">
        <f t="shared" ca="1" si="514"/>
        <v>0</v>
      </c>
      <c r="AW102" s="23"/>
      <c r="AX102" s="23"/>
      <c r="AY102" s="295"/>
    </row>
    <row r="103" spans="1:1021 1044:2033 2056:3068 3091:4080 4103:5115 5138:6127 6150:7162 7185:8174 8197:9209 9232:10221 10244:11256 11279:12268 12291:13303 13326:14315 14338:15350 15373:16362" x14ac:dyDescent="0.25">
      <c r="B103" s="8" t="s">
        <v>127</v>
      </c>
      <c r="C103" s="22" t="s">
        <v>28</v>
      </c>
      <c r="F103" s="8">
        <v>0</v>
      </c>
      <c r="I103" s="45">
        <v>161.55199999999999</v>
      </c>
      <c r="J103" s="45">
        <v>188</v>
      </c>
      <c r="K103" s="474">
        <f t="shared" si="515"/>
        <v>217.297</v>
      </c>
      <c r="L103" s="45">
        <v>217.297</v>
      </c>
      <c r="M103" s="446">
        <v>254.44800000000001</v>
      </c>
      <c r="N103" s="472">
        <f t="shared" si="516"/>
        <v>307.65899999999999</v>
      </c>
      <c r="O103" s="45">
        <v>307.65899999999999</v>
      </c>
      <c r="P103" s="21">
        <f ca="1">+Assumptions!P401</f>
        <v>326.556028557952</v>
      </c>
      <c r="Q103" s="21">
        <f ca="1">+Assumptions!Q401</f>
        <v>339.32121211283487</v>
      </c>
      <c r="R103" s="21">
        <f t="shared" ca="1" si="496"/>
        <v>339.32121211283487</v>
      </c>
      <c r="S103" s="21">
        <f ca="1">+Assumptions!S401</f>
        <v>363.77165535731518</v>
      </c>
      <c r="T103" s="21">
        <f ca="1">+Assumptions!T401</f>
        <v>388.84734965109118</v>
      </c>
      <c r="U103" s="21">
        <f t="shared" ca="1" si="497"/>
        <v>388.84734965109118</v>
      </c>
      <c r="V103" s="21">
        <f ca="1">+Assumptions!V401</f>
        <v>412.49727599349586</v>
      </c>
      <c r="W103" s="21">
        <f ca="1">+Assumptions!W401</f>
        <v>436.10614938270601</v>
      </c>
      <c r="X103" s="21">
        <f t="shared" ca="1" si="498"/>
        <v>436.10614938270601</v>
      </c>
      <c r="Y103" s="21">
        <f ca="1">+Assumptions!Y401</f>
        <v>461.1514892259928</v>
      </c>
      <c r="Z103" s="21">
        <f ca="1">+Assumptions!Z401</f>
        <v>483.73285765309623</v>
      </c>
      <c r="AA103" s="21">
        <f t="shared" ca="1" si="499"/>
        <v>483.73285765309623</v>
      </c>
      <c r="AB103" s="21">
        <f ca="1">+Assumptions!AB401</f>
        <v>505.81524752666547</v>
      </c>
      <c r="AC103" s="21">
        <f ca="1">+Assumptions!AC401</f>
        <v>523.6691806202947</v>
      </c>
      <c r="AD103" s="21">
        <f t="shared" ca="1" si="501"/>
        <v>523.6691806202947</v>
      </c>
      <c r="AE103" s="21">
        <f ca="1">+Assumptions!AE401</f>
        <v>540.90138671611828</v>
      </c>
      <c r="AF103" s="21">
        <f ca="1">+Assumptions!AF401</f>
        <v>555.6952109943054</v>
      </c>
      <c r="AG103" s="21">
        <f t="shared" ca="1" si="503"/>
        <v>555.6952109943054</v>
      </c>
      <c r="AH103" s="21">
        <f ca="1">+Assumptions!AH401</f>
        <v>570.62903853140722</v>
      </c>
      <c r="AI103" s="21">
        <f ca="1">+Assumptions!AI401</f>
        <v>582.90375511460547</v>
      </c>
      <c r="AJ103" s="21">
        <f t="shared" ca="1" si="505"/>
        <v>582.90375511460547</v>
      </c>
      <c r="AK103" s="21">
        <f ca="1">+Assumptions!AK401</f>
        <v>595.32279302495647</v>
      </c>
      <c r="AL103" s="21">
        <f ca="1">+Assumptions!AL401</f>
        <v>604.85356803960565</v>
      </c>
      <c r="AM103" s="21">
        <f t="shared" ca="1" si="507"/>
        <v>604.85356803960565</v>
      </c>
      <c r="AN103" s="21">
        <f ca="1">+Assumptions!AN401</f>
        <v>613.81756357868483</v>
      </c>
      <c r="AO103" s="21">
        <f ca="1">+Assumptions!AO401</f>
        <v>619.97322355527604</v>
      </c>
      <c r="AP103" s="21">
        <f t="shared" ca="1" si="509"/>
        <v>619.97322355527604</v>
      </c>
      <c r="AQ103" s="21">
        <f ca="1">+Assumptions!AQ401</f>
        <v>625.79445123006963</v>
      </c>
      <c r="AR103" s="21">
        <f ca="1">+Assumptions!AR401</f>
        <v>629.79765866364778</v>
      </c>
      <c r="AS103" s="21">
        <f t="shared" ca="1" si="511"/>
        <v>629.79765866364778</v>
      </c>
      <c r="AT103" s="21">
        <f ca="1">+Assumptions!AT401</f>
        <v>633.84147244824896</v>
      </c>
      <c r="AU103" s="21">
        <f ca="1">+Assumptions!AU401</f>
        <v>635.97845313849223</v>
      </c>
      <c r="AV103" s="21">
        <f t="shared" ca="1" si="514"/>
        <v>635.97845313849223</v>
      </c>
      <c r="AW103" s="23"/>
      <c r="AX103" s="23"/>
      <c r="AY103" s="295"/>
    </row>
    <row r="104" spans="1:1021 1044:2033 2056:3068 3091:4080 4103:5115 5138:6127 6150:7162 7185:8174 8197:9209 9232:10221 10244:11256 11279:12268 12291:13303 13326:14315 14338:15350 15373:16362" x14ac:dyDescent="0.25">
      <c r="B104" s="8" t="s">
        <v>129</v>
      </c>
      <c r="C104" s="22" t="s">
        <v>28</v>
      </c>
      <c r="F104" s="8">
        <v>0</v>
      </c>
      <c r="I104" s="45">
        <v>3.347</v>
      </c>
      <c r="J104" s="45">
        <v>3.83</v>
      </c>
      <c r="K104" s="474">
        <f t="shared" si="515"/>
        <v>3.8050000000000002</v>
      </c>
      <c r="L104" s="45">
        <v>3.8050000000000002</v>
      </c>
      <c r="M104" s="446">
        <v>4.6580000000000004</v>
      </c>
      <c r="N104" s="472">
        <f t="shared" si="516"/>
        <v>6.4390000000000001</v>
      </c>
      <c r="O104" s="45">
        <v>6.4390000000000001</v>
      </c>
      <c r="P104" s="483">
        <f>+O104</f>
        <v>6.4390000000000001</v>
      </c>
      <c r="Q104" s="483">
        <f>+P104</f>
        <v>6.4390000000000001</v>
      </c>
      <c r="R104" s="483">
        <f t="shared" si="496"/>
        <v>6.4390000000000001</v>
      </c>
      <c r="S104" s="483">
        <f>+R104</f>
        <v>6.4390000000000001</v>
      </c>
      <c r="T104" s="483">
        <f>+S104</f>
        <v>6.4390000000000001</v>
      </c>
      <c r="U104" s="483">
        <f t="shared" si="497"/>
        <v>6.4390000000000001</v>
      </c>
      <c r="V104" s="483">
        <f>+U104</f>
        <v>6.4390000000000001</v>
      </c>
      <c r="W104" s="483">
        <f>+V104</f>
        <v>6.4390000000000001</v>
      </c>
      <c r="X104" s="483">
        <f t="shared" si="498"/>
        <v>6.4390000000000001</v>
      </c>
      <c r="Y104" s="483">
        <f>+X104</f>
        <v>6.4390000000000001</v>
      </c>
      <c r="Z104" s="483">
        <f>+Y104</f>
        <v>6.4390000000000001</v>
      </c>
      <c r="AA104" s="483">
        <f t="shared" si="499"/>
        <v>6.4390000000000001</v>
      </c>
      <c r="AB104" s="483">
        <f t="shared" ref="AB104:AC104" si="517">+AA104</f>
        <v>6.4390000000000001</v>
      </c>
      <c r="AC104" s="483">
        <f t="shared" si="517"/>
        <v>6.4390000000000001</v>
      </c>
      <c r="AD104" s="483">
        <f t="shared" si="501"/>
        <v>6.4390000000000001</v>
      </c>
      <c r="AE104" s="483">
        <f t="shared" ref="AE104:AF104" si="518">+AD104</f>
        <v>6.4390000000000001</v>
      </c>
      <c r="AF104" s="483">
        <f t="shared" si="518"/>
        <v>6.4390000000000001</v>
      </c>
      <c r="AG104" s="483">
        <f t="shared" si="503"/>
        <v>6.4390000000000001</v>
      </c>
      <c r="AH104" s="483">
        <f t="shared" ref="AH104:AI104" si="519">+AG104</f>
        <v>6.4390000000000001</v>
      </c>
      <c r="AI104" s="483">
        <f t="shared" si="519"/>
        <v>6.4390000000000001</v>
      </c>
      <c r="AJ104" s="483">
        <f t="shared" si="505"/>
        <v>6.4390000000000001</v>
      </c>
      <c r="AK104" s="483">
        <f t="shared" ref="AK104:AL104" si="520">+AJ104</f>
        <v>6.4390000000000001</v>
      </c>
      <c r="AL104" s="483">
        <f t="shared" si="520"/>
        <v>6.4390000000000001</v>
      </c>
      <c r="AM104" s="483">
        <f t="shared" si="507"/>
        <v>6.4390000000000001</v>
      </c>
      <c r="AN104" s="483">
        <f t="shared" ref="AN104:AO104" si="521">+AM104</f>
        <v>6.4390000000000001</v>
      </c>
      <c r="AO104" s="483">
        <f t="shared" si="521"/>
        <v>6.4390000000000001</v>
      </c>
      <c r="AP104" s="483">
        <f t="shared" si="509"/>
        <v>6.4390000000000001</v>
      </c>
      <c r="AQ104" s="483">
        <f t="shared" ref="AQ104:AR104" si="522">+AP104</f>
        <v>6.4390000000000001</v>
      </c>
      <c r="AR104" s="483">
        <f t="shared" si="522"/>
        <v>6.4390000000000001</v>
      </c>
      <c r="AS104" s="483">
        <f t="shared" si="511"/>
        <v>6.4390000000000001</v>
      </c>
      <c r="AT104" s="483">
        <f t="shared" ref="AT104" si="523">+AS104</f>
        <v>6.4390000000000001</v>
      </c>
      <c r="AU104" s="483">
        <f t="shared" ref="AU104" si="524">+AT104</f>
        <v>6.4390000000000001</v>
      </c>
      <c r="AV104" s="483">
        <f t="shared" si="514"/>
        <v>6.4390000000000001</v>
      </c>
      <c r="AW104" s="23"/>
      <c r="AX104" s="23"/>
      <c r="AY104" s="295"/>
    </row>
    <row r="105" spans="1:1021 1044:2033 2056:3068 3091:4080 4103:5115 5138:6127 6150:7162 7185:8174 8197:9209 9232:10221 10244:11256 11279:12268 12291:13303 13326:14315 14338:15350 15373:16362" s="12" customFormat="1" x14ac:dyDescent="0.25">
      <c r="B105" s="12" t="s">
        <v>131</v>
      </c>
      <c r="C105" s="22" t="s">
        <v>28</v>
      </c>
      <c r="F105" s="63">
        <f t="shared" ref="F105" si="525">SUM(F101:F104)</f>
        <v>0</v>
      </c>
      <c r="I105" s="52">
        <f t="shared" ref="I105" si="526">SUM(I101:I104)</f>
        <v>170.07599999999999</v>
      </c>
      <c r="J105" s="52">
        <f>SUM(J101:J104)</f>
        <v>197.03</v>
      </c>
      <c r="K105" s="474">
        <f t="shared" si="515"/>
        <v>223.53100000000001</v>
      </c>
      <c r="L105" s="52">
        <f t="shared" ref="L105:T105" si="527">SUM(L101:L104)</f>
        <v>223.53100000000001</v>
      </c>
      <c r="M105" s="424">
        <f t="shared" ref="M105" si="528">SUM(M101:M104)</f>
        <v>261.625</v>
      </c>
      <c r="N105" s="472">
        <f t="shared" si="516"/>
        <v>317.03399999999999</v>
      </c>
      <c r="O105" s="52">
        <f t="shared" ref="O105" si="529">SUM(O101:O104)</f>
        <v>317.03399999999999</v>
      </c>
      <c r="P105" s="63">
        <f t="shared" ref="P105:R105" ca="1" si="530">SUM(P101:P104)</f>
        <v>335.931028557952</v>
      </c>
      <c r="Q105" s="63">
        <f t="shared" ca="1" si="530"/>
        <v>348.69621211283487</v>
      </c>
      <c r="R105" s="63">
        <f t="shared" ca="1" si="530"/>
        <v>348.69621211283487</v>
      </c>
      <c r="S105" s="63">
        <f t="shared" ca="1" si="527"/>
        <v>373.14665535731518</v>
      </c>
      <c r="T105" s="63">
        <f t="shared" ca="1" si="527"/>
        <v>398.22234965109118</v>
      </c>
      <c r="U105" s="63">
        <f t="shared" ref="U105" ca="1" si="531">SUM(U101:U104)</f>
        <v>398.22234965109118</v>
      </c>
      <c r="V105" s="63">
        <f t="shared" ref="V105:X105" ca="1" si="532">SUM(V101:V104)</f>
        <v>421.87227599349586</v>
      </c>
      <c r="W105" s="63">
        <f t="shared" ca="1" si="532"/>
        <v>445.48114938270601</v>
      </c>
      <c r="X105" s="63">
        <f t="shared" ca="1" si="532"/>
        <v>445.48114938270601</v>
      </c>
      <c r="Y105" s="63">
        <f t="shared" ref="Y105:AA105" ca="1" si="533">SUM(Y101:Y104)</f>
        <v>470.5264892259928</v>
      </c>
      <c r="Z105" s="63">
        <f t="shared" ca="1" si="533"/>
        <v>493.10785765309623</v>
      </c>
      <c r="AA105" s="63">
        <f t="shared" ca="1" si="533"/>
        <v>493.10785765309623</v>
      </c>
      <c r="AB105" s="63">
        <f t="shared" ref="AB105:AP105" ca="1" si="534">SUM(AB101:AB104)</f>
        <v>515.19024752666542</v>
      </c>
      <c r="AC105" s="63">
        <f t="shared" ca="1" si="534"/>
        <v>533.0441806202947</v>
      </c>
      <c r="AD105" s="63">
        <f t="shared" ca="1" si="534"/>
        <v>533.0441806202947</v>
      </c>
      <c r="AE105" s="63">
        <f t="shared" ca="1" si="534"/>
        <v>550.27638671611828</v>
      </c>
      <c r="AF105" s="63">
        <f t="shared" ca="1" si="534"/>
        <v>565.0702109943054</v>
      </c>
      <c r="AG105" s="63">
        <f t="shared" ca="1" si="534"/>
        <v>565.0702109943054</v>
      </c>
      <c r="AH105" s="63">
        <f t="shared" ca="1" si="534"/>
        <v>580.00403853140722</v>
      </c>
      <c r="AI105" s="63">
        <f t="shared" ca="1" si="534"/>
        <v>592.27875511460547</v>
      </c>
      <c r="AJ105" s="63">
        <f t="shared" ca="1" si="534"/>
        <v>592.27875511460547</v>
      </c>
      <c r="AK105" s="63">
        <f t="shared" ca="1" si="534"/>
        <v>604.69779302495647</v>
      </c>
      <c r="AL105" s="63">
        <f t="shared" ca="1" si="534"/>
        <v>614.22856803960565</v>
      </c>
      <c r="AM105" s="63">
        <f t="shared" ca="1" si="534"/>
        <v>614.22856803960565</v>
      </c>
      <c r="AN105" s="63">
        <f t="shared" ca="1" si="534"/>
        <v>623.19256357868483</v>
      </c>
      <c r="AO105" s="63">
        <f t="shared" ca="1" si="534"/>
        <v>629.34822355527604</v>
      </c>
      <c r="AP105" s="63">
        <f t="shared" ca="1" si="534"/>
        <v>629.34822355527604</v>
      </c>
      <c r="AQ105" s="63">
        <f t="shared" ref="AQ105:AS105" ca="1" si="535">SUM(AQ101:AQ104)</f>
        <v>635.16945123006963</v>
      </c>
      <c r="AR105" s="63">
        <f t="shared" ca="1" si="535"/>
        <v>639.17265866364778</v>
      </c>
      <c r="AS105" s="63">
        <f t="shared" ca="1" si="535"/>
        <v>639.17265866364778</v>
      </c>
      <c r="AT105" s="63">
        <f t="shared" ref="AT105:AV105" ca="1" si="536">SUM(AT101:AT104)</f>
        <v>643.21647244824896</v>
      </c>
      <c r="AU105" s="63">
        <f t="shared" ca="1" si="536"/>
        <v>645.35345313849223</v>
      </c>
      <c r="AV105" s="63">
        <f t="shared" ca="1" si="536"/>
        <v>645.35345313849223</v>
      </c>
      <c r="AW105" s="23"/>
      <c r="AX105" s="23"/>
      <c r="AY105" s="295"/>
      <c r="AZ105"/>
      <c r="BA105"/>
      <c r="BB105"/>
      <c r="BC105"/>
      <c r="BD105"/>
      <c r="BE105"/>
      <c r="BZ105" s="52"/>
      <c r="CW105" s="52"/>
      <c r="DT105" s="52"/>
      <c r="EQ105" s="52"/>
      <c r="FN105" s="52"/>
      <c r="GK105" s="52"/>
      <c r="HH105" s="52"/>
      <c r="IE105" s="52"/>
      <c r="JB105" s="52"/>
      <c r="JY105" s="52"/>
      <c r="KV105" s="52"/>
      <c r="LS105" s="52"/>
      <c r="MP105" s="52"/>
      <c r="NM105" s="52"/>
      <c r="OJ105" s="52"/>
      <c r="PG105" s="52"/>
      <c r="QD105" s="52"/>
      <c r="RA105" s="52"/>
      <c r="RX105" s="52"/>
      <c r="SU105" s="52"/>
      <c r="TR105" s="52"/>
      <c r="UO105" s="52"/>
      <c r="VL105" s="52"/>
      <c r="WI105" s="52"/>
      <c r="XF105" s="52"/>
      <c r="YC105" s="52"/>
      <c r="YZ105" s="52"/>
      <c r="ZW105" s="52"/>
      <c r="AAT105" s="52"/>
      <c r="ABQ105" s="52"/>
      <c r="ACN105" s="52"/>
      <c r="ADK105" s="52"/>
      <c r="AEH105" s="52"/>
      <c r="AFE105" s="52"/>
      <c r="AGB105" s="52"/>
      <c r="AGY105" s="52"/>
      <c r="AHV105" s="52"/>
      <c r="AIS105" s="52"/>
      <c r="AJP105" s="52"/>
      <c r="AKM105" s="52"/>
      <c r="ALJ105" s="52"/>
      <c r="AMG105" s="52"/>
      <c r="AND105" s="52"/>
      <c r="AOA105" s="52"/>
      <c r="AOX105" s="52"/>
      <c r="APU105" s="52"/>
      <c r="AQR105" s="52"/>
      <c r="ARO105" s="52"/>
      <c r="ASL105" s="52"/>
      <c r="ATI105" s="52"/>
      <c r="AUF105" s="52"/>
      <c r="AVC105" s="52"/>
      <c r="AVZ105" s="52"/>
      <c r="AWW105" s="52"/>
      <c r="AXT105" s="52"/>
      <c r="AYQ105" s="52"/>
      <c r="AZN105" s="52"/>
      <c r="BAK105" s="52"/>
      <c r="BBH105" s="52"/>
      <c r="BCE105" s="52"/>
      <c r="BDB105" s="52"/>
      <c r="BDY105" s="52"/>
      <c r="BEV105" s="52"/>
      <c r="BFS105" s="52"/>
      <c r="BGP105" s="52"/>
      <c r="BHM105" s="52"/>
      <c r="BIJ105" s="52"/>
      <c r="BJG105" s="52"/>
      <c r="BKD105" s="52"/>
      <c r="BLA105" s="52"/>
      <c r="BLX105" s="52"/>
      <c r="BMU105" s="52"/>
      <c r="BNR105" s="52"/>
      <c r="BOO105" s="52"/>
      <c r="BPL105" s="52"/>
      <c r="BQI105" s="52"/>
      <c r="BRF105" s="52"/>
      <c r="BSC105" s="52"/>
      <c r="BSZ105" s="52"/>
      <c r="BTW105" s="52"/>
      <c r="BUT105" s="52"/>
      <c r="BVQ105" s="52"/>
      <c r="BWN105" s="52"/>
      <c r="BXK105" s="52"/>
      <c r="BYH105" s="52"/>
      <c r="BZE105" s="52"/>
      <c r="CAB105" s="52"/>
      <c r="CAY105" s="52"/>
      <c r="CBV105" s="52"/>
      <c r="CCS105" s="52"/>
      <c r="CDP105" s="52"/>
      <c r="CEM105" s="52"/>
      <c r="CFJ105" s="52"/>
      <c r="CGG105" s="52"/>
      <c r="CHD105" s="52"/>
      <c r="CIA105" s="52"/>
      <c r="CIX105" s="52"/>
      <c r="CJU105" s="52"/>
      <c r="CKR105" s="52"/>
      <c r="CLO105" s="52"/>
      <c r="CML105" s="52"/>
      <c r="CNI105" s="52"/>
      <c r="COF105" s="52"/>
      <c r="CPC105" s="52"/>
      <c r="CPZ105" s="52"/>
      <c r="CQW105" s="52"/>
      <c r="CRT105" s="52"/>
      <c r="CSQ105" s="52"/>
      <c r="CTN105" s="52"/>
      <c r="CUK105" s="52"/>
      <c r="CVH105" s="52"/>
      <c r="CWE105" s="52"/>
      <c r="CXB105" s="52"/>
      <c r="CXY105" s="52"/>
      <c r="CYV105" s="52"/>
      <c r="CZS105" s="52"/>
      <c r="DAP105" s="52"/>
      <c r="DBM105" s="52"/>
      <c r="DCJ105" s="52"/>
      <c r="DDG105" s="52"/>
      <c r="DED105" s="52"/>
      <c r="DFA105" s="52"/>
      <c r="DFX105" s="52"/>
      <c r="DGU105" s="52"/>
      <c r="DHR105" s="52"/>
      <c r="DIO105" s="52"/>
      <c r="DJL105" s="52"/>
      <c r="DKI105" s="52"/>
      <c r="DLF105" s="52"/>
      <c r="DMC105" s="52"/>
      <c r="DMZ105" s="52"/>
      <c r="DNW105" s="52"/>
      <c r="DOT105" s="52"/>
      <c r="DPQ105" s="52"/>
      <c r="DQN105" s="52"/>
      <c r="DRK105" s="52"/>
      <c r="DSH105" s="52"/>
      <c r="DTE105" s="52"/>
      <c r="DUB105" s="52"/>
      <c r="DUY105" s="52"/>
      <c r="DVV105" s="52"/>
      <c r="DWS105" s="52"/>
      <c r="DXP105" s="52"/>
      <c r="DYM105" s="52"/>
      <c r="DZJ105" s="52"/>
      <c r="EAG105" s="52"/>
      <c r="EBD105" s="52"/>
      <c r="ECA105" s="52"/>
      <c r="ECX105" s="52"/>
      <c r="EDU105" s="52"/>
      <c r="EER105" s="52"/>
      <c r="EFO105" s="52"/>
      <c r="EGL105" s="52"/>
      <c r="EHI105" s="52"/>
      <c r="EIF105" s="52"/>
      <c r="EJC105" s="52"/>
      <c r="EJZ105" s="52"/>
      <c r="EKW105" s="52"/>
      <c r="ELT105" s="52"/>
      <c r="EMQ105" s="52"/>
      <c r="ENN105" s="52"/>
      <c r="EOK105" s="52"/>
      <c r="EPH105" s="52"/>
      <c r="EQE105" s="52"/>
      <c r="ERB105" s="52"/>
      <c r="ERY105" s="52"/>
      <c r="ESV105" s="52"/>
      <c r="ETS105" s="52"/>
      <c r="EUP105" s="52"/>
      <c r="EVM105" s="52"/>
      <c r="EWJ105" s="52"/>
      <c r="EXG105" s="52"/>
      <c r="EYD105" s="52"/>
      <c r="EZA105" s="52"/>
      <c r="EZX105" s="52"/>
      <c r="FAU105" s="52"/>
      <c r="FBR105" s="52"/>
      <c r="FCO105" s="52"/>
      <c r="FDL105" s="52"/>
      <c r="FEI105" s="52"/>
      <c r="FFF105" s="52"/>
      <c r="FGC105" s="52"/>
      <c r="FGZ105" s="52"/>
      <c r="FHW105" s="52"/>
      <c r="FIT105" s="52"/>
      <c r="FJQ105" s="52"/>
      <c r="FKN105" s="52"/>
      <c r="FLK105" s="52"/>
      <c r="FMH105" s="52"/>
      <c r="FNE105" s="52"/>
      <c r="FOB105" s="52"/>
      <c r="FOY105" s="52"/>
      <c r="FPV105" s="52"/>
      <c r="FQS105" s="52"/>
      <c r="FRP105" s="52"/>
      <c r="FSM105" s="52"/>
      <c r="FTJ105" s="52"/>
      <c r="FUG105" s="52"/>
      <c r="FVD105" s="52"/>
      <c r="FWA105" s="52"/>
      <c r="FWX105" s="52"/>
      <c r="FXU105" s="52"/>
      <c r="FYR105" s="52"/>
      <c r="FZO105" s="52"/>
      <c r="GAL105" s="52"/>
      <c r="GBI105" s="52"/>
      <c r="GCF105" s="52"/>
      <c r="GDC105" s="52"/>
      <c r="GDZ105" s="52"/>
      <c r="GEW105" s="52"/>
      <c r="GFT105" s="52"/>
      <c r="GGQ105" s="52"/>
      <c r="GHN105" s="52"/>
      <c r="GIK105" s="52"/>
      <c r="GJH105" s="52"/>
      <c r="GKE105" s="52"/>
      <c r="GLB105" s="52"/>
      <c r="GLY105" s="52"/>
      <c r="GMV105" s="52"/>
      <c r="GNS105" s="52"/>
      <c r="GOP105" s="52"/>
      <c r="GPM105" s="52"/>
      <c r="GQJ105" s="52"/>
      <c r="GRG105" s="52"/>
      <c r="GSD105" s="52"/>
      <c r="GTA105" s="52"/>
      <c r="GTX105" s="52"/>
      <c r="GUU105" s="52"/>
      <c r="GVR105" s="52"/>
      <c r="GWO105" s="52"/>
      <c r="GXL105" s="52"/>
      <c r="GYI105" s="52"/>
      <c r="GZF105" s="52"/>
      <c r="HAC105" s="52"/>
      <c r="HAZ105" s="52"/>
      <c r="HBW105" s="52"/>
      <c r="HCT105" s="52"/>
      <c r="HDQ105" s="52"/>
      <c r="HEN105" s="52"/>
      <c r="HFK105" s="52"/>
      <c r="HGH105" s="52"/>
      <c r="HHE105" s="52"/>
      <c r="HIB105" s="52"/>
      <c r="HIY105" s="52"/>
      <c r="HJV105" s="52"/>
      <c r="HKS105" s="52"/>
      <c r="HLP105" s="52"/>
      <c r="HMM105" s="52"/>
      <c r="HNJ105" s="52"/>
      <c r="HOG105" s="52"/>
      <c r="HPD105" s="52"/>
      <c r="HQA105" s="52"/>
      <c r="HQX105" s="52"/>
      <c r="HRU105" s="52"/>
      <c r="HSR105" s="52"/>
      <c r="HTO105" s="52"/>
      <c r="HUL105" s="52"/>
      <c r="HVI105" s="52"/>
      <c r="HWF105" s="52"/>
      <c r="HXC105" s="52"/>
      <c r="HXZ105" s="52"/>
      <c r="HYW105" s="52"/>
      <c r="HZT105" s="52"/>
      <c r="IAQ105" s="52"/>
      <c r="IBN105" s="52"/>
      <c r="ICK105" s="52"/>
      <c r="IDH105" s="52"/>
      <c r="IEE105" s="52"/>
      <c r="IFB105" s="52"/>
      <c r="IFY105" s="52"/>
      <c r="IGV105" s="52"/>
      <c r="IHS105" s="52"/>
      <c r="IIP105" s="52"/>
      <c r="IJM105" s="52"/>
      <c r="IKJ105" s="52"/>
      <c r="ILG105" s="52"/>
      <c r="IMD105" s="52"/>
      <c r="INA105" s="52"/>
      <c r="INX105" s="52"/>
      <c r="IOU105" s="52"/>
      <c r="IPR105" s="52"/>
      <c r="IQO105" s="52"/>
      <c r="IRL105" s="52"/>
      <c r="ISI105" s="52"/>
      <c r="ITF105" s="52"/>
      <c r="IUC105" s="52"/>
      <c r="IUZ105" s="52"/>
      <c r="IVW105" s="52"/>
      <c r="IWT105" s="52"/>
      <c r="IXQ105" s="52"/>
      <c r="IYN105" s="52"/>
      <c r="IZK105" s="52"/>
      <c r="JAH105" s="52"/>
      <c r="JBE105" s="52"/>
      <c r="JCB105" s="52"/>
      <c r="JCY105" s="52"/>
      <c r="JDV105" s="52"/>
      <c r="JES105" s="52"/>
      <c r="JFP105" s="52"/>
      <c r="JGM105" s="52"/>
      <c r="JHJ105" s="52"/>
      <c r="JIG105" s="52"/>
      <c r="JJD105" s="52"/>
      <c r="JKA105" s="52"/>
      <c r="JKX105" s="52"/>
      <c r="JLU105" s="52"/>
      <c r="JMR105" s="52"/>
      <c r="JNO105" s="52"/>
      <c r="JOL105" s="52"/>
      <c r="JPI105" s="52"/>
      <c r="JQF105" s="52"/>
      <c r="JRC105" s="52"/>
      <c r="JRZ105" s="52"/>
      <c r="JSW105" s="52"/>
      <c r="JTT105" s="52"/>
      <c r="JUQ105" s="52"/>
      <c r="JVN105" s="52"/>
      <c r="JWK105" s="52"/>
      <c r="JXH105" s="52"/>
      <c r="JYE105" s="52"/>
      <c r="JZB105" s="52"/>
      <c r="JZY105" s="52"/>
      <c r="KAV105" s="52"/>
      <c r="KBS105" s="52"/>
      <c r="KCP105" s="52"/>
      <c r="KDM105" s="52"/>
      <c r="KEJ105" s="52"/>
      <c r="KFG105" s="52"/>
      <c r="KGD105" s="52"/>
      <c r="KHA105" s="52"/>
      <c r="KHX105" s="52"/>
      <c r="KIU105" s="52"/>
      <c r="KJR105" s="52"/>
      <c r="KKO105" s="52"/>
      <c r="KLL105" s="52"/>
      <c r="KMI105" s="52"/>
      <c r="KNF105" s="52"/>
      <c r="KOC105" s="52"/>
      <c r="KOZ105" s="52"/>
      <c r="KPW105" s="52"/>
      <c r="KQT105" s="52"/>
      <c r="KRQ105" s="52"/>
      <c r="KSN105" s="52"/>
      <c r="KTK105" s="52"/>
      <c r="KUH105" s="52"/>
      <c r="KVE105" s="52"/>
      <c r="KWB105" s="52"/>
      <c r="KWY105" s="52"/>
      <c r="KXV105" s="52"/>
      <c r="KYS105" s="52"/>
      <c r="KZP105" s="52"/>
      <c r="LAM105" s="52"/>
      <c r="LBJ105" s="52"/>
      <c r="LCG105" s="52"/>
      <c r="LDD105" s="52"/>
      <c r="LEA105" s="52"/>
      <c r="LEX105" s="52"/>
      <c r="LFU105" s="52"/>
      <c r="LGR105" s="52"/>
      <c r="LHO105" s="52"/>
      <c r="LIL105" s="52"/>
      <c r="LJI105" s="52"/>
      <c r="LKF105" s="52"/>
      <c r="LLC105" s="52"/>
      <c r="LLZ105" s="52"/>
      <c r="LMW105" s="52"/>
      <c r="LNT105" s="52"/>
      <c r="LOQ105" s="52"/>
      <c r="LPN105" s="52"/>
      <c r="LQK105" s="52"/>
      <c r="LRH105" s="52"/>
      <c r="LSE105" s="52"/>
      <c r="LTB105" s="52"/>
      <c r="LTY105" s="52"/>
      <c r="LUV105" s="52"/>
      <c r="LVS105" s="52"/>
      <c r="LWP105" s="52"/>
      <c r="LXM105" s="52"/>
      <c r="LYJ105" s="52"/>
      <c r="LZG105" s="52"/>
      <c r="MAD105" s="52"/>
      <c r="MBA105" s="52"/>
      <c r="MBX105" s="52"/>
      <c r="MCU105" s="52"/>
      <c r="MDR105" s="52"/>
      <c r="MEO105" s="52"/>
      <c r="MFL105" s="52"/>
      <c r="MGI105" s="52"/>
      <c r="MHF105" s="52"/>
      <c r="MIC105" s="52"/>
      <c r="MIZ105" s="52"/>
      <c r="MJW105" s="52"/>
      <c r="MKT105" s="52"/>
      <c r="MLQ105" s="52"/>
      <c r="MMN105" s="52"/>
      <c r="MNK105" s="52"/>
      <c r="MOH105" s="52"/>
      <c r="MPE105" s="52"/>
      <c r="MQB105" s="52"/>
      <c r="MQY105" s="52"/>
      <c r="MRV105" s="52"/>
      <c r="MSS105" s="52"/>
      <c r="MTP105" s="52"/>
      <c r="MUM105" s="52"/>
      <c r="MVJ105" s="52"/>
      <c r="MWG105" s="52"/>
      <c r="MXD105" s="52"/>
      <c r="MYA105" s="52"/>
      <c r="MYX105" s="52"/>
      <c r="MZU105" s="52"/>
      <c r="NAR105" s="52"/>
      <c r="NBO105" s="52"/>
      <c r="NCL105" s="52"/>
      <c r="NDI105" s="52"/>
      <c r="NEF105" s="52"/>
      <c r="NFC105" s="52"/>
      <c r="NFZ105" s="52"/>
      <c r="NGW105" s="52"/>
      <c r="NHT105" s="52"/>
      <c r="NIQ105" s="52"/>
      <c r="NJN105" s="52"/>
      <c r="NKK105" s="52"/>
      <c r="NLH105" s="52"/>
      <c r="NME105" s="52"/>
      <c r="NNB105" s="52"/>
      <c r="NNY105" s="52"/>
      <c r="NOV105" s="52"/>
      <c r="NPS105" s="52"/>
      <c r="NQP105" s="52"/>
      <c r="NRM105" s="52"/>
      <c r="NSJ105" s="52"/>
      <c r="NTG105" s="52"/>
      <c r="NUD105" s="52"/>
      <c r="NVA105" s="52"/>
      <c r="NVX105" s="52"/>
      <c r="NWU105" s="52"/>
      <c r="NXR105" s="52"/>
      <c r="NYO105" s="52"/>
      <c r="NZL105" s="52"/>
      <c r="OAI105" s="52"/>
      <c r="OBF105" s="52"/>
      <c r="OCC105" s="52"/>
      <c r="OCZ105" s="52"/>
      <c r="ODW105" s="52"/>
      <c r="OET105" s="52"/>
      <c r="OFQ105" s="52"/>
      <c r="OGN105" s="52"/>
      <c r="OHK105" s="52"/>
      <c r="OIH105" s="52"/>
      <c r="OJE105" s="52"/>
      <c r="OKB105" s="52"/>
      <c r="OKY105" s="52"/>
      <c r="OLV105" s="52"/>
      <c r="OMS105" s="52"/>
      <c r="ONP105" s="52"/>
      <c r="OOM105" s="52"/>
      <c r="OPJ105" s="52"/>
      <c r="OQG105" s="52"/>
      <c r="ORD105" s="52"/>
      <c r="OSA105" s="52"/>
      <c r="OSX105" s="52"/>
      <c r="OTU105" s="52"/>
      <c r="OUR105" s="52"/>
      <c r="OVO105" s="52"/>
      <c r="OWL105" s="52"/>
      <c r="OXI105" s="52"/>
      <c r="OYF105" s="52"/>
      <c r="OZC105" s="52"/>
      <c r="OZZ105" s="52"/>
      <c r="PAW105" s="52"/>
      <c r="PBT105" s="52"/>
      <c r="PCQ105" s="52"/>
      <c r="PDN105" s="52"/>
      <c r="PEK105" s="52"/>
      <c r="PFH105" s="52"/>
      <c r="PGE105" s="52"/>
      <c r="PHB105" s="52"/>
      <c r="PHY105" s="52"/>
      <c r="PIV105" s="52"/>
      <c r="PJS105" s="52"/>
      <c r="PKP105" s="52"/>
      <c r="PLM105" s="52"/>
      <c r="PMJ105" s="52"/>
      <c r="PNG105" s="52"/>
      <c r="POD105" s="52"/>
      <c r="PPA105" s="52"/>
      <c r="PPX105" s="52"/>
      <c r="PQU105" s="52"/>
      <c r="PRR105" s="52"/>
      <c r="PSO105" s="52"/>
      <c r="PTL105" s="52"/>
      <c r="PUI105" s="52"/>
      <c r="PVF105" s="52"/>
      <c r="PWC105" s="52"/>
      <c r="PWZ105" s="52"/>
      <c r="PXW105" s="52"/>
      <c r="PYT105" s="52"/>
      <c r="PZQ105" s="52"/>
      <c r="QAN105" s="52"/>
      <c r="QBK105" s="52"/>
      <c r="QCH105" s="52"/>
      <c r="QDE105" s="52"/>
      <c r="QEB105" s="52"/>
      <c r="QEY105" s="52"/>
      <c r="QFV105" s="52"/>
      <c r="QGS105" s="52"/>
      <c r="QHP105" s="52"/>
      <c r="QIM105" s="52"/>
      <c r="QJJ105" s="52"/>
      <c r="QKG105" s="52"/>
      <c r="QLD105" s="52"/>
      <c r="QMA105" s="52"/>
      <c r="QMX105" s="52"/>
      <c r="QNU105" s="52"/>
      <c r="QOR105" s="52"/>
      <c r="QPO105" s="52"/>
      <c r="QQL105" s="52"/>
      <c r="QRI105" s="52"/>
      <c r="QSF105" s="52"/>
      <c r="QTC105" s="52"/>
      <c r="QTZ105" s="52"/>
      <c r="QUW105" s="52"/>
      <c r="QVT105" s="52"/>
      <c r="QWQ105" s="52"/>
      <c r="QXN105" s="52"/>
      <c r="QYK105" s="52"/>
      <c r="QZH105" s="52"/>
      <c r="RAE105" s="52"/>
      <c r="RBB105" s="52"/>
      <c r="RBY105" s="52"/>
      <c r="RCV105" s="52"/>
      <c r="RDS105" s="52"/>
      <c r="REP105" s="52"/>
      <c r="RFM105" s="52"/>
      <c r="RGJ105" s="52"/>
      <c r="RHG105" s="52"/>
      <c r="RID105" s="52"/>
      <c r="RJA105" s="52"/>
      <c r="RJX105" s="52"/>
      <c r="RKU105" s="52"/>
      <c r="RLR105" s="52"/>
      <c r="RMO105" s="52"/>
      <c r="RNL105" s="52"/>
      <c r="ROI105" s="52"/>
      <c r="RPF105" s="52"/>
      <c r="RQC105" s="52"/>
      <c r="RQZ105" s="52"/>
      <c r="RRW105" s="52"/>
      <c r="RST105" s="52"/>
      <c r="RTQ105" s="52"/>
      <c r="RUN105" s="52"/>
      <c r="RVK105" s="52"/>
      <c r="RWH105" s="52"/>
      <c r="RXE105" s="52"/>
      <c r="RYB105" s="52"/>
      <c r="RYY105" s="52"/>
      <c r="RZV105" s="52"/>
      <c r="SAS105" s="52"/>
      <c r="SBP105" s="52"/>
      <c r="SCM105" s="52"/>
      <c r="SDJ105" s="52"/>
      <c r="SEG105" s="52"/>
      <c r="SFD105" s="52"/>
      <c r="SGA105" s="52"/>
      <c r="SGX105" s="52"/>
      <c r="SHU105" s="52"/>
      <c r="SIR105" s="52"/>
      <c r="SJO105" s="52"/>
      <c r="SKL105" s="52"/>
      <c r="SLI105" s="52"/>
      <c r="SMF105" s="52"/>
      <c r="SNC105" s="52"/>
      <c r="SNZ105" s="52"/>
      <c r="SOW105" s="52"/>
      <c r="SPT105" s="52"/>
      <c r="SQQ105" s="52"/>
      <c r="SRN105" s="52"/>
      <c r="SSK105" s="52"/>
      <c r="STH105" s="52"/>
      <c r="SUE105" s="52"/>
      <c r="SVB105" s="52"/>
      <c r="SVY105" s="52"/>
      <c r="SWV105" s="52"/>
      <c r="SXS105" s="52"/>
      <c r="SYP105" s="52"/>
      <c r="SZM105" s="52"/>
      <c r="TAJ105" s="52"/>
      <c r="TBG105" s="52"/>
      <c r="TCD105" s="52"/>
      <c r="TDA105" s="52"/>
      <c r="TDX105" s="52"/>
      <c r="TEU105" s="52"/>
      <c r="TFR105" s="52"/>
      <c r="TGO105" s="52"/>
      <c r="THL105" s="52"/>
      <c r="TII105" s="52"/>
      <c r="TJF105" s="52"/>
      <c r="TKC105" s="52"/>
      <c r="TKZ105" s="52"/>
      <c r="TLW105" s="52"/>
      <c r="TMT105" s="52"/>
      <c r="TNQ105" s="52"/>
      <c r="TON105" s="52"/>
      <c r="TPK105" s="52"/>
      <c r="TQH105" s="52"/>
      <c r="TRE105" s="52"/>
      <c r="TSB105" s="52"/>
      <c r="TSY105" s="52"/>
      <c r="TTV105" s="52"/>
      <c r="TUS105" s="52"/>
      <c r="TVP105" s="52"/>
      <c r="TWM105" s="52"/>
      <c r="TXJ105" s="52"/>
      <c r="TYG105" s="52"/>
      <c r="TZD105" s="52"/>
      <c r="UAA105" s="52"/>
      <c r="UAX105" s="52"/>
      <c r="UBU105" s="52"/>
      <c r="UCR105" s="52"/>
      <c r="UDO105" s="52"/>
      <c r="UEL105" s="52"/>
      <c r="UFI105" s="52"/>
      <c r="UGF105" s="52"/>
      <c r="UHC105" s="52"/>
      <c r="UHZ105" s="52"/>
      <c r="UIW105" s="52"/>
      <c r="UJT105" s="52"/>
      <c r="UKQ105" s="52"/>
      <c r="ULN105" s="52"/>
      <c r="UMK105" s="52"/>
      <c r="UNH105" s="52"/>
      <c r="UOE105" s="52"/>
      <c r="UPB105" s="52"/>
      <c r="UPY105" s="52"/>
      <c r="UQV105" s="52"/>
      <c r="URS105" s="52"/>
      <c r="USP105" s="52"/>
      <c r="UTM105" s="52"/>
      <c r="UUJ105" s="52"/>
      <c r="UVG105" s="52"/>
      <c r="UWD105" s="52"/>
      <c r="UXA105" s="52"/>
      <c r="UXX105" s="52"/>
      <c r="UYU105" s="52"/>
      <c r="UZR105" s="52"/>
      <c r="VAO105" s="52"/>
      <c r="VBL105" s="52"/>
      <c r="VCI105" s="52"/>
      <c r="VDF105" s="52"/>
      <c r="VEC105" s="52"/>
      <c r="VEZ105" s="52"/>
      <c r="VFW105" s="52"/>
      <c r="VGT105" s="52"/>
      <c r="VHQ105" s="52"/>
      <c r="VIN105" s="52"/>
      <c r="VJK105" s="52"/>
      <c r="VKH105" s="52"/>
      <c r="VLE105" s="52"/>
      <c r="VMB105" s="52"/>
      <c r="VMY105" s="52"/>
      <c r="VNV105" s="52"/>
      <c r="VOS105" s="52"/>
      <c r="VPP105" s="52"/>
      <c r="VQM105" s="52"/>
      <c r="VRJ105" s="52"/>
      <c r="VSG105" s="52"/>
      <c r="VTD105" s="52"/>
      <c r="VUA105" s="52"/>
      <c r="VUX105" s="52"/>
      <c r="VVU105" s="52"/>
      <c r="VWR105" s="52"/>
      <c r="VXO105" s="52"/>
      <c r="VYL105" s="52"/>
      <c r="VZI105" s="52"/>
      <c r="WAF105" s="52"/>
      <c r="WBC105" s="52"/>
      <c r="WBZ105" s="52"/>
      <c r="WCW105" s="52"/>
      <c r="WDT105" s="52"/>
      <c r="WEQ105" s="52"/>
      <c r="WFN105" s="52"/>
      <c r="WGK105" s="52"/>
      <c r="WHH105" s="52"/>
      <c r="WIE105" s="52"/>
      <c r="WJB105" s="52"/>
      <c r="WJY105" s="52"/>
      <c r="WKV105" s="52"/>
      <c r="WLS105" s="52"/>
      <c r="WMP105" s="52"/>
      <c r="WNM105" s="52"/>
      <c r="WOJ105" s="52"/>
      <c r="WPG105" s="52"/>
      <c r="WQD105" s="52"/>
      <c r="WRA105" s="52"/>
      <c r="WRX105" s="52"/>
      <c r="WSU105" s="52"/>
      <c r="WTR105" s="52"/>
      <c r="WUO105" s="52"/>
      <c r="WVL105" s="52"/>
      <c r="WWI105" s="52"/>
      <c r="WXF105" s="52"/>
      <c r="WYC105" s="52"/>
      <c r="WYZ105" s="52"/>
      <c r="WZW105" s="52"/>
      <c r="XAT105" s="52"/>
      <c r="XBQ105" s="52"/>
      <c r="XCN105" s="52"/>
      <c r="XDK105" s="52"/>
      <c r="XEH105" s="52"/>
    </row>
    <row r="106" spans="1:1021 1044:2033 2056:3068 3091:4080 4103:5115 5138:6127 6150:7162 7185:8174 8197:9209 9232:10221 10244:11256 11279:12268 12291:13303 13326:14315 14338:15350 15373:16362" s="12" customFormat="1" x14ac:dyDescent="0.25">
      <c r="A106" s="12" t="s">
        <v>600</v>
      </c>
      <c r="B106" s="12" t="s">
        <v>133</v>
      </c>
      <c r="C106" s="22" t="s">
        <v>28</v>
      </c>
      <c r="F106" s="63">
        <f t="shared" ref="F106" si="537">+F98+F105</f>
        <v>0</v>
      </c>
      <c r="I106" s="52">
        <f t="shared" ref="I106" si="538">+I98+I105</f>
        <v>236.54199999999997</v>
      </c>
      <c r="J106" s="52">
        <f>+J98+J105</f>
        <v>256.52999999999997</v>
      </c>
      <c r="K106" s="474">
        <f t="shared" si="515"/>
        <v>307.81799999999998</v>
      </c>
      <c r="L106" s="52">
        <f t="shared" ref="L106:T106" si="539">+L98+L105</f>
        <v>307.81799999999998</v>
      </c>
      <c r="M106" s="424">
        <f t="shared" ref="M106" si="540">+M98+M105</f>
        <v>327.33600000000001</v>
      </c>
      <c r="N106" s="472">
        <f t="shared" si="516"/>
        <v>403.07400000000001</v>
      </c>
      <c r="O106" s="52">
        <f t="shared" ref="O106" si="541">+O98+O105</f>
        <v>403.07400000000001</v>
      </c>
      <c r="P106" s="63">
        <f t="shared" ref="P106:R106" ca="1" si="542">+P98+P105</f>
        <v>434.45375797764302</v>
      </c>
      <c r="Q106" s="63">
        <f t="shared" ca="1" si="542"/>
        <v>450.29503901631074</v>
      </c>
      <c r="R106" s="63">
        <f t="shared" ca="1" si="542"/>
        <v>450.29503901631074</v>
      </c>
      <c r="S106" s="63">
        <f t="shared" ca="1" si="539"/>
        <v>482.98936599919756</v>
      </c>
      <c r="T106" s="63">
        <f t="shared" ca="1" si="539"/>
        <v>511.92100621418132</v>
      </c>
      <c r="U106" s="63">
        <f t="shared" ref="U106" ca="1" si="543">+U98+U105</f>
        <v>511.92100621418132</v>
      </c>
      <c r="V106" s="63">
        <f t="shared" ref="V106:X106" ca="1" si="544">+V98+V105</f>
        <v>545.93819835941974</v>
      </c>
      <c r="W106" s="63">
        <f t="shared" ca="1" si="544"/>
        <v>573.80241855760767</v>
      </c>
      <c r="X106" s="63">
        <f t="shared" ca="1" si="544"/>
        <v>573.80241855760767</v>
      </c>
      <c r="Y106" s="63">
        <f t="shared" ref="Y106:AA106" ca="1" si="545">+Y98+Y105</f>
        <v>608.70932203972779</v>
      </c>
      <c r="Z106" s="63">
        <f t="shared" ca="1" si="545"/>
        <v>636.04311846285987</v>
      </c>
      <c r="AA106" s="63">
        <f t="shared" ca="1" si="545"/>
        <v>636.04311846285987</v>
      </c>
      <c r="AB106" s="63">
        <f t="shared" ref="AB106:AP106" ca="1" si="546">+AB98+AB105</f>
        <v>668.27232309912404</v>
      </c>
      <c r="AC106" s="63">
        <f t="shared" ca="1" si="546"/>
        <v>691.11199170374232</v>
      </c>
      <c r="AD106" s="63">
        <f t="shared" ca="1" si="546"/>
        <v>691.11199170374232</v>
      </c>
      <c r="AE106" s="63">
        <f t="shared" ca="1" si="546"/>
        <v>719.02433156085374</v>
      </c>
      <c r="AF106" s="63">
        <f t="shared" ca="1" si="546"/>
        <v>739.35225581718578</v>
      </c>
      <c r="AG106" s="63">
        <f t="shared" ca="1" si="546"/>
        <v>739.35225581718578</v>
      </c>
      <c r="AH106" s="63">
        <f t="shared" ca="1" si="546"/>
        <v>765.71617616861238</v>
      </c>
      <c r="AI106" s="63">
        <f t="shared" ca="1" si="546"/>
        <v>784.11613918254659</v>
      </c>
      <c r="AJ106" s="63">
        <f t="shared" ca="1" si="546"/>
        <v>784.11613918254659</v>
      </c>
      <c r="AK106" s="63">
        <f t="shared" ca="1" si="546"/>
        <v>808.76303670887876</v>
      </c>
      <c r="AL106" s="63">
        <f t="shared" ca="1" si="546"/>
        <v>825.0558245765975</v>
      </c>
      <c r="AM106" s="63">
        <f t="shared" ca="1" si="546"/>
        <v>825.0558245765975</v>
      </c>
      <c r="AN106" s="63">
        <f t="shared" ca="1" si="546"/>
        <v>843.55091153368539</v>
      </c>
      <c r="AO106" s="63">
        <f t="shared" ca="1" si="546"/>
        <v>856.65547487304968</v>
      </c>
      <c r="AP106" s="63">
        <f t="shared" ca="1" si="546"/>
        <v>856.65547487304968</v>
      </c>
      <c r="AQ106" s="63">
        <f t="shared" ref="AQ106:AS106" ca="1" si="547">+AQ98+AQ105</f>
        <v>871.28806184730115</v>
      </c>
      <c r="AR106" s="63">
        <f t="shared" ca="1" si="547"/>
        <v>882.75046000889802</v>
      </c>
      <c r="AS106" s="63">
        <f t="shared" ca="1" si="547"/>
        <v>882.75046000889802</v>
      </c>
      <c r="AT106" s="63">
        <f t="shared" ref="AT106:AV106" ca="1" si="548">+AT98+AT105</f>
        <v>895.88777776749976</v>
      </c>
      <c r="AU106" s="63">
        <f t="shared" ca="1" si="548"/>
        <v>906.01874610481923</v>
      </c>
      <c r="AV106" s="63">
        <f t="shared" ca="1" si="548"/>
        <v>906.01874610481923</v>
      </c>
      <c r="AW106" s="23"/>
      <c r="AX106" s="23"/>
      <c r="AY106" s="295"/>
      <c r="AZ106"/>
      <c r="BA106"/>
      <c r="BB106"/>
      <c r="BC106"/>
      <c r="BD106"/>
      <c r="BE106"/>
      <c r="BZ106" s="52"/>
      <c r="CW106" s="52"/>
      <c r="DT106" s="52"/>
      <c r="EQ106" s="52"/>
      <c r="FN106" s="52"/>
      <c r="GK106" s="52"/>
      <c r="HH106" s="52"/>
      <c r="IE106" s="52"/>
      <c r="JB106" s="52"/>
      <c r="JY106" s="52"/>
      <c r="KV106" s="52"/>
      <c r="LS106" s="52"/>
      <c r="MP106" s="52"/>
      <c r="NM106" s="52"/>
      <c r="OJ106" s="52"/>
      <c r="PG106" s="52"/>
      <c r="QD106" s="52"/>
      <c r="RA106" s="52"/>
      <c r="RX106" s="52"/>
      <c r="SU106" s="52"/>
      <c r="TR106" s="52"/>
      <c r="UO106" s="52"/>
      <c r="VL106" s="52"/>
      <c r="WI106" s="52"/>
      <c r="XF106" s="52"/>
      <c r="YC106" s="52"/>
      <c r="YZ106" s="52"/>
      <c r="ZW106" s="52"/>
      <c r="AAT106" s="52"/>
      <c r="ABQ106" s="52"/>
      <c r="ACN106" s="52"/>
      <c r="ADK106" s="52"/>
      <c r="AEH106" s="52"/>
      <c r="AFE106" s="52"/>
      <c r="AGB106" s="52"/>
      <c r="AGY106" s="52"/>
      <c r="AHV106" s="52"/>
      <c r="AIS106" s="52"/>
      <c r="AJP106" s="52"/>
      <c r="AKM106" s="52"/>
      <c r="ALJ106" s="52"/>
      <c r="AMG106" s="52"/>
      <c r="AND106" s="52"/>
      <c r="AOA106" s="52"/>
      <c r="AOX106" s="52"/>
      <c r="APU106" s="52"/>
      <c r="AQR106" s="52"/>
      <c r="ARO106" s="52"/>
      <c r="ASL106" s="52"/>
      <c r="ATI106" s="52"/>
      <c r="AUF106" s="52"/>
      <c r="AVC106" s="52"/>
      <c r="AVZ106" s="52"/>
      <c r="AWW106" s="52"/>
      <c r="AXT106" s="52"/>
      <c r="AYQ106" s="52"/>
      <c r="AZN106" s="52"/>
      <c r="BAK106" s="52"/>
      <c r="BBH106" s="52"/>
      <c r="BCE106" s="52"/>
      <c r="BDB106" s="52"/>
      <c r="BDY106" s="52"/>
      <c r="BEV106" s="52"/>
      <c r="BFS106" s="52"/>
      <c r="BGP106" s="52"/>
      <c r="BHM106" s="52"/>
      <c r="BIJ106" s="52"/>
      <c r="BJG106" s="52"/>
      <c r="BKD106" s="52"/>
      <c r="BLA106" s="52"/>
      <c r="BLX106" s="52"/>
      <c r="BMU106" s="52"/>
      <c r="BNR106" s="52"/>
      <c r="BOO106" s="52"/>
      <c r="BPL106" s="52"/>
      <c r="BQI106" s="52"/>
      <c r="BRF106" s="52"/>
      <c r="BSC106" s="52"/>
      <c r="BSZ106" s="52"/>
      <c r="BTW106" s="52"/>
      <c r="BUT106" s="52"/>
      <c r="BVQ106" s="52"/>
      <c r="BWN106" s="52"/>
      <c r="BXK106" s="52"/>
      <c r="BYH106" s="52"/>
      <c r="BZE106" s="52"/>
      <c r="CAB106" s="52"/>
      <c r="CAY106" s="52"/>
      <c r="CBV106" s="52"/>
      <c r="CCS106" s="52"/>
      <c r="CDP106" s="52"/>
      <c r="CEM106" s="52"/>
      <c r="CFJ106" s="52"/>
      <c r="CGG106" s="52"/>
      <c r="CHD106" s="52"/>
      <c r="CIA106" s="52"/>
      <c r="CIX106" s="52"/>
      <c r="CJU106" s="52"/>
      <c r="CKR106" s="52"/>
      <c r="CLO106" s="52"/>
      <c r="CML106" s="52"/>
      <c r="CNI106" s="52"/>
      <c r="COF106" s="52"/>
      <c r="CPC106" s="52"/>
      <c r="CPZ106" s="52"/>
      <c r="CQW106" s="52"/>
      <c r="CRT106" s="52"/>
      <c r="CSQ106" s="52"/>
      <c r="CTN106" s="52"/>
      <c r="CUK106" s="52"/>
      <c r="CVH106" s="52"/>
      <c r="CWE106" s="52"/>
      <c r="CXB106" s="52"/>
      <c r="CXY106" s="52"/>
      <c r="CYV106" s="52"/>
      <c r="CZS106" s="52"/>
      <c r="DAP106" s="52"/>
      <c r="DBM106" s="52"/>
      <c r="DCJ106" s="52"/>
      <c r="DDG106" s="52"/>
      <c r="DED106" s="52"/>
      <c r="DFA106" s="52"/>
      <c r="DFX106" s="52"/>
      <c r="DGU106" s="52"/>
      <c r="DHR106" s="52"/>
      <c r="DIO106" s="52"/>
      <c r="DJL106" s="52"/>
      <c r="DKI106" s="52"/>
      <c r="DLF106" s="52"/>
      <c r="DMC106" s="52"/>
      <c r="DMZ106" s="52"/>
      <c r="DNW106" s="52"/>
      <c r="DOT106" s="52"/>
      <c r="DPQ106" s="52"/>
      <c r="DQN106" s="52"/>
      <c r="DRK106" s="52"/>
      <c r="DSH106" s="52"/>
      <c r="DTE106" s="52"/>
      <c r="DUB106" s="52"/>
      <c r="DUY106" s="52"/>
      <c r="DVV106" s="52"/>
      <c r="DWS106" s="52"/>
      <c r="DXP106" s="52"/>
      <c r="DYM106" s="52"/>
      <c r="DZJ106" s="52"/>
      <c r="EAG106" s="52"/>
      <c r="EBD106" s="52"/>
      <c r="ECA106" s="52"/>
      <c r="ECX106" s="52"/>
      <c r="EDU106" s="52"/>
      <c r="EER106" s="52"/>
      <c r="EFO106" s="52"/>
      <c r="EGL106" s="52"/>
      <c r="EHI106" s="52"/>
      <c r="EIF106" s="52"/>
      <c r="EJC106" s="52"/>
      <c r="EJZ106" s="52"/>
      <c r="EKW106" s="52"/>
      <c r="ELT106" s="52"/>
      <c r="EMQ106" s="52"/>
      <c r="ENN106" s="52"/>
      <c r="EOK106" s="52"/>
      <c r="EPH106" s="52"/>
      <c r="EQE106" s="52"/>
      <c r="ERB106" s="52"/>
      <c r="ERY106" s="52"/>
      <c r="ESV106" s="52"/>
      <c r="ETS106" s="52"/>
      <c r="EUP106" s="52"/>
      <c r="EVM106" s="52"/>
      <c r="EWJ106" s="52"/>
      <c r="EXG106" s="52"/>
      <c r="EYD106" s="52"/>
      <c r="EZA106" s="52"/>
      <c r="EZX106" s="52"/>
      <c r="FAU106" s="52"/>
      <c r="FBR106" s="52"/>
      <c r="FCO106" s="52"/>
      <c r="FDL106" s="52"/>
      <c r="FEI106" s="52"/>
      <c r="FFF106" s="52"/>
      <c r="FGC106" s="52"/>
      <c r="FGZ106" s="52"/>
      <c r="FHW106" s="52"/>
      <c r="FIT106" s="52"/>
      <c r="FJQ106" s="52"/>
      <c r="FKN106" s="52"/>
      <c r="FLK106" s="52"/>
      <c r="FMH106" s="52"/>
      <c r="FNE106" s="52"/>
      <c r="FOB106" s="52"/>
      <c r="FOY106" s="52"/>
      <c r="FPV106" s="52"/>
      <c r="FQS106" s="52"/>
      <c r="FRP106" s="52"/>
      <c r="FSM106" s="52"/>
      <c r="FTJ106" s="52"/>
      <c r="FUG106" s="52"/>
      <c r="FVD106" s="52"/>
      <c r="FWA106" s="52"/>
      <c r="FWX106" s="52"/>
      <c r="FXU106" s="52"/>
      <c r="FYR106" s="52"/>
      <c r="FZO106" s="52"/>
      <c r="GAL106" s="52"/>
      <c r="GBI106" s="52"/>
      <c r="GCF106" s="52"/>
      <c r="GDC106" s="52"/>
      <c r="GDZ106" s="52"/>
      <c r="GEW106" s="52"/>
      <c r="GFT106" s="52"/>
      <c r="GGQ106" s="52"/>
      <c r="GHN106" s="52"/>
      <c r="GIK106" s="52"/>
      <c r="GJH106" s="52"/>
      <c r="GKE106" s="52"/>
      <c r="GLB106" s="52"/>
      <c r="GLY106" s="52"/>
      <c r="GMV106" s="52"/>
      <c r="GNS106" s="52"/>
      <c r="GOP106" s="52"/>
      <c r="GPM106" s="52"/>
      <c r="GQJ106" s="52"/>
      <c r="GRG106" s="52"/>
      <c r="GSD106" s="52"/>
      <c r="GTA106" s="52"/>
      <c r="GTX106" s="52"/>
      <c r="GUU106" s="52"/>
      <c r="GVR106" s="52"/>
      <c r="GWO106" s="52"/>
      <c r="GXL106" s="52"/>
      <c r="GYI106" s="52"/>
      <c r="GZF106" s="52"/>
      <c r="HAC106" s="52"/>
      <c r="HAZ106" s="52"/>
      <c r="HBW106" s="52"/>
      <c r="HCT106" s="52"/>
      <c r="HDQ106" s="52"/>
      <c r="HEN106" s="52"/>
      <c r="HFK106" s="52"/>
      <c r="HGH106" s="52"/>
      <c r="HHE106" s="52"/>
      <c r="HIB106" s="52"/>
      <c r="HIY106" s="52"/>
      <c r="HJV106" s="52"/>
      <c r="HKS106" s="52"/>
      <c r="HLP106" s="52"/>
      <c r="HMM106" s="52"/>
      <c r="HNJ106" s="52"/>
      <c r="HOG106" s="52"/>
      <c r="HPD106" s="52"/>
      <c r="HQA106" s="52"/>
      <c r="HQX106" s="52"/>
      <c r="HRU106" s="52"/>
      <c r="HSR106" s="52"/>
      <c r="HTO106" s="52"/>
      <c r="HUL106" s="52"/>
      <c r="HVI106" s="52"/>
      <c r="HWF106" s="52"/>
      <c r="HXC106" s="52"/>
      <c r="HXZ106" s="52"/>
      <c r="HYW106" s="52"/>
      <c r="HZT106" s="52"/>
      <c r="IAQ106" s="52"/>
      <c r="IBN106" s="52"/>
      <c r="ICK106" s="52"/>
      <c r="IDH106" s="52"/>
      <c r="IEE106" s="52"/>
      <c r="IFB106" s="52"/>
      <c r="IFY106" s="52"/>
      <c r="IGV106" s="52"/>
      <c r="IHS106" s="52"/>
      <c r="IIP106" s="52"/>
      <c r="IJM106" s="52"/>
      <c r="IKJ106" s="52"/>
      <c r="ILG106" s="52"/>
      <c r="IMD106" s="52"/>
      <c r="INA106" s="52"/>
      <c r="INX106" s="52"/>
      <c r="IOU106" s="52"/>
      <c r="IPR106" s="52"/>
      <c r="IQO106" s="52"/>
      <c r="IRL106" s="52"/>
      <c r="ISI106" s="52"/>
      <c r="ITF106" s="52"/>
      <c r="IUC106" s="52"/>
      <c r="IUZ106" s="52"/>
      <c r="IVW106" s="52"/>
      <c r="IWT106" s="52"/>
      <c r="IXQ106" s="52"/>
      <c r="IYN106" s="52"/>
      <c r="IZK106" s="52"/>
      <c r="JAH106" s="52"/>
      <c r="JBE106" s="52"/>
      <c r="JCB106" s="52"/>
      <c r="JCY106" s="52"/>
      <c r="JDV106" s="52"/>
      <c r="JES106" s="52"/>
      <c r="JFP106" s="52"/>
      <c r="JGM106" s="52"/>
      <c r="JHJ106" s="52"/>
      <c r="JIG106" s="52"/>
      <c r="JJD106" s="52"/>
      <c r="JKA106" s="52"/>
      <c r="JKX106" s="52"/>
      <c r="JLU106" s="52"/>
      <c r="JMR106" s="52"/>
      <c r="JNO106" s="52"/>
      <c r="JOL106" s="52"/>
      <c r="JPI106" s="52"/>
      <c r="JQF106" s="52"/>
      <c r="JRC106" s="52"/>
      <c r="JRZ106" s="52"/>
      <c r="JSW106" s="52"/>
      <c r="JTT106" s="52"/>
      <c r="JUQ106" s="52"/>
      <c r="JVN106" s="52"/>
      <c r="JWK106" s="52"/>
      <c r="JXH106" s="52"/>
      <c r="JYE106" s="52"/>
      <c r="JZB106" s="52"/>
      <c r="JZY106" s="52"/>
      <c r="KAV106" s="52"/>
      <c r="KBS106" s="52"/>
      <c r="KCP106" s="52"/>
      <c r="KDM106" s="52"/>
      <c r="KEJ106" s="52"/>
      <c r="KFG106" s="52"/>
      <c r="KGD106" s="52"/>
      <c r="KHA106" s="52"/>
      <c r="KHX106" s="52"/>
      <c r="KIU106" s="52"/>
      <c r="KJR106" s="52"/>
      <c r="KKO106" s="52"/>
      <c r="KLL106" s="52"/>
      <c r="KMI106" s="52"/>
      <c r="KNF106" s="52"/>
      <c r="KOC106" s="52"/>
      <c r="KOZ106" s="52"/>
      <c r="KPW106" s="52"/>
      <c r="KQT106" s="52"/>
      <c r="KRQ106" s="52"/>
      <c r="KSN106" s="52"/>
      <c r="KTK106" s="52"/>
      <c r="KUH106" s="52"/>
      <c r="KVE106" s="52"/>
      <c r="KWB106" s="52"/>
      <c r="KWY106" s="52"/>
      <c r="KXV106" s="52"/>
      <c r="KYS106" s="52"/>
      <c r="KZP106" s="52"/>
      <c r="LAM106" s="52"/>
      <c r="LBJ106" s="52"/>
      <c r="LCG106" s="52"/>
      <c r="LDD106" s="52"/>
      <c r="LEA106" s="52"/>
      <c r="LEX106" s="52"/>
      <c r="LFU106" s="52"/>
      <c r="LGR106" s="52"/>
      <c r="LHO106" s="52"/>
      <c r="LIL106" s="52"/>
      <c r="LJI106" s="52"/>
      <c r="LKF106" s="52"/>
      <c r="LLC106" s="52"/>
      <c r="LLZ106" s="52"/>
      <c r="LMW106" s="52"/>
      <c r="LNT106" s="52"/>
      <c r="LOQ106" s="52"/>
      <c r="LPN106" s="52"/>
      <c r="LQK106" s="52"/>
      <c r="LRH106" s="52"/>
      <c r="LSE106" s="52"/>
      <c r="LTB106" s="52"/>
      <c r="LTY106" s="52"/>
      <c r="LUV106" s="52"/>
      <c r="LVS106" s="52"/>
      <c r="LWP106" s="52"/>
      <c r="LXM106" s="52"/>
      <c r="LYJ106" s="52"/>
      <c r="LZG106" s="52"/>
      <c r="MAD106" s="52"/>
      <c r="MBA106" s="52"/>
      <c r="MBX106" s="52"/>
      <c r="MCU106" s="52"/>
      <c r="MDR106" s="52"/>
      <c r="MEO106" s="52"/>
      <c r="MFL106" s="52"/>
      <c r="MGI106" s="52"/>
      <c r="MHF106" s="52"/>
      <c r="MIC106" s="52"/>
      <c r="MIZ106" s="52"/>
      <c r="MJW106" s="52"/>
      <c r="MKT106" s="52"/>
      <c r="MLQ106" s="52"/>
      <c r="MMN106" s="52"/>
      <c r="MNK106" s="52"/>
      <c r="MOH106" s="52"/>
      <c r="MPE106" s="52"/>
      <c r="MQB106" s="52"/>
      <c r="MQY106" s="52"/>
      <c r="MRV106" s="52"/>
      <c r="MSS106" s="52"/>
      <c r="MTP106" s="52"/>
      <c r="MUM106" s="52"/>
      <c r="MVJ106" s="52"/>
      <c r="MWG106" s="52"/>
      <c r="MXD106" s="52"/>
      <c r="MYA106" s="52"/>
      <c r="MYX106" s="52"/>
      <c r="MZU106" s="52"/>
      <c r="NAR106" s="52"/>
      <c r="NBO106" s="52"/>
      <c r="NCL106" s="52"/>
      <c r="NDI106" s="52"/>
      <c r="NEF106" s="52"/>
      <c r="NFC106" s="52"/>
      <c r="NFZ106" s="52"/>
      <c r="NGW106" s="52"/>
      <c r="NHT106" s="52"/>
      <c r="NIQ106" s="52"/>
      <c r="NJN106" s="52"/>
      <c r="NKK106" s="52"/>
      <c r="NLH106" s="52"/>
      <c r="NME106" s="52"/>
      <c r="NNB106" s="52"/>
      <c r="NNY106" s="52"/>
      <c r="NOV106" s="52"/>
      <c r="NPS106" s="52"/>
      <c r="NQP106" s="52"/>
      <c r="NRM106" s="52"/>
      <c r="NSJ106" s="52"/>
      <c r="NTG106" s="52"/>
      <c r="NUD106" s="52"/>
      <c r="NVA106" s="52"/>
      <c r="NVX106" s="52"/>
      <c r="NWU106" s="52"/>
      <c r="NXR106" s="52"/>
      <c r="NYO106" s="52"/>
      <c r="NZL106" s="52"/>
      <c r="OAI106" s="52"/>
      <c r="OBF106" s="52"/>
      <c r="OCC106" s="52"/>
      <c r="OCZ106" s="52"/>
      <c r="ODW106" s="52"/>
      <c r="OET106" s="52"/>
      <c r="OFQ106" s="52"/>
      <c r="OGN106" s="52"/>
      <c r="OHK106" s="52"/>
      <c r="OIH106" s="52"/>
      <c r="OJE106" s="52"/>
      <c r="OKB106" s="52"/>
      <c r="OKY106" s="52"/>
      <c r="OLV106" s="52"/>
      <c r="OMS106" s="52"/>
      <c r="ONP106" s="52"/>
      <c r="OOM106" s="52"/>
      <c r="OPJ106" s="52"/>
      <c r="OQG106" s="52"/>
      <c r="ORD106" s="52"/>
      <c r="OSA106" s="52"/>
      <c r="OSX106" s="52"/>
      <c r="OTU106" s="52"/>
      <c r="OUR106" s="52"/>
      <c r="OVO106" s="52"/>
      <c r="OWL106" s="52"/>
      <c r="OXI106" s="52"/>
      <c r="OYF106" s="52"/>
      <c r="OZC106" s="52"/>
      <c r="OZZ106" s="52"/>
      <c r="PAW106" s="52"/>
      <c r="PBT106" s="52"/>
      <c r="PCQ106" s="52"/>
      <c r="PDN106" s="52"/>
      <c r="PEK106" s="52"/>
      <c r="PFH106" s="52"/>
      <c r="PGE106" s="52"/>
      <c r="PHB106" s="52"/>
      <c r="PHY106" s="52"/>
      <c r="PIV106" s="52"/>
      <c r="PJS106" s="52"/>
      <c r="PKP106" s="52"/>
      <c r="PLM106" s="52"/>
      <c r="PMJ106" s="52"/>
      <c r="PNG106" s="52"/>
      <c r="POD106" s="52"/>
      <c r="PPA106" s="52"/>
      <c r="PPX106" s="52"/>
      <c r="PQU106" s="52"/>
      <c r="PRR106" s="52"/>
      <c r="PSO106" s="52"/>
      <c r="PTL106" s="52"/>
      <c r="PUI106" s="52"/>
      <c r="PVF106" s="52"/>
      <c r="PWC106" s="52"/>
      <c r="PWZ106" s="52"/>
      <c r="PXW106" s="52"/>
      <c r="PYT106" s="52"/>
      <c r="PZQ106" s="52"/>
      <c r="QAN106" s="52"/>
      <c r="QBK106" s="52"/>
      <c r="QCH106" s="52"/>
      <c r="QDE106" s="52"/>
      <c r="QEB106" s="52"/>
      <c r="QEY106" s="52"/>
      <c r="QFV106" s="52"/>
      <c r="QGS106" s="52"/>
      <c r="QHP106" s="52"/>
      <c r="QIM106" s="52"/>
      <c r="QJJ106" s="52"/>
      <c r="QKG106" s="52"/>
      <c r="QLD106" s="52"/>
      <c r="QMA106" s="52"/>
      <c r="QMX106" s="52"/>
      <c r="QNU106" s="52"/>
      <c r="QOR106" s="52"/>
      <c r="QPO106" s="52"/>
      <c r="QQL106" s="52"/>
      <c r="QRI106" s="52"/>
      <c r="QSF106" s="52"/>
      <c r="QTC106" s="52"/>
      <c r="QTZ106" s="52"/>
      <c r="QUW106" s="52"/>
      <c r="QVT106" s="52"/>
      <c r="QWQ106" s="52"/>
      <c r="QXN106" s="52"/>
      <c r="QYK106" s="52"/>
      <c r="QZH106" s="52"/>
      <c r="RAE106" s="52"/>
      <c r="RBB106" s="52"/>
      <c r="RBY106" s="52"/>
      <c r="RCV106" s="52"/>
      <c r="RDS106" s="52"/>
      <c r="REP106" s="52"/>
      <c r="RFM106" s="52"/>
      <c r="RGJ106" s="52"/>
      <c r="RHG106" s="52"/>
      <c r="RID106" s="52"/>
      <c r="RJA106" s="52"/>
      <c r="RJX106" s="52"/>
      <c r="RKU106" s="52"/>
      <c r="RLR106" s="52"/>
      <c r="RMO106" s="52"/>
      <c r="RNL106" s="52"/>
      <c r="ROI106" s="52"/>
      <c r="RPF106" s="52"/>
      <c r="RQC106" s="52"/>
      <c r="RQZ106" s="52"/>
      <c r="RRW106" s="52"/>
      <c r="RST106" s="52"/>
      <c r="RTQ106" s="52"/>
      <c r="RUN106" s="52"/>
      <c r="RVK106" s="52"/>
      <c r="RWH106" s="52"/>
      <c r="RXE106" s="52"/>
      <c r="RYB106" s="52"/>
      <c r="RYY106" s="52"/>
      <c r="RZV106" s="52"/>
      <c r="SAS106" s="52"/>
      <c r="SBP106" s="52"/>
      <c r="SCM106" s="52"/>
      <c r="SDJ106" s="52"/>
      <c r="SEG106" s="52"/>
      <c r="SFD106" s="52"/>
      <c r="SGA106" s="52"/>
      <c r="SGX106" s="52"/>
      <c r="SHU106" s="52"/>
      <c r="SIR106" s="52"/>
      <c r="SJO106" s="52"/>
      <c r="SKL106" s="52"/>
      <c r="SLI106" s="52"/>
      <c r="SMF106" s="52"/>
      <c r="SNC106" s="52"/>
      <c r="SNZ106" s="52"/>
      <c r="SOW106" s="52"/>
      <c r="SPT106" s="52"/>
      <c r="SQQ106" s="52"/>
      <c r="SRN106" s="52"/>
      <c r="SSK106" s="52"/>
      <c r="STH106" s="52"/>
      <c r="SUE106" s="52"/>
      <c r="SVB106" s="52"/>
      <c r="SVY106" s="52"/>
      <c r="SWV106" s="52"/>
      <c r="SXS106" s="52"/>
      <c r="SYP106" s="52"/>
      <c r="SZM106" s="52"/>
      <c r="TAJ106" s="52"/>
      <c r="TBG106" s="52"/>
      <c r="TCD106" s="52"/>
      <c r="TDA106" s="52"/>
      <c r="TDX106" s="52"/>
      <c r="TEU106" s="52"/>
      <c r="TFR106" s="52"/>
      <c r="TGO106" s="52"/>
      <c r="THL106" s="52"/>
      <c r="TII106" s="52"/>
      <c r="TJF106" s="52"/>
      <c r="TKC106" s="52"/>
      <c r="TKZ106" s="52"/>
      <c r="TLW106" s="52"/>
      <c r="TMT106" s="52"/>
      <c r="TNQ106" s="52"/>
      <c r="TON106" s="52"/>
      <c r="TPK106" s="52"/>
      <c r="TQH106" s="52"/>
      <c r="TRE106" s="52"/>
      <c r="TSB106" s="52"/>
      <c r="TSY106" s="52"/>
      <c r="TTV106" s="52"/>
      <c r="TUS106" s="52"/>
      <c r="TVP106" s="52"/>
      <c r="TWM106" s="52"/>
      <c r="TXJ106" s="52"/>
      <c r="TYG106" s="52"/>
      <c r="TZD106" s="52"/>
      <c r="UAA106" s="52"/>
      <c r="UAX106" s="52"/>
      <c r="UBU106" s="52"/>
      <c r="UCR106" s="52"/>
      <c r="UDO106" s="52"/>
      <c r="UEL106" s="52"/>
      <c r="UFI106" s="52"/>
      <c r="UGF106" s="52"/>
      <c r="UHC106" s="52"/>
      <c r="UHZ106" s="52"/>
      <c r="UIW106" s="52"/>
      <c r="UJT106" s="52"/>
      <c r="UKQ106" s="52"/>
      <c r="ULN106" s="52"/>
      <c r="UMK106" s="52"/>
      <c r="UNH106" s="52"/>
      <c r="UOE106" s="52"/>
      <c r="UPB106" s="52"/>
      <c r="UPY106" s="52"/>
      <c r="UQV106" s="52"/>
      <c r="URS106" s="52"/>
      <c r="USP106" s="52"/>
      <c r="UTM106" s="52"/>
      <c r="UUJ106" s="52"/>
      <c r="UVG106" s="52"/>
      <c r="UWD106" s="52"/>
      <c r="UXA106" s="52"/>
      <c r="UXX106" s="52"/>
      <c r="UYU106" s="52"/>
      <c r="UZR106" s="52"/>
      <c r="VAO106" s="52"/>
      <c r="VBL106" s="52"/>
      <c r="VCI106" s="52"/>
      <c r="VDF106" s="52"/>
      <c r="VEC106" s="52"/>
      <c r="VEZ106" s="52"/>
      <c r="VFW106" s="52"/>
      <c r="VGT106" s="52"/>
      <c r="VHQ106" s="52"/>
      <c r="VIN106" s="52"/>
      <c r="VJK106" s="52"/>
      <c r="VKH106" s="52"/>
      <c r="VLE106" s="52"/>
      <c r="VMB106" s="52"/>
      <c r="VMY106" s="52"/>
      <c r="VNV106" s="52"/>
      <c r="VOS106" s="52"/>
      <c r="VPP106" s="52"/>
      <c r="VQM106" s="52"/>
      <c r="VRJ106" s="52"/>
      <c r="VSG106" s="52"/>
      <c r="VTD106" s="52"/>
      <c r="VUA106" s="52"/>
      <c r="VUX106" s="52"/>
      <c r="VVU106" s="52"/>
      <c r="VWR106" s="52"/>
      <c r="VXO106" s="52"/>
      <c r="VYL106" s="52"/>
      <c r="VZI106" s="52"/>
      <c r="WAF106" s="52"/>
      <c r="WBC106" s="52"/>
      <c r="WBZ106" s="52"/>
      <c r="WCW106" s="52"/>
      <c r="WDT106" s="52"/>
      <c r="WEQ106" s="52"/>
      <c r="WFN106" s="52"/>
      <c r="WGK106" s="52"/>
      <c r="WHH106" s="52"/>
      <c r="WIE106" s="52"/>
      <c r="WJB106" s="52"/>
      <c r="WJY106" s="52"/>
      <c r="WKV106" s="52"/>
      <c r="WLS106" s="52"/>
      <c r="WMP106" s="52"/>
      <c r="WNM106" s="52"/>
      <c r="WOJ106" s="52"/>
      <c r="WPG106" s="52"/>
      <c r="WQD106" s="52"/>
      <c r="WRA106" s="52"/>
      <c r="WRX106" s="52"/>
      <c r="WSU106" s="52"/>
      <c r="WTR106" s="52"/>
      <c r="WUO106" s="52"/>
      <c r="WVL106" s="52"/>
      <c r="WWI106" s="52"/>
      <c r="WXF106" s="52"/>
      <c r="WYC106" s="52"/>
      <c r="WYZ106" s="52"/>
      <c r="WZW106" s="52"/>
      <c r="XAT106" s="52"/>
      <c r="XBQ106" s="52"/>
      <c r="XCN106" s="52"/>
      <c r="XDK106" s="52"/>
      <c r="XEH106" s="52"/>
    </row>
    <row r="107" spans="1:1021 1044:2033 2056:3068 3091:4080 4103:5115 5138:6127 6150:7162 7185:8174 8197:9209 9232:10221 10244:11256 11279:12268 12291:13303 13326:14315 14338:15350 15373:16362" x14ac:dyDescent="0.25">
      <c r="I107" s="19"/>
      <c r="J107" s="19"/>
      <c r="K107" s="19"/>
      <c r="L107" s="19"/>
      <c r="M107" s="291"/>
      <c r="N107" s="19"/>
      <c r="O107" s="19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  <c r="AP107" s="21"/>
      <c r="AQ107" s="21"/>
      <c r="AR107" s="21"/>
      <c r="AS107" s="21"/>
      <c r="AT107" s="21"/>
      <c r="AU107" s="21"/>
      <c r="AV107" s="21"/>
      <c r="AW107" s="23"/>
      <c r="AX107" s="23"/>
      <c r="AY107" s="295"/>
    </row>
    <row r="108" spans="1:1021 1044:2033 2056:3068 3091:4080 4103:5115 5138:6127 6150:7162 7185:8174 8197:9209 9232:10221 10244:11256 11279:12268 12291:13303 13326:14315 14338:15350 15373:16362" s="12" customFormat="1" x14ac:dyDescent="0.25">
      <c r="A108" s="8" t="s">
        <v>469</v>
      </c>
      <c r="B108" s="12" t="s">
        <v>134</v>
      </c>
      <c r="C108" s="22" t="s">
        <v>28</v>
      </c>
      <c r="F108" s="63">
        <f t="shared" ref="F108" si="549">+F90-F106</f>
        <v>0</v>
      </c>
      <c r="I108" s="52">
        <f t="shared" ref="I108" si="550">+I90-I106</f>
        <v>87.965000000000032</v>
      </c>
      <c r="J108" s="52">
        <f t="shared" ref="J108:X108" si="551">+J90-J106</f>
        <v>347.37</v>
      </c>
      <c r="K108" s="474">
        <f t="shared" si="515"/>
        <v>353.97900000000004</v>
      </c>
      <c r="L108" s="52">
        <f t="shared" si="551"/>
        <v>353.97900000000004</v>
      </c>
      <c r="M108" s="424">
        <f t="shared" ref="M108" si="552">+M90-M106</f>
        <v>367.63300000000004</v>
      </c>
      <c r="N108" s="472">
        <f t="shared" ref="N108:N111" si="553">O108</f>
        <v>380.12400000000008</v>
      </c>
      <c r="O108" s="52">
        <f t="shared" ref="O108" si="554">+O90-O106</f>
        <v>380.12400000000008</v>
      </c>
      <c r="P108" s="63">
        <f t="shared" ca="1" si="551"/>
        <v>387.38656440705472</v>
      </c>
      <c r="Q108" s="63">
        <f t="shared" ca="1" si="551"/>
        <v>395.18093237310813</v>
      </c>
      <c r="R108" s="63">
        <f t="shared" ca="1" si="551"/>
        <v>395.18093237310813</v>
      </c>
      <c r="S108" s="63">
        <f t="shared" ca="1" si="551"/>
        <v>404.82531419277933</v>
      </c>
      <c r="T108" s="63">
        <f t="shared" ca="1" si="551"/>
        <v>416.08386560233811</v>
      </c>
      <c r="U108" s="63">
        <f t="shared" ca="1" si="551"/>
        <v>416.08386560233811</v>
      </c>
      <c r="V108" s="63">
        <f t="shared" ca="1" si="551"/>
        <v>429.60769621723114</v>
      </c>
      <c r="W108" s="63">
        <f t="shared" ca="1" si="551"/>
        <v>443.43583123622602</v>
      </c>
      <c r="X108" s="63">
        <f t="shared" ca="1" si="551"/>
        <v>443.43583123622602</v>
      </c>
      <c r="Y108" s="63">
        <f t="shared" ref="Y108:AA108" ca="1" si="555">+Y90-Y106</f>
        <v>461.09594222777946</v>
      </c>
      <c r="Z108" s="63">
        <f t="shared" ca="1" si="555"/>
        <v>479.37515961065924</v>
      </c>
      <c r="AA108" s="63">
        <f t="shared" ca="1" si="555"/>
        <v>479.37515961065924</v>
      </c>
      <c r="AB108" s="63">
        <f t="shared" ref="AB108:AP108" ca="1" si="556">+AB90-AB106</f>
        <v>500.8518201819885</v>
      </c>
      <c r="AC108" s="63">
        <f t="shared" ca="1" si="556"/>
        <v>524.20699988861691</v>
      </c>
      <c r="AD108" s="63">
        <f t="shared" ca="1" si="556"/>
        <v>524.20699988861691</v>
      </c>
      <c r="AE108" s="63">
        <f t="shared" ca="1" si="556"/>
        <v>550.15518469836559</v>
      </c>
      <c r="AF108" s="63">
        <f t="shared" ca="1" si="556"/>
        <v>578.21449958537823</v>
      </c>
      <c r="AG108" s="63">
        <f t="shared" ca="1" si="556"/>
        <v>578.21449958537823</v>
      </c>
      <c r="AH108" s="63">
        <f t="shared" ca="1" si="556"/>
        <v>609.19762665054475</v>
      </c>
      <c r="AI108" s="63">
        <f t="shared" ca="1" si="556"/>
        <v>642.55126194509</v>
      </c>
      <c r="AJ108" s="63">
        <f t="shared" ca="1" si="556"/>
        <v>642.55126194509</v>
      </c>
      <c r="AK108" s="63">
        <f t="shared" ca="1" si="556"/>
        <v>679.18348205464156</v>
      </c>
      <c r="AL108" s="63">
        <f t="shared" ca="1" si="556"/>
        <v>718.47476061571717</v>
      </c>
      <c r="AM108" s="63">
        <f t="shared" ca="1" si="556"/>
        <v>718.47476061571717</v>
      </c>
      <c r="AN108" s="63">
        <f t="shared" ca="1" si="556"/>
        <v>760.02499176138622</v>
      </c>
      <c r="AO108" s="63">
        <f t="shared" ca="1" si="556"/>
        <v>804.22857321331264</v>
      </c>
      <c r="AP108" s="63">
        <f t="shared" ca="1" si="556"/>
        <v>804.22857321331264</v>
      </c>
      <c r="AQ108" s="63">
        <f t="shared" ref="AQ108:AS108" ca="1" si="557">+AQ90-AQ106</f>
        <v>850.24425186583017</v>
      </c>
      <c r="AR108" s="63">
        <f t="shared" ca="1" si="557"/>
        <v>899.11581353361566</v>
      </c>
      <c r="AS108" s="63">
        <f t="shared" ca="1" si="557"/>
        <v>899.11581353361566</v>
      </c>
      <c r="AT108" s="63">
        <f t="shared" ref="AT108:AV108" ca="1" si="558">+AT90-AT106</f>
        <v>949.77787966443839</v>
      </c>
      <c r="AU108" s="63">
        <f t="shared" ca="1" si="558"/>
        <v>1003.503700185521</v>
      </c>
      <c r="AV108" s="63">
        <f t="shared" ca="1" si="558"/>
        <v>1003.503700185521</v>
      </c>
      <c r="AW108" s="23"/>
      <c r="AX108" s="23"/>
      <c r="AY108" s="295"/>
      <c r="AZ108"/>
      <c r="BA108"/>
      <c r="BB108"/>
      <c r="BC108"/>
      <c r="BD108"/>
      <c r="BE108"/>
      <c r="BZ108" s="52"/>
      <c r="CW108" s="52"/>
      <c r="DT108" s="52"/>
      <c r="EQ108" s="52"/>
      <c r="FN108" s="52"/>
      <c r="GK108" s="52"/>
      <c r="HH108" s="52"/>
      <c r="IE108" s="52"/>
      <c r="JB108" s="52"/>
      <c r="JY108" s="52"/>
      <c r="KV108" s="52"/>
      <c r="LS108" s="52"/>
      <c r="MP108" s="52"/>
      <c r="NM108" s="52"/>
      <c r="OJ108" s="52"/>
      <c r="PG108" s="52"/>
      <c r="QD108" s="52"/>
      <c r="RA108" s="52"/>
      <c r="RX108" s="52"/>
      <c r="SU108" s="52"/>
      <c r="TR108" s="52"/>
      <c r="UO108" s="52"/>
      <c r="VL108" s="52"/>
      <c r="WI108" s="52"/>
      <c r="XF108" s="52"/>
      <c r="YC108" s="52"/>
      <c r="YZ108" s="52"/>
      <c r="ZW108" s="52"/>
      <c r="AAT108" s="52"/>
      <c r="ABQ108" s="52"/>
      <c r="ACN108" s="52"/>
      <c r="ADK108" s="52"/>
      <c r="AEH108" s="52"/>
      <c r="AFE108" s="52"/>
      <c r="AGB108" s="52"/>
      <c r="AGY108" s="52"/>
      <c r="AHV108" s="52"/>
      <c r="AIS108" s="52"/>
      <c r="AJP108" s="52"/>
      <c r="AKM108" s="52"/>
      <c r="ALJ108" s="52"/>
      <c r="AMG108" s="52"/>
      <c r="AND108" s="52"/>
      <c r="AOA108" s="52"/>
      <c r="AOX108" s="52"/>
      <c r="APU108" s="52"/>
      <c r="AQR108" s="52"/>
      <c r="ARO108" s="52"/>
      <c r="ASL108" s="52"/>
      <c r="ATI108" s="52"/>
      <c r="AUF108" s="52"/>
      <c r="AVC108" s="52"/>
      <c r="AVZ108" s="52"/>
      <c r="AWW108" s="52"/>
      <c r="AXT108" s="52"/>
      <c r="AYQ108" s="52"/>
      <c r="AZN108" s="52"/>
      <c r="BAK108" s="52"/>
      <c r="BBH108" s="52"/>
      <c r="BCE108" s="52"/>
      <c r="BDB108" s="52"/>
      <c r="BDY108" s="52"/>
      <c r="BEV108" s="52"/>
      <c r="BFS108" s="52"/>
      <c r="BGP108" s="52"/>
      <c r="BHM108" s="52"/>
      <c r="BIJ108" s="52"/>
      <c r="BJG108" s="52"/>
      <c r="BKD108" s="52"/>
      <c r="BLA108" s="52"/>
      <c r="BLX108" s="52"/>
      <c r="BMU108" s="52"/>
      <c r="BNR108" s="52"/>
      <c r="BOO108" s="52"/>
      <c r="BPL108" s="52"/>
      <c r="BQI108" s="52"/>
      <c r="BRF108" s="52"/>
      <c r="BSC108" s="52"/>
      <c r="BSZ108" s="52"/>
      <c r="BTW108" s="52"/>
      <c r="BUT108" s="52"/>
      <c r="BVQ108" s="52"/>
      <c r="BWN108" s="52"/>
      <c r="BXK108" s="52"/>
      <c r="BYH108" s="52"/>
      <c r="BZE108" s="52"/>
      <c r="CAB108" s="52"/>
      <c r="CAY108" s="52"/>
      <c r="CBV108" s="52"/>
      <c r="CCS108" s="52"/>
      <c r="CDP108" s="52"/>
      <c r="CEM108" s="52"/>
      <c r="CFJ108" s="52"/>
      <c r="CGG108" s="52"/>
      <c r="CHD108" s="52"/>
      <c r="CIA108" s="52"/>
      <c r="CIX108" s="52"/>
      <c r="CJU108" s="52"/>
      <c r="CKR108" s="52"/>
      <c r="CLO108" s="52"/>
      <c r="CML108" s="52"/>
      <c r="CNI108" s="52"/>
      <c r="COF108" s="52"/>
      <c r="CPC108" s="52"/>
      <c r="CPZ108" s="52"/>
      <c r="CQW108" s="52"/>
      <c r="CRT108" s="52"/>
      <c r="CSQ108" s="52"/>
      <c r="CTN108" s="52"/>
      <c r="CUK108" s="52"/>
      <c r="CVH108" s="52"/>
      <c r="CWE108" s="52"/>
      <c r="CXB108" s="52"/>
      <c r="CXY108" s="52"/>
      <c r="CYV108" s="52"/>
      <c r="CZS108" s="52"/>
      <c r="DAP108" s="52"/>
      <c r="DBM108" s="52"/>
      <c r="DCJ108" s="52"/>
      <c r="DDG108" s="52"/>
      <c r="DED108" s="52"/>
      <c r="DFA108" s="52"/>
      <c r="DFX108" s="52"/>
      <c r="DGU108" s="52"/>
      <c r="DHR108" s="52"/>
      <c r="DIO108" s="52"/>
      <c r="DJL108" s="52"/>
      <c r="DKI108" s="52"/>
      <c r="DLF108" s="52"/>
      <c r="DMC108" s="52"/>
      <c r="DMZ108" s="52"/>
      <c r="DNW108" s="52"/>
      <c r="DOT108" s="52"/>
      <c r="DPQ108" s="52"/>
      <c r="DQN108" s="52"/>
      <c r="DRK108" s="52"/>
      <c r="DSH108" s="52"/>
      <c r="DTE108" s="52"/>
      <c r="DUB108" s="52"/>
      <c r="DUY108" s="52"/>
      <c r="DVV108" s="52"/>
      <c r="DWS108" s="52"/>
      <c r="DXP108" s="52"/>
      <c r="DYM108" s="52"/>
      <c r="DZJ108" s="52"/>
      <c r="EAG108" s="52"/>
      <c r="EBD108" s="52"/>
      <c r="ECA108" s="52"/>
      <c r="ECX108" s="52"/>
      <c r="EDU108" s="52"/>
      <c r="EER108" s="52"/>
      <c r="EFO108" s="52"/>
      <c r="EGL108" s="52"/>
      <c r="EHI108" s="52"/>
      <c r="EIF108" s="52"/>
      <c r="EJC108" s="52"/>
      <c r="EJZ108" s="52"/>
      <c r="EKW108" s="52"/>
      <c r="ELT108" s="52"/>
      <c r="EMQ108" s="52"/>
      <c r="ENN108" s="52"/>
      <c r="EOK108" s="52"/>
      <c r="EPH108" s="52"/>
      <c r="EQE108" s="52"/>
      <c r="ERB108" s="52"/>
      <c r="ERY108" s="52"/>
      <c r="ESV108" s="52"/>
      <c r="ETS108" s="52"/>
      <c r="EUP108" s="52"/>
      <c r="EVM108" s="52"/>
      <c r="EWJ108" s="52"/>
      <c r="EXG108" s="52"/>
      <c r="EYD108" s="52"/>
      <c r="EZA108" s="52"/>
      <c r="EZX108" s="52"/>
      <c r="FAU108" s="52"/>
      <c r="FBR108" s="52"/>
      <c r="FCO108" s="52"/>
      <c r="FDL108" s="52"/>
      <c r="FEI108" s="52"/>
      <c r="FFF108" s="52"/>
      <c r="FGC108" s="52"/>
      <c r="FGZ108" s="52"/>
      <c r="FHW108" s="52"/>
      <c r="FIT108" s="52"/>
      <c r="FJQ108" s="52"/>
      <c r="FKN108" s="52"/>
      <c r="FLK108" s="52"/>
      <c r="FMH108" s="52"/>
      <c r="FNE108" s="52"/>
      <c r="FOB108" s="52"/>
      <c r="FOY108" s="52"/>
      <c r="FPV108" s="52"/>
      <c r="FQS108" s="52"/>
      <c r="FRP108" s="52"/>
      <c r="FSM108" s="52"/>
      <c r="FTJ108" s="52"/>
      <c r="FUG108" s="52"/>
      <c r="FVD108" s="52"/>
      <c r="FWA108" s="52"/>
      <c r="FWX108" s="52"/>
      <c r="FXU108" s="52"/>
      <c r="FYR108" s="52"/>
      <c r="FZO108" s="52"/>
      <c r="GAL108" s="52"/>
      <c r="GBI108" s="52"/>
      <c r="GCF108" s="52"/>
      <c r="GDC108" s="52"/>
      <c r="GDZ108" s="52"/>
      <c r="GEW108" s="52"/>
      <c r="GFT108" s="52"/>
      <c r="GGQ108" s="52"/>
      <c r="GHN108" s="52"/>
      <c r="GIK108" s="52"/>
      <c r="GJH108" s="52"/>
      <c r="GKE108" s="52"/>
      <c r="GLB108" s="52"/>
      <c r="GLY108" s="52"/>
      <c r="GMV108" s="52"/>
      <c r="GNS108" s="52"/>
      <c r="GOP108" s="52"/>
      <c r="GPM108" s="52"/>
      <c r="GQJ108" s="52"/>
      <c r="GRG108" s="52"/>
      <c r="GSD108" s="52"/>
      <c r="GTA108" s="52"/>
      <c r="GTX108" s="52"/>
      <c r="GUU108" s="52"/>
      <c r="GVR108" s="52"/>
      <c r="GWO108" s="52"/>
      <c r="GXL108" s="52"/>
      <c r="GYI108" s="52"/>
      <c r="GZF108" s="52"/>
      <c r="HAC108" s="52"/>
      <c r="HAZ108" s="52"/>
      <c r="HBW108" s="52"/>
      <c r="HCT108" s="52"/>
      <c r="HDQ108" s="52"/>
      <c r="HEN108" s="52"/>
      <c r="HFK108" s="52"/>
      <c r="HGH108" s="52"/>
      <c r="HHE108" s="52"/>
      <c r="HIB108" s="52"/>
      <c r="HIY108" s="52"/>
      <c r="HJV108" s="52"/>
      <c r="HKS108" s="52"/>
      <c r="HLP108" s="52"/>
      <c r="HMM108" s="52"/>
      <c r="HNJ108" s="52"/>
      <c r="HOG108" s="52"/>
      <c r="HPD108" s="52"/>
      <c r="HQA108" s="52"/>
      <c r="HQX108" s="52"/>
      <c r="HRU108" s="52"/>
      <c r="HSR108" s="52"/>
      <c r="HTO108" s="52"/>
      <c r="HUL108" s="52"/>
      <c r="HVI108" s="52"/>
      <c r="HWF108" s="52"/>
      <c r="HXC108" s="52"/>
      <c r="HXZ108" s="52"/>
      <c r="HYW108" s="52"/>
      <c r="HZT108" s="52"/>
      <c r="IAQ108" s="52"/>
      <c r="IBN108" s="52"/>
      <c r="ICK108" s="52"/>
      <c r="IDH108" s="52"/>
      <c r="IEE108" s="52"/>
      <c r="IFB108" s="52"/>
      <c r="IFY108" s="52"/>
      <c r="IGV108" s="52"/>
      <c r="IHS108" s="52"/>
      <c r="IIP108" s="52"/>
      <c r="IJM108" s="52"/>
      <c r="IKJ108" s="52"/>
      <c r="ILG108" s="52"/>
      <c r="IMD108" s="52"/>
      <c r="INA108" s="52"/>
      <c r="INX108" s="52"/>
      <c r="IOU108" s="52"/>
      <c r="IPR108" s="52"/>
      <c r="IQO108" s="52"/>
      <c r="IRL108" s="52"/>
      <c r="ISI108" s="52"/>
      <c r="ITF108" s="52"/>
      <c r="IUC108" s="52"/>
      <c r="IUZ108" s="52"/>
      <c r="IVW108" s="52"/>
      <c r="IWT108" s="52"/>
      <c r="IXQ108" s="52"/>
      <c r="IYN108" s="52"/>
      <c r="IZK108" s="52"/>
      <c r="JAH108" s="52"/>
      <c r="JBE108" s="52"/>
      <c r="JCB108" s="52"/>
      <c r="JCY108" s="52"/>
      <c r="JDV108" s="52"/>
      <c r="JES108" s="52"/>
      <c r="JFP108" s="52"/>
      <c r="JGM108" s="52"/>
      <c r="JHJ108" s="52"/>
      <c r="JIG108" s="52"/>
      <c r="JJD108" s="52"/>
      <c r="JKA108" s="52"/>
      <c r="JKX108" s="52"/>
      <c r="JLU108" s="52"/>
      <c r="JMR108" s="52"/>
      <c r="JNO108" s="52"/>
      <c r="JOL108" s="52"/>
      <c r="JPI108" s="52"/>
      <c r="JQF108" s="52"/>
      <c r="JRC108" s="52"/>
      <c r="JRZ108" s="52"/>
      <c r="JSW108" s="52"/>
      <c r="JTT108" s="52"/>
      <c r="JUQ108" s="52"/>
      <c r="JVN108" s="52"/>
      <c r="JWK108" s="52"/>
      <c r="JXH108" s="52"/>
      <c r="JYE108" s="52"/>
      <c r="JZB108" s="52"/>
      <c r="JZY108" s="52"/>
      <c r="KAV108" s="52"/>
      <c r="KBS108" s="52"/>
      <c r="KCP108" s="52"/>
      <c r="KDM108" s="52"/>
      <c r="KEJ108" s="52"/>
      <c r="KFG108" s="52"/>
      <c r="KGD108" s="52"/>
      <c r="KHA108" s="52"/>
      <c r="KHX108" s="52"/>
      <c r="KIU108" s="52"/>
      <c r="KJR108" s="52"/>
      <c r="KKO108" s="52"/>
      <c r="KLL108" s="52"/>
      <c r="KMI108" s="52"/>
      <c r="KNF108" s="52"/>
      <c r="KOC108" s="52"/>
      <c r="KOZ108" s="52"/>
      <c r="KPW108" s="52"/>
      <c r="KQT108" s="52"/>
      <c r="KRQ108" s="52"/>
      <c r="KSN108" s="52"/>
      <c r="KTK108" s="52"/>
      <c r="KUH108" s="52"/>
      <c r="KVE108" s="52"/>
      <c r="KWB108" s="52"/>
      <c r="KWY108" s="52"/>
      <c r="KXV108" s="52"/>
      <c r="KYS108" s="52"/>
      <c r="KZP108" s="52"/>
      <c r="LAM108" s="52"/>
      <c r="LBJ108" s="52"/>
      <c r="LCG108" s="52"/>
      <c r="LDD108" s="52"/>
      <c r="LEA108" s="52"/>
      <c r="LEX108" s="52"/>
      <c r="LFU108" s="52"/>
      <c r="LGR108" s="52"/>
      <c r="LHO108" s="52"/>
      <c r="LIL108" s="52"/>
      <c r="LJI108" s="52"/>
      <c r="LKF108" s="52"/>
      <c r="LLC108" s="52"/>
      <c r="LLZ108" s="52"/>
      <c r="LMW108" s="52"/>
      <c r="LNT108" s="52"/>
      <c r="LOQ108" s="52"/>
      <c r="LPN108" s="52"/>
      <c r="LQK108" s="52"/>
      <c r="LRH108" s="52"/>
      <c r="LSE108" s="52"/>
      <c r="LTB108" s="52"/>
      <c r="LTY108" s="52"/>
      <c r="LUV108" s="52"/>
      <c r="LVS108" s="52"/>
      <c r="LWP108" s="52"/>
      <c r="LXM108" s="52"/>
      <c r="LYJ108" s="52"/>
      <c r="LZG108" s="52"/>
      <c r="MAD108" s="52"/>
      <c r="MBA108" s="52"/>
      <c r="MBX108" s="52"/>
      <c r="MCU108" s="52"/>
      <c r="MDR108" s="52"/>
      <c r="MEO108" s="52"/>
      <c r="MFL108" s="52"/>
      <c r="MGI108" s="52"/>
      <c r="MHF108" s="52"/>
      <c r="MIC108" s="52"/>
      <c r="MIZ108" s="52"/>
      <c r="MJW108" s="52"/>
      <c r="MKT108" s="52"/>
      <c r="MLQ108" s="52"/>
      <c r="MMN108" s="52"/>
      <c r="MNK108" s="52"/>
      <c r="MOH108" s="52"/>
      <c r="MPE108" s="52"/>
      <c r="MQB108" s="52"/>
      <c r="MQY108" s="52"/>
      <c r="MRV108" s="52"/>
      <c r="MSS108" s="52"/>
      <c r="MTP108" s="52"/>
      <c r="MUM108" s="52"/>
      <c r="MVJ108" s="52"/>
      <c r="MWG108" s="52"/>
      <c r="MXD108" s="52"/>
      <c r="MYA108" s="52"/>
      <c r="MYX108" s="52"/>
      <c r="MZU108" s="52"/>
      <c r="NAR108" s="52"/>
      <c r="NBO108" s="52"/>
      <c r="NCL108" s="52"/>
      <c r="NDI108" s="52"/>
      <c r="NEF108" s="52"/>
      <c r="NFC108" s="52"/>
      <c r="NFZ108" s="52"/>
      <c r="NGW108" s="52"/>
      <c r="NHT108" s="52"/>
      <c r="NIQ108" s="52"/>
      <c r="NJN108" s="52"/>
      <c r="NKK108" s="52"/>
      <c r="NLH108" s="52"/>
      <c r="NME108" s="52"/>
      <c r="NNB108" s="52"/>
      <c r="NNY108" s="52"/>
      <c r="NOV108" s="52"/>
      <c r="NPS108" s="52"/>
      <c r="NQP108" s="52"/>
      <c r="NRM108" s="52"/>
      <c r="NSJ108" s="52"/>
      <c r="NTG108" s="52"/>
      <c r="NUD108" s="52"/>
      <c r="NVA108" s="52"/>
      <c r="NVX108" s="52"/>
      <c r="NWU108" s="52"/>
      <c r="NXR108" s="52"/>
      <c r="NYO108" s="52"/>
      <c r="NZL108" s="52"/>
      <c r="OAI108" s="52"/>
      <c r="OBF108" s="52"/>
      <c r="OCC108" s="52"/>
      <c r="OCZ108" s="52"/>
      <c r="ODW108" s="52"/>
      <c r="OET108" s="52"/>
      <c r="OFQ108" s="52"/>
      <c r="OGN108" s="52"/>
      <c r="OHK108" s="52"/>
      <c r="OIH108" s="52"/>
      <c r="OJE108" s="52"/>
      <c r="OKB108" s="52"/>
      <c r="OKY108" s="52"/>
      <c r="OLV108" s="52"/>
      <c r="OMS108" s="52"/>
      <c r="ONP108" s="52"/>
      <c r="OOM108" s="52"/>
      <c r="OPJ108" s="52"/>
      <c r="OQG108" s="52"/>
      <c r="ORD108" s="52"/>
      <c r="OSA108" s="52"/>
      <c r="OSX108" s="52"/>
      <c r="OTU108" s="52"/>
      <c r="OUR108" s="52"/>
      <c r="OVO108" s="52"/>
      <c r="OWL108" s="52"/>
      <c r="OXI108" s="52"/>
      <c r="OYF108" s="52"/>
      <c r="OZC108" s="52"/>
      <c r="OZZ108" s="52"/>
      <c r="PAW108" s="52"/>
      <c r="PBT108" s="52"/>
      <c r="PCQ108" s="52"/>
      <c r="PDN108" s="52"/>
      <c r="PEK108" s="52"/>
      <c r="PFH108" s="52"/>
      <c r="PGE108" s="52"/>
      <c r="PHB108" s="52"/>
      <c r="PHY108" s="52"/>
      <c r="PIV108" s="52"/>
      <c r="PJS108" s="52"/>
      <c r="PKP108" s="52"/>
      <c r="PLM108" s="52"/>
      <c r="PMJ108" s="52"/>
      <c r="PNG108" s="52"/>
      <c r="POD108" s="52"/>
      <c r="PPA108" s="52"/>
      <c r="PPX108" s="52"/>
      <c r="PQU108" s="52"/>
      <c r="PRR108" s="52"/>
      <c r="PSO108" s="52"/>
      <c r="PTL108" s="52"/>
      <c r="PUI108" s="52"/>
      <c r="PVF108" s="52"/>
      <c r="PWC108" s="52"/>
      <c r="PWZ108" s="52"/>
      <c r="PXW108" s="52"/>
      <c r="PYT108" s="52"/>
      <c r="PZQ108" s="52"/>
      <c r="QAN108" s="52"/>
      <c r="QBK108" s="52"/>
      <c r="QCH108" s="52"/>
      <c r="QDE108" s="52"/>
      <c r="QEB108" s="52"/>
      <c r="QEY108" s="52"/>
      <c r="QFV108" s="52"/>
      <c r="QGS108" s="52"/>
      <c r="QHP108" s="52"/>
      <c r="QIM108" s="52"/>
      <c r="QJJ108" s="52"/>
      <c r="QKG108" s="52"/>
      <c r="QLD108" s="52"/>
      <c r="QMA108" s="52"/>
      <c r="QMX108" s="52"/>
      <c r="QNU108" s="52"/>
      <c r="QOR108" s="52"/>
      <c r="QPO108" s="52"/>
      <c r="QQL108" s="52"/>
      <c r="QRI108" s="52"/>
      <c r="QSF108" s="52"/>
      <c r="QTC108" s="52"/>
      <c r="QTZ108" s="52"/>
      <c r="QUW108" s="52"/>
      <c r="QVT108" s="52"/>
      <c r="QWQ108" s="52"/>
      <c r="QXN108" s="52"/>
      <c r="QYK108" s="52"/>
      <c r="QZH108" s="52"/>
      <c r="RAE108" s="52"/>
      <c r="RBB108" s="52"/>
      <c r="RBY108" s="52"/>
      <c r="RCV108" s="52"/>
      <c r="RDS108" s="52"/>
      <c r="REP108" s="52"/>
      <c r="RFM108" s="52"/>
      <c r="RGJ108" s="52"/>
      <c r="RHG108" s="52"/>
      <c r="RID108" s="52"/>
      <c r="RJA108" s="52"/>
      <c r="RJX108" s="52"/>
      <c r="RKU108" s="52"/>
      <c r="RLR108" s="52"/>
      <c r="RMO108" s="52"/>
      <c r="RNL108" s="52"/>
      <c r="ROI108" s="52"/>
      <c r="RPF108" s="52"/>
      <c r="RQC108" s="52"/>
      <c r="RQZ108" s="52"/>
      <c r="RRW108" s="52"/>
      <c r="RST108" s="52"/>
      <c r="RTQ108" s="52"/>
      <c r="RUN108" s="52"/>
      <c r="RVK108" s="52"/>
      <c r="RWH108" s="52"/>
      <c r="RXE108" s="52"/>
      <c r="RYB108" s="52"/>
      <c r="RYY108" s="52"/>
      <c r="RZV108" s="52"/>
      <c r="SAS108" s="52"/>
      <c r="SBP108" s="52"/>
      <c r="SCM108" s="52"/>
      <c r="SDJ108" s="52"/>
      <c r="SEG108" s="52"/>
      <c r="SFD108" s="52"/>
      <c r="SGA108" s="52"/>
      <c r="SGX108" s="52"/>
      <c r="SHU108" s="52"/>
      <c r="SIR108" s="52"/>
      <c r="SJO108" s="52"/>
      <c r="SKL108" s="52"/>
      <c r="SLI108" s="52"/>
      <c r="SMF108" s="52"/>
      <c r="SNC108" s="52"/>
      <c r="SNZ108" s="52"/>
      <c r="SOW108" s="52"/>
      <c r="SPT108" s="52"/>
      <c r="SQQ108" s="52"/>
      <c r="SRN108" s="52"/>
      <c r="SSK108" s="52"/>
      <c r="STH108" s="52"/>
      <c r="SUE108" s="52"/>
      <c r="SVB108" s="52"/>
      <c r="SVY108" s="52"/>
      <c r="SWV108" s="52"/>
      <c r="SXS108" s="52"/>
      <c r="SYP108" s="52"/>
      <c r="SZM108" s="52"/>
      <c r="TAJ108" s="52"/>
      <c r="TBG108" s="52"/>
      <c r="TCD108" s="52"/>
      <c r="TDA108" s="52"/>
      <c r="TDX108" s="52"/>
      <c r="TEU108" s="52"/>
      <c r="TFR108" s="52"/>
      <c r="TGO108" s="52"/>
      <c r="THL108" s="52"/>
      <c r="TII108" s="52"/>
      <c r="TJF108" s="52"/>
      <c r="TKC108" s="52"/>
      <c r="TKZ108" s="52"/>
      <c r="TLW108" s="52"/>
      <c r="TMT108" s="52"/>
      <c r="TNQ108" s="52"/>
      <c r="TON108" s="52"/>
      <c r="TPK108" s="52"/>
      <c r="TQH108" s="52"/>
      <c r="TRE108" s="52"/>
      <c r="TSB108" s="52"/>
      <c r="TSY108" s="52"/>
      <c r="TTV108" s="52"/>
      <c r="TUS108" s="52"/>
      <c r="TVP108" s="52"/>
      <c r="TWM108" s="52"/>
      <c r="TXJ108" s="52"/>
      <c r="TYG108" s="52"/>
      <c r="TZD108" s="52"/>
      <c r="UAA108" s="52"/>
      <c r="UAX108" s="52"/>
      <c r="UBU108" s="52"/>
      <c r="UCR108" s="52"/>
      <c r="UDO108" s="52"/>
      <c r="UEL108" s="52"/>
      <c r="UFI108" s="52"/>
      <c r="UGF108" s="52"/>
      <c r="UHC108" s="52"/>
      <c r="UHZ108" s="52"/>
      <c r="UIW108" s="52"/>
      <c r="UJT108" s="52"/>
      <c r="UKQ108" s="52"/>
      <c r="ULN108" s="52"/>
      <c r="UMK108" s="52"/>
      <c r="UNH108" s="52"/>
      <c r="UOE108" s="52"/>
      <c r="UPB108" s="52"/>
      <c r="UPY108" s="52"/>
      <c r="UQV108" s="52"/>
      <c r="URS108" s="52"/>
      <c r="USP108" s="52"/>
      <c r="UTM108" s="52"/>
      <c r="UUJ108" s="52"/>
      <c r="UVG108" s="52"/>
      <c r="UWD108" s="52"/>
      <c r="UXA108" s="52"/>
      <c r="UXX108" s="52"/>
      <c r="UYU108" s="52"/>
      <c r="UZR108" s="52"/>
      <c r="VAO108" s="52"/>
      <c r="VBL108" s="52"/>
      <c r="VCI108" s="52"/>
      <c r="VDF108" s="52"/>
      <c r="VEC108" s="52"/>
      <c r="VEZ108" s="52"/>
      <c r="VFW108" s="52"/>
      <c r="VGT108" s="52"/>
      <c r="VHQ108" s="52"/>
      <c r="VIN108" s="52"/>
      <c r="VJK108" s="52"/>
      <c r="VKH108" s="52"/>
      <c r="VLE108" s="52"/>
      <c r="VMB108" s="52"/>
      <c r="VMY108" s="52"/>
      <c r="VNV108" s="52"/>
      <c r="VOS108" s="52"/>
      <c r="VPP108" s="52"/>
      <c r="VQM108" s="52"/>
      <c r="VRJ108" s="52"/>
      <c r="VSG108" s="52"/>
      <c r="VTD108" s="52"/>
      <c r="VUA108" s="52"/>
      <c r="VUX108" s="52"/>
      <c r="VVU108" s="52"/>
      <c r="VWR108" s="52"/>
      <c r="VXO108" s="52"/>
      <c r="VYL108" s="52"/>
      <c r="VZI108" s="52"/>
      <c r="WAF108" s="52"/>
      <c r="WBC108" s="52"/>
      <c r="WBZ108" s="52"/>
      <c r="WCW108" s="52"/>
      <c r="WDT108" s="52"/>
      <c r="WEQ108" s="52"/>
      <c r="WFN108" s="52"/>
      <c r="WGK108" s="52"/>
      <c r="WHH108" s="52"/>
      <c r="WIE108" s="52"/>
      <c r="WJB108" s="52"/>
      <c r="WJY108" s="52"/>
      <c r="WKV108" s="52"/>
      <c r="WLS108" s="52"/>
      <c r="WMP108" s="52"/>
      <c r="WNM108" s="52"/>
      <c r="WOJ108" s="52"/>
      <c r="WPG108" s="52"/>
      <c r="WQD108" s="52"/>
      <c r="WRA108" s="52"/>
      <c r="WRX108" s="52"/>
      <c r="WSU108" s="52"/>
      <c r="WTR108" s="52"/>
      <c r="WUO108" s="52"/>
      <c r="WVL108" s="52"/>
      <c r="WWI108" s="52"/>
      <c r="WXF108" s="52"/>
      <c r="WYC108" s="52"/>
      <c r="WYZ108" s="52"/>
      <c r="WZW108" s="52"/>
      <c r="XAT108" s="52"/>
      <c r="XBQ108" s="52"/>
      <c r="XCN108" s="52"/>
      <c r="XDK108" s="52"/>
      <c r="XEH108" s="52"/>
    </row>
    <row r="109" spans="1:1021 1044:2033 2056:3068 3091:4080 4103:5115 5138:6127 6150:7162 7185:8174 8197:9209 9232:10221 10244:11256 11279:12268 12291:13303 13326:14315 14338:15350 15373:16362" x14ac:dyDescent="0.25">
      <c r="B109" s="8" t="s">
        <v>135</v>
      </c>
      <c r="C109" s="22" t="s">
        <v>28</v>
      </c>
      <c r="F109" s="21">
        <f t="shared" ref="F109:F111" si="559">E109</f>
        <v>0</v>
      </c>
      <c r="I109" s="45">
        <v>104.04600000000001</v>
      </c>
      <c r="J109" s="45">
        <v>371.2</v>
      </c>
      <c r="K109" s="474">
        <f t="shared" si="515"/>
        <v>372.70800000000003</v>
      </c>
      <c r="L109" s="45">
        <v>372.70800000000003</v>
      </c>
      <c r="M109" s="446">
        <v>373.59300000000002</v>
      </c>
      <c r="N109" s="472">
        <f t="shared" si="553"/>
        <v>374.988</v>
      </c>
      <c r="O109" s="45">
        <v>374.988</v>
      </c>
      <c r="P109" s="21">
        <f>O109+P141</f>
        <v>374.988</v>
      </c>
      <c r="Q109" s="21">
        <f>P109+Q141</f>
        <v>374.988</v>
      </c>
      <c r="R109" s="21">
        <f t="shared" ref="R109:R111" si="560">Q109</f>
        <v>374.988</v>
      </c>
      <c r="S109" s="21">
        <f>R109+S141</f>
        <v>374.988</v>
      </c>
      <c r="T109" s="21">
        <f>S109+T141</f>
        <v>374.988</v>
      </c>
      <c r="U109" s="21">
        <f t="shared" ref="U109:U111" si="561">T109</f>
        <v>374.988</v>
      </c>
      <c r="V109" s="21">
        <f>U109+V141</f>
        <v>374.988</v>
      </c>
      <c r="W109" s="21">
        <f>V109+W141</f>
        <v>374.988</v>
      </c>
      <c r="X109" s="21">
        <f t="shared" ref="X109:X111" si="562">W109</f>
        <v>374.988</v>
      </c>
      <c r="Y109" s="21">
        <f>X109+Y141</f>
        <v>374.988</v>
      </c>
      <c r="Z109" s="21">
        <f>Y109+Z141</f>
        <v>374.988</v>
      </c>
      <c r="AA109" s="21">
        <f t="shared" ref="AA109:AA111" si="563">Z109</f>
        <v>374.988</v>
      </c>
      <c r="AB109" s="21">
        <f t="shared" ref="AB109:AC109" si="564">AA109+AB141</f>
        <v>374.988</v>
      </c>
      <c r="AC109" s="21">
        <f t="shared" si="564"/>
        <v>374.988</v>
      </c>
      <c r="AD109" s="21">
        <f t="shared" ref="AD109:AD111" si="565">AC109</f>
        <v>374.988</v>
      </c>
      <c r="AE109" s="21">
        <f t="shared" ref="AE109:AF109" si="566">AD109+AE141</f>
        <v>374.988</v>
      </c>
      <c r="AF109" s="21">
        <f t="shared" si="566"/>
        <v>374.988</v>
      </c>
      <c r="AG109" s="21">
        <f t="shared" ref="AG109:AG111" si="567">AF109</f>
        <v>374.988</v>
      </c>
      <c r="AH109" s="21">
        <f t="shared" ref="AH109:AI109" si="568">AG109+AH141</f>
        <v>374.988</v>
      </c>
      <c r="AI109" s="21">
        <f t="shared" si="568"/>
        <v>374.988</v>
      </c>
      <c r="AJ109" s="21">
        <f t="shared" ref="AJ109:AJ111" si="569">AI109</f>
        <v>374.988</v>
      </c>
      <c r="AK109" s="21">
        <f t="shared" ref="AK109:AL109" si="570">AJ109+AK141</f>
        <v>374.988</v>
      </c>
      <c r="AL109" s="21">
        <f t="shared" si="570"/>
        <v>374.988</v>
      </c>
      <c r="AM109" s="21">
        <f t="shared" ref="AM109:AM111" si="571">AL109</f>
        <v>374.988</v>
      </c>
      <c r="AN109" s="21">
        <f t="shared" ref="AN109:AO109" si="572">AM109+AN141</f>
        <v>374.988</v>
      </c>
      <c r="AO109" s="21">
        <f t="shared" si="572"/>
        <v>374.988</v>
      </c>
      <c r="AP109" s="21">
        <f t="shared" ref="AP109:AP111" si="573">AO109</f>
        <v>374.988</v>
      </c>
      <c r="AQ109" s="21">
        <f t="shared" ref="AQ109:AR109" si="574">AP109+AQ141</f>
        <v>374.988</v>
      </c>
      <c r="AR109" s="21">
        <f t="shared" si="574"/>
        <v>374.988</v>
      </c>
      <c r="AS109" s="21">
        <f t="shared" ref="AS109:AS111" si="575">AR109</f>
        <v>374.988</v>
      </c>
      <c r="AT109" s="21">
        <f t="shared" ref="AT109" si="576">AS109+AT141</f>
        <v>374.988</v>
      </c>
      <c r="AU109" s="21">
        <f t="shared" ref="AU109" si="577">AT109+AU141</f>
        <v>374.988</v>
      </c>
      <c r="AV109" s="21">
        <f t="shared" ref="AV109:AV111" si="578">AU109</f>
        <v>374.988</v>
      </c>
      <c r="AW109" s="23"/>
      <c r="AX109" s="23"/>
      <c r="AY109" s="295"/>
    </row>
    <row r="110" spans="1:1021 1044:2033 2056:3068 3091:4080 4103:5115 5138:6127 6150:7162 7185:8174 8197:9209 9232:10221 10244:11256 11279:12268 12291:13303 13326:14315 14338:15350 15373:16362" x14ac:dyDescent="0.25">
      <c r="B110" s="8" t="s">
        <v>136</v>
      </c>
      <c r="C110" s="22" t="s">
        <v>28</v>
      </c>
      <c r="F110" s="75">
        <f t="shared" si="559"/>
        <v>0</v>
      </c>
      <c r="I110" s="45">
        <v>10.776</v>
      </c>
      <c r="J110" s="45">
        <f>16.5+0.07</f>
        <v>16.57</v>
      </c>
      <c r="K110" s="474">
        <f t="shared" si="515"/>
        <v>17.417999999999999</v>
      </c>
      <c r="L110" s="45">
        <v>17.417999999999999</v>
      </c>
      <c r="M110" s="473">
        <f>21.593+1.293</f>
        <v>22.885999999999999</v>
      </c>
      <c r="N110" s="472">
        <f t="shared" si="553"/>
        <v>26.806999999999999</v>
      </c>
      <c r="O110" s="45">
        <f>26.737+0.07</f>
        <v>26.806999999999999</v>
      </c>
      <c r="P110" s="483">
        <f ca="1">+O110+P54</f>
        <v>36.601725001601345</v>
      </c>
      <c r="Q110" s="483">
        <f ca="1">+P110+Q54</f>
        <v>48.288132508220542</v>
      </c>
      <c r="R110" s="483">
        <f t="shared" ca="1" si="560"/>
        <v>48.288132508220542</v>
      </c>
      <c r="S110" s="483">
        <f t="shared" ref="S110:T110" ca="1" si="579">+R110+S54</f>
        <v>66.555238435737991</v>
      </c>
      <c r="T110" s="483">
        <f t="shared" ca="1" si="579"/>
        <v>90.564119350763008</v>
      </c>
      <c r="U110" s="483">
        <f t="shared" ca="1" si="561"/>
        <v>90.564119350763008</v>
      </c>
      <c r="V110" s="483">
        <f t="shared" ref="V110:W110" ca="1" si="580">+U110+V54</f>
        <v>122.63084224377297</v>
      </c>
      <c r="W110" s="483">
        <f t="shared" ca="1" si="580"/>
        <v>155.78000865886668</v>
      </c>
      <c r="X110" s="483">
        <f t="shared" ca="1" si="562"/>
        <v>155.78000865886668</v>
      </c>
      <c r="Y110" s="483">
        <f t="shared" ref="Y110:Z110" ca="1" si="581">+X110+Y54</f>
        <v>202.55992609915859</v>
      </c>
      <c r="Z110" s="483">
        <f t="shared" ca="1" si="581"/>
        <v>251.54207161578103</v>
      </c>
      <c r="AA110" s="483">
        <f t="shared" ca="1" si="563"/>
        <v>251.54207161578103</v>
      </c>
      <c r="AB110" s="483">
        <f t="shared" ref="AB110:AC110" ca="1" si="582">+AA110+AB54</f>
        <v>311.89786673810346</v>
      </c>
      <c r="AC110" s="483">
        <f t="shared" ca="1" si="582"/>
        <v>378.93575663140223</v>
      </c>
      <c r="AD110" s="483">
        <f t="shared" ca="1" si="565"/>
        <v>378.93575663140223</v>
      </c>
      <c r="AE110" s="483">
        <f t="shared" ref="AE110:AF110" ca="1" si="583">+AD110+AE54</f>
        <v>455.19724479466419</v>
      </c>
      <c r="AF110" s="483">
        <f t="shared" ca="1" si="583"/>
        <v>538.96824988591197</v>
      </c>
      <c r="AG110" s="483">
        <f t="shared" ca="1" si="567"/>
        <v>538.96824988591197</v>
      </c>
      <c r="AH110" s="483">
        <f t="shared" ref="AH110:AI110" ca="1" si="584">+AG110+AH54</f>
        <v>633.13956965848854</v>
      </c>
      <c r="AI110" s="483">
        <f t="shared" ca="1" si="584"/>
        <v>735.74304242897233</v>
      </c>
      <c r="AJ110" s="483">
        <f t="shared" ca="1" si="569"/>
        <v>735.74304242897233</v>
      </c>
      <c r="AK110" s="483">
        <f t="shared" ref="AK110:AL110" ca="1" si="585">+AJ110+AK54</f>
        <v>850.00879437083381</v>
      </c>
      <c r="AL110" s="483">
        <f t="shared" ca="1" si="585"/>
        <v>973.73310337826376</v>
      </c>
      <c r="AM110" s="483">
        <f t="shared" ca="1" si="571"/>
        <v>973.73310337826376</v>
      </c>
      <c r="AN110" s="483">
        <f t="shared" ref="AN110:AO110" ca="1" si="586">+AM110+AN54</f>
        <v>1105.4927493142829</v>
      </c>
      <c r="AO110" s="483">
        <f t="shared" ca="1" si="586"/>
        <v>1246.6906484867334</v>
      </c>
      <c r="AP110" s="483">
        <f t="shared" ca="1" si="573"/>
        <v>1246.6906484867334</v>
      </c>
      <c r="AQ110" s="483">
        <f t="shared" ref="AQ110:AR110" ca="1" si="587">+AP110+AQ54</f>
        <v>1394.3343706566934</v>
      </c>
      <c r="AR110" s="483">
        <f t="shared" ca="1" si="587"/>
        <v>1552.1367886808182</v>
      </c>
      <c r="AS110" s="483">
        <f t="shared" ca="1" si="575"/>
        <v>1552.1367886808182</v>
      </c>
      <c r="AT110" s="483">
        <f t="shared" ref="AT110" ca="1" si="588">+AS110+AT54</f>
        <v>1716.3082240229103</v>
      </c>
      <c r="AU110" s="483">
        <f t="shared" ref="AU110" ca="1" si="589">+AT110+AU54</f>
        <v>1891.377759634338</v>
      </c>
      <c r="AV110" s="483">
        <f t="shared" ca="1" si="578"/>
        <v>1891.377759634338</v>
      </c>
      <c r="AW110" s="23"/>
      <c r="AX110" s="23"/>
      <c r="AY110" s="295"/>
    </row>
    <row r="111" spans="1:1021 1044:2033 2056:3068 3091:4080 4103:5115 5138:6127 6150:7162 7185:8174 8197:9209 9232:10221 10244:11256 11279:12268 12291:13303 13326:14315 14338:15350 15373:16362" x14ac:dyDescent="0.25">
      <c r="B111" s="8" t="s">
        <v>137</v>
      </c>
      <c r="C111" s="22" t="s">
        <v>28</v>
      </c>
      <c r="F111" s="21">
        <f t="shared" si="559"/>
        <v>0</v>
      </c>
      <c r="I111" s="45">
        <v>-26.856999999999999</v>
      </c>
      <c r="J111" s="45">
        <v>-40.4</v>
      </c>
      <c r="K111" s="474">
        <f t="shared" si="515"/>
        <v>-36.146999999999998</v>
      </c>
      <c r="L111" s="45">
        <v>-36.146999999999998</v>
      </c>
      <c r="M111" s="446">
        <v>-28.846</v>
      </c>
      <c r="N111" s="472">
        <f t="shared" si="553"/>
        <v>-21.670999999999999</v>
      </c>
      <c r="O111" s="45">
        <v>-21.670999999999999</v>
      </c>
      <c r="P111" s="21">
        <f ca="1">+O111+P125+P147</f>
        <v>-24.203160594546645</v>
      </c>
      <c r="Q111" s="21">
        <f ca="1">+P111+Q125+Q147</f>
        <v>-28.095200135112449</v>
      </c>
      <c r="R111" s="21">
        <f t="shared" ca="1" si="560"/>
        <v>-28.095200135112449</v>
      </c>
      <c r="S111" s="21">
        <f t="shared" ref="S111:T111" ca="1" si="590">+R111+S125+S147</f>
        <v>-36.717924242957821</v>
      </c>
      <c r="T111" s="21">
        <f t="shared" ca="1" si="590"/>
        <v>-49.468253748421041</v>
      </c>
      <c r="U111" s="21">
        <f t="shared" ca="1" si="561"/>
        <v>-49.468253748421041</v>
      </c>
      <c r="V111" s="21">
        <f t="shared" ref="V111:W111" ca="1" si="591">+U111+V125+V147</f>
        <v>-68.011146026538881</v>
      </c>
      <c r="W111" s="21">
        <f t="shared" ca="1" si="591"/>
        <v>-87.332177422628092</v>
      </c>
      <c r="X111" s="21">
        <f t="shared" ca="1" si="562"/>
        <v>-87.332177422628092</v>
      </c>
      <c r="Y111" s="21">
        <f t="shared" ref="Y111:Z111" ca="1" si="592">+X111+Y125+Y147</f>
        <v>-116.45198387152601</v>
      </c>
      <c r="Z111" s="21">
        <f t="shared" ca="1" si="592"/>
        <v>-147.15491200569102</v>
      </c>
      <c r="AA111" s="21">
        <f t="shared" ca="1" si="563"/>
        <v>-147.15491200569102</v>
      </c>
      <c r="AB111" s="21">
        <f t="shared" ref="AB111:AC111" ca="1" si="593">+AA111+AB125+AB147</f>
        <v>-186.03404655805235</v>
      </c>
      <c r="AC111" s="21">
        <f t="shared" ca="1" si="593"/>
        <v>-229.71675674757887</v>
      </c>
      <c r="AD111" s="21">
        <f t="shared" ca="1" si="565"/>
        <v>-229.71675674757887</v>
      </c>
      <c r="AE111" s="21">
        <f t="shared" ref="AE111:AF111" ca="1" si="594">+AD111+AE125+AE147</f>
        <v>-280.03006010021323</v>
      </c>
      <c r="AF111" s="21">
        <f t="shared" ca="1" si="594"/>
        <v>-335.74175030584968</v>
      </c>
      <c r="AG111" s="21">
        <f t="shared" ca="1" si="567"/>
        <v>-335.74175030584968</v>
      </c>
      <c r="AH111" s="21">
        <f t="shared" ref="AH111:AI111" ca="1" si="595">+AG111+AH125+AH147</f>
        <v>-398.92994297601365</v>
      </c>
      <c r="AI111" s="21">
        <f t="shared" ca="1" si="595"/>
        <v>-468.17978039948576</v>
      </c>
      <c r="AJ111" s="21">
        <f t="shared" ca="1" si="569"/>
        <v>-468.17978039948576</v>
      </c>
      <c r="AK111" s="21">
        <f t="shared" ref="AK111:AL111" ca="1" si="596">+AJ111+AK125+AK147</f>
        <v>-545.81331207659923</v>
      </c>
      <c r="AL111" s="21">
        <f t="shared" ca="1" si="596"/>
        <v>-630.24634239001568</v>
      </c>
      <c r="AM111" s="21">
        <f t="shared" ca="1" si="571"/>
        <v>-630.24634239001568</v>
      </c>
      <c r="AN111" s="21">
        <f t="shared" ref="AN111:AO111" ca="1" si="597">+AM111+AN125+AN147</f>
        <v>-720.455757397036</v>
      </c>
      <c r="AO111" s="21">
        <f t="shared" ca="1" si="597"/>
        <v>-817.45007517149986</v>
      </c>
      <c r="AP111" s="21">
        <f t="shared" ca="1" si="573"/>
        <v>-817.45007517149986</v>
      </c>
      <c r="AQ111" s="21">
        <f t="shared" ref="AQ111:AR111" ca="1" si="598">+AP111+AQ125+AQ147</f>
        <v>-919.07811992569395</v>
      </c>
      <c r="AR111" s="21">
        <f t="shared" ca="1" si="598"/>
        <v>-1028.0089739908831</v>
      </c>
      <c r="AS111" s="21">
        <f t="shared" ca="1" si="575"/>
        <v>-1028.0089739908831</v>
      </c>
      <c r="AT111" s="21">
        <f t="shared" ref="AT111" ca="1" si="599">+AS111+AT125+AT147</f>
        <v>-1141.5183431140133</v>
      </c>
      <c r="AU111" s="21">
        <f t="shared" ref="AU111" ca="1" si="600">+AT111+AU125+AU147</f>
        <v>-1262.8620592105726</v>
      </c>
      <c r="AV111" s="21">
        <f t="shared" ca="1" si="578"/>
        <v>-1262.8620592105726</v>
      </c>
      <c r="AW111" s="23"/>
      <c r="AX111" s="23"/>
      <c r="AY111" s="295"/>
    </row>
    <row r="112" spans="1:1021 1044:2033 2056:3068 3091:4080 4103:5115 5138:6127 6150:7162 7185:8174 8197:9209 9232:10221 10244:11256 11279:12268 12291:13303 13326:14315 14338:15350 15373:16362" x14ac:dyDescent="0.25">
      <c r="I112" s="19"/>
      <c r="J112" s="19"/>
      <c r="K112" s="19"/>
      <c r="L112" s="19"/>
      <c r="M112" s="291"/>
      <c r="N112" s="23"/>
      <c r="O112" s="23"/>
      <c r="AW112" s="23"/>
      <c r="AX112" s="23"/>
      <c r="AY112" s="295"/>
    </row>
    <row r="113" spans="1:1021 1044:2033 2056:3068 3091:4080 4103:5115 5138:6127 6150:7162 7185:8174 8197:9209 9232:10221 10244:11256 11279:12268 12291:13303 13326:14315 14338:15350 15373:16362" s="12" customFormat="1" x14ac:dyDescent="0.25">
      <c r="B113" s="8"/>
      <c r="C113" s="22" t="s">
        <v>28</v>
      </c>
      <c r="F113" s="57">
        <f t="shared" ref="F113" si="601">+F109+F110+F111</f>
        <v>0</v>
      </c>
      <c r="I113" s="52">
        <f t="shared" ref="I113" si="602">+I109+I110+I111</f>
        <v>87.965000000000003</v>
      </c>
      <c r="J113" s="52">
        <f>+J109+J110+J111</f>
        <v>347.37</v>
      </c>
      <c r="K113" s="52">
        <f>+K109+K110+K111</f>
        <v>353.97900000000004</v>
      </c>
      <c r="L113" s="52">
        <f t="shared" ref="L113" si="603">+L109+L110+L111</f>
        <v>353.97900000000004</v>
      </c>
      <c r="M113" s="424">
        <f>+M109+M110+M111</f>
        <v>367.63300000000004</v>
      </c>
      <c r="N113" s="52">
        <f>+N109+N110+N111</f>
        <v>380.12400000000002</v>
      </c>
      <c r="O113" s="52">
        <f t="shared" ref="O113" si="604">+O109+O110+O111</f>
        <v>380.12400000000002</v>
      </c>
      <c r="P113" s="52">
        <f ca="1">+P109+P110+P111</f>
        <v>387.38656440705466</v>
      </c>
      <c r="Q113" s="52">
        <f ca="1">+Q109+Q110+Q111</f>
        <v>395.18093237310808</v>
      </c>
      <c r="R113" s="52">
        <f t="shared" ref="R113" ca="1" si="605">+R109+R110+R111</f>
        <v>395.18093237310808</v>
      </c>
      <c r="S113" s="52">
        <f ca="1">+S109+S110+S111</f>
        <v>404.82531419278018</v>
      </c>
      <c r="T113" s="52">
        <f ca="1">+T109+T110+T111</f>
        <v>416.08386560234197</v>
      </c>
      <c r="U113" s="52">
        <f t="shared" ref="U113" ca="1" si="606">+U109+U110+U111</f>
        <v>416.08386560234197</v>
      </c>
      <c r="V113" s="52">
        <f ca="1">+V109+V110+V111</f>
        <v>429.60769621723409</v>
      </c>
      <c r="W113" s="52">
        <f ca="1">+W109+W110+W111</f>
        <v>443.43583123623853</v>
      </c>
      <c r="X113" s="52">
        <f t="shared" ref="X113" ca="1" si="607">+X109+X110+X111</f>
        <v>443.43583123623853</v>
      </c>
      <c r="Y113" s="52">
        <f ca="1">+Y109+Y110+Y111</f>
        <v>461.09594222763252</v>
      </c>
      <c r="Z113" s="52">
        <f ca="1">+Z109+Z110+Z111</f>
        <v>479.37515961009001</v>
      </c>
      <c r="AA113" s="52">
        <f t="shared" ref="AA113:AC113" ca="1" si="608">+AA109+AA110+AA111</f>
        <v>479.37515961009001</v>
      </c>
      <c r="AB113" s="52">
        <f t="shared" ca="1" si="608"/>
        <v>500.85182018005111</v>
      </c>
      <c r="AC113" s="52">
        <f t="shared" ca="1" si="608"/>
        <v>524.20699988382341</v>
      </c>
      <c r="AD113" s="52">
        <f t="shared" ref="AD113:AP113" ca="1" si="609">+AD109+AD110+AD111</f>
        <v>524.20699988382341</v>
      </c>
      <c r="AE113" s="52">
        <f t="shared" ca="1" si="609"/>
        <v>550.15518469445101</v>
      </c>
      <c r="AF113" s="52">
        <f t="shared" ca="1" si="609"/>
        <v>578.21449958006235</v>
      </c>
      <c r="AG113" s="52">
        <f t="shared" ca="1" si="609"/>
        <v>578.21449958006235</v>
      </c>
      <c r="AH113" s="52">
        <f t="shared" ca="1" si="609"/>
        <v>609.19762668247483</v>
      </c>
      <c r="AI113" s="52">
        <f t="shared" ca="1" si="609"/>
        <v>642.55126202948668</v>
      </c>
      <c r="AJ113" s="52">
        <f t="shared" ca="1" si="609"/>
        <v>642.55126202948668</v>
      </c>
      <c r="AK113" s="52">
        <f t="shared" ca="1" si="609"/>
        <v>679.18348229423464</v>
      </c>
      <c r="AL113" s="52">
        <f t="shared" ca="1" si="609"/>
        <v>718.47476098824802</v>
      </c>
      <c r="AM113" s="52">
        <f t="shared" ca="1" si="609"/>
        <v>718.47476098824802</v>
      </c>
      <c r="AN113" s="52">
        <f t="shared" ca="1" si="609"/>
        <v>760.02499191724701</v>
      </c>
      <c r="AO113" s="52">
        <f t="shared" ca="1" si="609"/>
        <v>804.22857331523358</v>
      </c>
      <c r="AP113" s="52">
        <f t="shared" ca="1" si="609"/>
        <v>804.22857331523358</v>
      </c>
      <c r="AQ113" s="52">
        <f t="shared" ref="AQ113:AS113" ca="1" si="610">+AQ109+AQ110+AQ111</f>
        <v>850.24425073099951</v>
      </c>
      <c r="AR113" s="52">
        <f t="shared" ca="1" si="610"/>
        <v>899.11581468993518</v>
      </c>
      <c r="AS113" s="52">
        <f t="shared" ca="1" si="610"/>
        <v>899.11581468993518</v>
      </c>
      <c r="AT113" s="52">
        <f t="shared" ref="AT113:AV113" ca="1" si="611">+AT109+AT110+AT111</f>
        <v>949.77788090889703</v>
      </c>
      <c r="AU113" s="52">
        <f t="shared" ca="1" si="611"/>
        <v>1003.5037004237652</v>
      </c>
      <c r="AV113" s="52">
        <f t="shared" ca="1" si="611"/>
        <v>1003.5037004237652</v>
      </c>
      <c r="AW113" s="23"/>
      <c r="AX113" s="23"/>
      <c r="AY113" s="295"/>
      <c r="AZ113"/>
      <c r="BA113"/>
      <c r="BB113"/>
      <c r="BC113"/>
      <c r="BD113"/>
      <c r="BE113"/>
      <c r="BZ113" s="52"/>
      <c r="CW113" s="52"/>
      <c r="DT113" s="52"/>
      <c r="EQ113" s="52"/>
      <c r="FN113" s="52"/>
      <c r="GK113" s="52"/>
      <c r="HH113" s="52"/>
      <c r="IE113" s="52"/>
      <c r="JB113" s="52"/>
      <c r="JY113" s="52"/>
      <c r="KV113" s="52"/>
      <c r="LS113" s="52"/>
      <c r="MP113" s="52"/>
      <c r="NM113" s="52"/>
      <c r="OJ113" s="52"/>
      <c r="PG113" s="52"/>
      <c r="QD113" s="52"/>
      <c r="RA113" s="52"/>
      <c r="RX113" s="52"/>
      <c r="SU113" s="52"/>
      <c r="TR113" s="52"/>
      <c r="UO113" s="52"/>
      <c r="VL113" s="52"/>
      <c r="WI113" s="52"/>
      <c r="XF113" s="52"/>
      <c r="YC113" s="52"/>
      <c r="YZ113" s="52"/>
      <c r="ZW113" s="52"/>
      <c r="AAT113" s="52"/>
      <c r="ABQ113" s="52"/>
      <c r="ACN113" s="52"/>
      <c r="ADK113" s="52"/>
      <c r="AEH113" s="52"/>
      <c r="AFE113" s="52"/>
      <c r="AGB113" s="52"/>
      <c r="AGY113" s="52"/>
      <c r="AHV113" s="52"/>
      <c r="AIS113" s="52"/>
      <c r="AJP113" s="52"/>
      <c r="AKM113" s="52"/>
      <c r="ALJ113" s="52"/>
      <c r="AMG113" s="52"/>
      <c r="AND113" s="52"/>
      <c r="AOA113" s="52"/>
      <c r="AOX113" s="52"/>
      <c r="APU113" s="52"/>
      <c r="AQR113" s="52"/>
      <c r="ARO113" s="52"/>
      <c r="ASL113" s="52"/>
      <c r="ATI113" s="52"/>
      <c r="AUF113" s="52"/>
      <c r="AVC113" s="52"/>
      <c r="AVZ113" s="52"/>
      <c r="AWW113" s="52"/>
      <c r="AXT113" s="52"/>
      <c r="AYQ113" s="52"/>
      <c r="AZN113" s="52"/>
      <c r="BAK113" s="52"/>
      <c r="BBH113" s="52"/>
      <c r="BCE113" s="52"/>
      <c r="BDB113" s="52"/>
      <c r="BDY113" s="52"/>
      <c r="BEV113" s="52"/>
      <c r="BFS113" s="52"/>
      <c r="BGP113" s="52"/>
      <c r="BHM113" s="52"/>
      <c r="BIJ113" s="52"/>
      <c r="BJG113" s="52"/>
      <c r="BKD113" s="52"/>
      <c r="BLA113" s="52"/>
      <c r="BLX113" s="52"/>
      <c r="BMU113" s="52"/>
      <c r="BNR113" s="52"/>
      <c r="BOO113" s="52"/>
      <c r="BPL113" s="52"/>
      <c r="BQI113" s="52"/>
      <c r="BRF113" s="52"/>
      <c r="BSC113" s="52"/>
      <c r="BSZ113" s="52"/>
      <c r="BTW113" s="52"/>
      <c r="BUT113" s="52"/>
      <c r="BVQ113" s="52"/>
      <c r="BWN113" s="52"/>
      <c r="BXK113" s="52"/>
      <c r="BYH113" s="52"/>
      <c r="BZE113" s="52"/>
      <c r="CAB113" s="52"/>
      <c r="CAY113" s="52"/>
      <c r="CBV113" s="52"/>
      <c r="CCS113" s="52"/>
      <c r="CDP113" s="52"/>
      <c r="CEM113" s="52"/>
      <c r="CFJ113" s="52"/>
      <c r="CGG113" s="52"/>
      <c r="CHD113" s="52"/>
      <c r="CIA113" s="52"/>
      <c r="CIX113" s="52"/>
      <c r="CJU113" s="52"/>
      <c r="CKR113" s="52"/>
      <c r="CLO113" s="52"/>
      <c r="CML113" s="52"/>
      <c r="CNI113" s="52"/>
      <c r="COF113" s="52"/>
      <c r="CPC113" s="52"/>
      <c r="CPZ113" s="52"/>
      <c r="CQW113" s="52"/>
      <c r="CRT113" s="52"/>
      <c r="CSQ113" s="52"/>
      <c r="CTN113" s="52"/>
      <c r="CUK113" s="52"/>
      <c r="CVH113" s="52"/>
      <c r="CWE113" s="52"/>
      <c r="CXB113" s="52"/>
      <c r="CXY113" s="52"/>
      <c r="CYV113" s="52"/>
      <c r="CZS113" s="52"/>
      <c r="DAP113" s="52"/>
      <c r="DBM113" s="52"/>
      <c r="DCJ113" s="52"/>
      <c r="DDG113" s="52"/>
      <c r="DED113" s="52"/>
      <c r="DFA113" s="52"/>
      <c r="DFX113" s="52"/>
      <c r="DGU113" s="52"/>
      <c r="DHR113" s="52"/>
      <c r="DIO113" s="52"/>
      <c r="DJL113" s="52"/>
      <c r="DKI113" s="52"/>
      <c r="DLF113" s="52"/>
      <c r="DMC113" s="52"/>
      <c r="DMZ113" s="52"/>
      <c r="DNW113" s="52"/>
      <c r="DOT113" s="52"/>
      <c r="DPQ113" s="52"/>
      <c r="DQN113" s="52"/>
      <c r="DRK113" s="52"/>
      <c r="DSH113" s="52"/>
      <c r="DTE113" s="52"/>
      <c r="DUB113" s="52"/>
      <c r="DUY113" s="52"/>
      <c r="DVV113" s="52"/>
      <c r="DWS113" s="52"/>
      <c r="DXP113" s="52"/>
      <c r="DYM113" s="52"/>
      <c r="DZJ113" s="52"/>
      <c r="EAG113" s="52"/>
      <c r="EBD113" s="52"/>
      <c r="ECA113" s="52"/>
      <c r="ECX113" s="52"/>
      <c r="EDU113" s="52"/>
      <c r="EER113" s="52"/>
      <c r="EFO113" s="52"/>
      <c r="EGL113" s="52"/>
      <c r="EHI113" s="52"/>
      <c r="EIF113" s="52"/>
      <c r="EJC113" s="52"/>
      <c r="EJZ113" s="52"/>
      <c r="EKW113" s="52"/>
      <c r="ELT113" s="52"/>
      <c r="EMQ113" s="52"/>
      <c r="ENN113" s="52"/>
      <c r="EOK113" s="52"/>
      <c r="EPH113" s="52"/>
      <c r="EQE113" s="52"/>
      <c r="ERB113" s="52"/>
      <c r="ERY113" s="52"/>
      <c r="ESV113" s="52"/>
      <c r="ETS113" s="52"/>
      <c r="EUP113" s="52"/>
      <c r="EVM113" s="52"/>
      <c r="EWJ113" s="52"/>
      <c r="EXG113" s="52"/>
      <c r="EYD113" s="52"/>
      <c r="EZA113" s="52"/>
      <c r="EZX113" s="52"/>
      <c r="FAU113" s="52"/>
      <c r="FBR113" s="52"/>
      <c r="FCO113" s="52"/>
      <c r="FDL113" s="52"/>
      <c r="FEI113" s="52"/>
      <c r="FFF113" s="52"/>
      <c r="FGC113" s="52"/>
      <c r="FGZ113" s="52"/>
      <c r="FHW113" s="52"/>
      <c r="FIT113" s="52"/>
      <c r="FJQ113" s="52"/>
      <c r="FKN113" s="52"/>
      <c r="FLK113" s="52"/>
      <c r="FMH113" s="52"/>
      <c r="FNE113" s="52"/>
      <c r="FOB113" s="52"/>
      <c r="FOY113" s="52"/>
      <c r="FPV113" s="52"/>
      <c r="FQS113" s="52"/>
      <c r="FRP113" s="52"/>
      <c r="FSM113" s="52"/>
      <c r="FTJ113" s="52"/>
      <c r="FUG113" s="52"/>
      <c r="FVD113" s="52"/>
      <c r="FWA113" s="52"/>
      <c r="FWX113" s="52"/>
      <c r="FXU113" s="52"/>
      <c r="FYR113" s="52"/>
      <c r="FZO113" s="52"/>
      <c r="GAL113" s="52"/>
      <c r="GBI113" s="52"/>
      <c r="GCF113" s="52"/>
      <c r="GDC113" s="52"/>
      <c r="GDZ113" s="52"/>
      <c r="GEW113" s="52"/>
      <c r="GFT113" s="52"/>
      <c r="GGQ113" s="52"/>
      <c r="GHN113" s="52"/>
      <c r="GIK113" s="52"/>
      <c r="GJH113" s="52"/>
      <c r="GKE113" s="52"/>
      <c r="GLB113" s="52"/>
      <c r="GLY113" s="52"/>
      <c r="GMV113" s="52"/>
      <c r="GNS113" s="52"/>
      <c r="GOP113" s="52"/>
      <c r="GPM113" s="52"/>
      <c r="GQJ113" s="52"/>
      <c r="GRG113" s="52"/>
      <c r="GSD113" s="52"/>
      <c r="GTA113" s="52"/>
      <c r="GTX113" s="52"/>
      <c r="GUU113" s="52"/>
      <c r="GVR113" s="52"/>
      <c r="GWO113" s="52"/>
      <c r="GXL113" s="52"/>
      <c r="GYI113" s="52"/>
      <c r="GZF113" s="52"/>
      <c r="HAC113" s="52"/>
      <c r="HAZ113" s="52"/>
      <c r="HBW113" s="52"/>
      <c r="HCT113" s="52"/>
      <c r="HDQ113" s="52"/>
      <c r="HEN113" s="52"/>
      <c r="HFK113" s="52"/>
      <c r="HGH113" s="52"/>
      <c r="HHE113" s="52"/>
      <c r="HIB113" s="52"/>
      <c r="HIY113" s="52"/>
      <c r="HJV113" s="52"/>
      <c r="HKS113" s="52"/>
      <c r="HLP113" s="52"/>
      <c r="HMM113" s="52"/>
      <c r="HNJ113" s="52"/>
      <c r="HOG113" s="52"/>
      <c r="HPD113" s="52"/>
      <c r="HQA113" s="52"/>
      <c r="HQX113" s="52"/>
      <c r="HRU113" s="52"/>
      <c r="HSR113" s="52"/>
      <c r="HTO113" s="52"/>
      <c r="HUL113" s="52"/>
      <c r="HVI113" s="52"/>
      <c r="HWF113" s="52"/>
      <c r="HXC113" s="52"/>
      <c r="HXZ113" s="52"/>
      <c r="HYW113" s="52"/>
      <c r="HZT113" s="52"/>
      <c r="IAQ113" s="52"/>
      <c r="IBN113" s="52"/>
      <c r="ICK113" s="52"/>
      <c r="IDH113" s="52"/>
      <c r="IEE113" s="52"/>
      <c r="IFB113" s="52"/>
      <c r="IFY113" s="52"/>
      <c r="IGV113" s="52"/>
      <c r="IHS113" s="52"/>
      <c r="IIP113" s="52"/>
      <c r="IJM113" s="52"/>
      <c r="IKJ113" s="52"/>
      <c r="ILG113" s="52"/>
      <c r="IMD113" s="52"/>
      <c r="INA113" s="52"/>
      <c r="INX113" s="52"/>
      <c r="IOU113" s="52"/>
      <c r="IPR113" s="52"/>
      <c r="IQO113" s="52"/>
      <c r="IRL113" s="52"/>
      <c r="ISI113" s="52"/>
      <c r="ITF113" s="52"/>
      <c r="IUC113" s="52"/>
      <c r="IUZ113" s="52"/>
      <c r="IVW113" s="52"/>
      <c r="IWT113" s="52"/>
      <c r="IXQ113" s="52"/>
      <c r="IYN113" s="52"/>
      <c r="IZK113" s="52"/>
      <c r="JAH113" s="52"/>
      <c r="JBE113" s="52"/>
      <c r="JCB113" s="52"/>
      <c r="JCY113" s="52"/>
      <c r="JDV113" s="52"/>
      <c r="JES113" s="52"/>
      <c r="JFP113" s="52"/>
      <c r="JGM113" s="52"/>
      <c r="JHJ113" s="52"/>
      <c r="JIG113" s="52"/>
      <c r="JJD113" s="52"/>
      <c r="JKA113" s="52"/>
      <c r="JKX113" s="52"/>
      <c r="JLU113" s="52"/>
      <c r="JMR113" s="52"/>
      <c r="JNO113" s="52"/>
      <c r="JOL113" s="52"/>
      <c r="JPI113" s="52"/>
      <c r="JQF113" s="52"/>
      <c r="JRC113" s="52"/>
      <c r="JRZ113" s="52"/>
      <c r="JSW113" s="52"/>
      <c r="JTT113" s="52"/>
      <c r="JUQ113" s="52"/>
      <c r="JVN113" s="52"/>
      <c r="JWK113" s="52"/>
      <c r="JXH113" s="52"/>
      <c r="JYE113" s="52"/>
      <c r="JZB113" s="52"/>
      <c r="JZY113" s="52"/>
      <c r="KAV113" s="52"/>
      <c r="KBS113" s="52"/>
      <c r="KCP113" s="52"/>
      <c r="KDM113" s="52"/>
      <c r="KEJ113" s="52"/>
      <c r="KFG113" s="52"/>
      <c r="KGD113" s="52"/>
      <c r="KHA113" s="52"/>
      <c r="KHX113" s="52"/>
      <c r="KIU113" s="52"/>
      <c r="KJR113" s="52"/>
      <c r="KKO113" s="52"/>
      <c r="KLL113" s="52"/>
      <c r="KMI113" s="52"/>
      <c r="KNF113" s="52"/>
      <c r="KOC113" s="52"/>
      <c r="KOZ113" s="52"/>
      <c r="KPW113" s="52"/>
      <c r="KQT113" s="52"/>
      <c r="KRQ113" s="52"/>
      <c r="KSN113" s="52"/>
      <c r="KTK113" s="52"/>
      <c r="KUH113" s="52"/>
      <c r="KVE113" s="52"/>
      <c r="KWB113" s="52"/>
      <c r="KWY113" s="52"/>
      <c r="KXV113" s="52"/>
      <c r="KYS113" s="52"/>
      <c r="KZP113" s="52"/>
      <c r="LAM113" s="52"/>
      <c r="LBJ113" s="52"/>
      <c r="LCG113" s="52"/>
      <c r="LDD113" s="52"/>
      <c r="LEA113" s="52"/>
      <c r="LEX113" s="52"/>
      <c r="LFU113" s="52"/>
      <c r="LGR113" s="52"/>
      <c r="LHO113" s="52"/>
      <c r="LIL113" s="52"/>
      <c r="LJI113" s="52"/>
      <c r="LKF113" s="52"/>
      <c r="LLC113" s="52"/>
      <c r="LLZ113" s="52"/>
      <c r="LMW113" s="52"/>
      <c r="LNT113" s="52"/>
      <c r="LOQ113" s="52"/>
      <c r="LPN113" s="52"/>
      <c r="LQK113" s="52"/>
      <c r="LRH113" s="52"/>
      <c r="LSE113" s="52"/>
      <c r="LTB113" s="52"/>
      <c r="LTY113" s="52"/>
      <c r="LUV113" s="52"/>
      <c r="LVS113" s="52"/>
      <c r="LWP113" s="52"/>
      <c r="LXM113" s="52"/>
      <c r="LYJ113" s="52"/>
      <c r="LZG113" s="52"/>
      <c r="MAD113" s="52"/>
      <c r="MBA113" s="52"/>
      <c r="MBX113" s="52"/>
      <c r="MCU113" s="52"/>
      <c r="MDR113" s="52"/>
      <c r="MEO113" s="52"/>
      <c r="MFL113" s="52"/>
      <c r="MGI113" s="52"/>
      <c r="MHF113" s="52"/>
      <c r="MIC113" s="52"/>
      <c r="MIZ113" s="52"/>
      <c r="MJW113" s="52"/>
      <c r="MKT113" s="52"/>
      <c r="MLQ113" s="52"/>
      <c r="MMN113" s="52"/>
      <c r="MNK113" s="52"/>
      <c r="MOH113" s="52"/>
      <c r="MPE113" s="52"/>
      <c r="MQB113" s="52"/>
      <c r="MQY113" s="52"/>
      <c r="MRV113" s="52"/>
      <c r="MSS113" s="52"/>
      <c r="MTP113" s="52"/>
      <c r="MUM113" s="52"/>
      <c r="MVJ113" s="52"/>
      <c r="MWG113" s="52"/>
      <c r="MXD113" s="52"/>
      <c r="MYA113" s="52"/>
      <c r="MYX113" s="52"/>
      <c r="MZU113" s="52"/>
      <c r="NAR113" s="52"/>
      <c r="NBO113" s="52"/>
      <c r="NCL113" s="52"/>
      <c r="NDI113" s="52"/>
      <c r="NEF113" s="52"/>
      <c r="NFC113" s="52"/>
      <c r="NFZ113" s="52"/>
      <c r="NGW113" s="52"/>
      <c r="NHT113" s="52"/>
      <c r="NIQ113" s="52"/>
      <c r="NJN113" s="52"/>
      <c r="NKK113" s="52"/>
      <c r="NLH113" s="52"/>
      <c r="NME113" s="52"/>
      <c r="NNB113" s="52"/>
      <c r="NNY113" s="52"/>
      <c r="NOV113" s="52"/>
      <c r="NPS113" s="52"/>
      <c r="NQP113" s="52"/>
      <c r="NRM113" s="52"/>
      <c r="NSJ113" s="52"/>
      <c r="NTG113" s="52"/>
      <c r="NUD113" s="52"/>
      <c r="NVA113" s="52"/>
      <c r="NVX113" s="52"/>
      <c r="NWU113" s="52"/>
      <c r="NXR113" s="52"/>
      <c r="NYO113" s="52"/>
      <c r="NZL113" s="52"/>
      <c r="OAI113" s="52"/>
      <c r="OBF113" s="52"/>
      <c r="OCC113" s="52"/>
      <c r="OCZ113" s="52"/>
      <c r="ODW113" s="52"/>
      <c r="OET113" s="52"/>
      <c r="OFQ113" s="52"/>
      <c r="OGN113" s="52"/>
      <c r="OHK113" s="52"/>
      <c r="OIH113" s="52"/>
      <c r="OJE113" s="52"/>
      <c r="OKB113" s="52"/>
      <c r="OKY113" s="52"/>
      <c r="OLV113" s="52"/>
      <c r="OMS113" s="52"/>
      <c r="ONP113" s="52"/>
      <c r="OOM113" s="52"/>
      <c r="OPJ113" s="52"/>
      <c r="OQG113" s="52"/>
      <c r="ORD113" s="52"/>
      <c r="OSA113" s="52"/>
      <c r="OSX113" s="52"/>
      <c r="OTU113" s="52"/>
      <c r="OUR113" s="52"/>
      <c r="OVO113" s="52"/>
      <c r="OWL113" s="52"/>
      <c r="OXI113" s="52"/>
      <c r="OYF113" s="52"/>
      <c r="OZC113" s="52"/>
      <c r="OZZ113" s="52"/>
      <c r="PAW113" s="52"/>
      <c r="PBT113" s="52"/>
      <c r="PCQ113" s="52"/>
      <c r="PDN113" s="52"/>
      <c r="PEK113" s="52"/>
      <c r="PFH113" s="52"/>
      <c r="PGE113" s="52"/>
      <c r="PHB113" s="52"/>
      <c r="PHY113" s="52"/>
      <c r="PIV113" s="52"/>
      <c r="PJS113" s="52"/>
      <c r="PKP113" s="52"/>
      <c r="PLM113" s="52"/>
      <c r="PMJ113" s="52"/>
      <c r="PNG113" s="52"/>
      <c r="POD113" s="52"/>
      <c r="PPA113" s="52"/>
      <c r="PPX113" s="52"/>
      <c r="PQU113" s="52"/>
      <c r="PRR113" s="52"/>
      <c r="PSO113" s="52"/>
      <c r="PTL113" s="52"/>
      <c r="PUI113" s="52"/>
      <c r="PVF113" s="52"/>
      <c r="PWC113" s="52"/>
      <c r="PWZ113" s="52"/>
      <c r="PXW113" s="52"/>
      <c r="PYT113" s="52"/>
      <c r="PZQ113" s="52"/>
      <c r="QAN113" s="52"/>
      <c r="QBK113" s="52"/>
      <c r="QCH113" s="52"/>
      <c r="QDE113" s="52"/>
      <c r="QEB113" s="52"/>
      <c r="QEY113" s="52"/>
      <c r="QFV113" s="52"/>
      <c r="QGS113" s="52"/>
      <c r="QHP113" s="52"/>
      <c r="QIM113" s="52"/>
      <c r="QJJ113" s="52"/>
      <c r="QKG113" s="52"/>
      <c r="QLD113" s="52"/>
      <c r="QMA113" s="52"/>
      <c r="QMX113" s="52"/>
      <c r="QNU113" s="52"/>
      <c r="QOR113" s="52"/>
      <c r="QPO113" s="52"/>
      <c r="QQL113" s="52"/>
      <c r="QRI113" s="52"/>
      <c r="QSF113" s="52"/>
      <c r="QTC113" s="52"/>
      <c r="QTZ113" s="52"/>
      <c r="QUW113" s="52"/>
      <c r="QVT113" s="52"/>
      <c r="QWQ113" s="52"/>
      <c r="QXN113" s="52"/>
      <c r="QYK113" s="52"/>
      <c r="QZH113" s="52"/>
      <c r="RAE113" s="52"/>
      <c r="RBB113" s="52"/>
      <c r="RBY113" s="52"/>
      <c r="RCV113" s="52"/>
      <c r="RDS113" s="52"/>
      <c r="REP113" s="52"/>
      <c r="RFM113" s="52"/>
      <c r="RGJ113" s="52"/>
      <c r="RHG113" s="52"/>
      <c r="RID113" s="52"/>
      <c r="RJA113" s="52"/>
      <c r="RJX113" s="52"/>
      <c r="RKU113" s="52"/>
      <c r="RLR113" s="52"/>
      <c r="RMO113" s="52"/>
      <c r="RNL113" s="52"/>
      <c r="ROI113" s="52"/>
      <c r="RPF113" s="52"/>
      <c r="RQC113" s="52"/>
      <c r="RQZ113" s="52"/>
      <c r="RRW113" s="52"/>
      <c r="RST113" s="52"/>
      <c r="RTQ113" s="52"/>
      <c r="RUN113" s="52"/>
      <c r="RVK113" s="52"/>
      <c r="RWH113" s="52"/>
      <c r="RXE113" s="52"/>
      <c r="RYB113" s="52"/>
      <c r="RYY113" s="52"/>
      <c r="RZV113" s="52"/>
      <c r="SAS113" s="52"/>
      <c r="SBP113" s="52"/>
      <c r="SCM113" s="52"/>
      <c r="SDJ113" s="52"/>
      <c r="SEG113" s="52"/>
      <c r="SFD113" s="52"/>
      <c r="SGA113" s="52"/>
      <c r="SGX113" s="52"/>
      <c r="SHU113" s="52"/>
      <c r="SIR113" s="52"/>
      <c r="SJO113" s="52"/>
      <c r="SKL113" s="52"/>
      <c r="SLI113" s="52"/>
      <c r="SMF113" s="52"/>
      <c r="SNC113" s="52"/>
      <c r="SNZ113" s="52"/>
      <c r="SOW113" s="52"/>
      <c r="SPT113" s="52"/>
      <c r="SQQ113" s="52"/>
      <c r="SRN113" s="52"/>
      <c r="SSK113" s="52"/>
      <c r="STH113" s="52"/>
      <c r="SUE113" s="52"/>
      <c r="SVB113" s="52"/>
      <c r="SVY113" s="52"/>
      <c r="SWV113" s="52"/>
      <c r="SXS113" s="52"/>
      <c r="SYP113" s="52"/>
      <c r="SZM113" s="52"/>
      <c r="TAJ113" s="52"/>
      <c r="TBG113" s="52"/>
      <c r="TCD113" s="52"/>
      <c r="TDA113" s="52"/>
      <c r="TDX113" s="52"/>
      <c r="TEU113" s="52"/>
      <c r="TFR113" s="52"/>
      <c r="TGO113" s="52"/>
      <c r="THL113" s="52"/>
      <c r="TII113" s="52"/>
      <c r="TJF113" s="52"/>
      <c r="TKC113" s="52"/>
      <c r="TKZ113" s="52"/>
      <c r="TLW113" s="52"/>
      <c r="TMT113" s="52"/>
      <c r="TNQ113" s="52"/>
      <c r="TON113" s="52"/>
      <c r="TPK113" s="52"/>
      <c r="TQH113" s="52"/>
      <c r="TRE113" s="52"/>
      <c r="TSB113" s="52"/>
      <c r="TSY113" s="52"/>
      <c r="TTV113" s="52"/>
      <c r="TUS113" s="52"/>
      <c r="TVP113" s="52"/>
      <c r="TWM113" s="52"/>
      <c r="TXJ113" s="52"/>
      <c r="TYG113" s="52"/>
      <c r="TZD113" s="52"/>
      <c r="UAA113" s="52"/>
      <c r="UAX113" s="52"/>
      <c r="UBU113" s="52"/>
      <c r="UCR113" s="52"/>
      <c r="UDO113" s="52"/>
      <c r="UEL113" s="52"/>
      <c r="UFI113" s="52"/>
      <c r="UGF113" s="52"/>
      <c r="UHC113" s="52"/>
      <c r="UHZ113" s="52"/>
      <c r="UIW113" s="52"/>
      <c r="UJT113" s="52"/>
      <c r="UKQ113" s="52"/>
      <c r="ULN113" s="52"/>
      <c r="UMK113" s="52"/>
      <c r="UNH113" s="52"/>
      <c r="UOE113" s="52"/>
      <c r="UPB113" s="52"/>
      <c r="UPY113" s="52"/>
      <c r="UQV113" s="52"/>
      <c r="URS113" s="52"/>
      <c r="USP113" s="52"/>
      <c r="UTM113" s="52"/>
      <c r="UUJ113" s="52"/>
      <c r="UVG113" s="52"/>
      <c r="UWD113" s="52"/>
      <c r="UXA113" s="52"/>
      <c r="UXX113" s="52"/>
      <c r="UYU113" s="52"/>
      <c r="UZR113" s="52"/>
      <c r="VAO113" s="52"/>
      <c r="VBL113" s="52"/>
      <c r="VCI113" s="52"/>
      <c r="VDF113" s="52"/>
      <c r="VEC113" s="52"/>
      <c r="VEZ113" s="52"/>
      <c r="VFW113" s="52"/>
      <c r="VGT113" s="52"/>
      <c r="VHQ113" s="52"/>
      <c r="VIN113" s="52"/>
      <c r="VJK113" s="52"/>
      <c r="VKH113" s="52"/>
      <c r="VLE113" s="52"/>
      <c r="VMB113" s="52"/>
      <c r="VMY113" s="52"/>
      <c r="VNV113" s="52"/>
      <c r="VOS113" s="52"/>
      <c r="VPP113" s="52"/>
      <c r="VQM113" s="52"/>
      <c r="VRJ113" s="52"/>
      <c r="VSG113" s="52"/>
      <c r="VTD113" s="52"/>
      <c r="VUA113" s="52"/>
      <c r="VUX113" s="52"/>
      <c r="VVU113" s="52"/>
      <c r="VWR113" s="52"/>
      <c r="VXO113" s="52"/>
      <c r="VYL113" s="52"/>
      <c r="VZI113" s="52"/>
      <c r="WAF113" s="52"/>
      <c r="WBC113" s="52"/>
      <c r="WBZ113" s="52"/>
      <c r="WCW113" s="52"/>
      <c r="WDT113" s="52"/>
      <c r="WEQ113" s="52"/>
      <c r="WFN113" s="52"/>
      <c r="WGK113" s="52"/>
      <c r="WHH113" s="52"/>
      <c r="WIE113" s="52"/>
      <c r="WJB113" s="52"/>
      <c r="WJY113" s="52"/>
      <c r="WKV113" s="52"/>
      <c r="WLS113" s="52"/>
      <c r="WMP113" s="52"/>
      <c r="WNM113" s="52"/>
      <c r="WOJ113" s="52"/>
      <c r="WPG113" s="52"/>
      <c r="WQD113" s="52"/>
      <c r="WRA113" s="52"/>
      <c r="WRX113" s="52"/>
      <c r="WSU113" s="52"/>
      <c r="WTR113" s="52"/>
      <c r="WUO113" s="52"/>
      <c r="WVL113" s="52"/>
      <c r="WWI113" s="52"/>
      <c r="WXF113" s="52"/>
      <c r="WYC113" s="52"/>
      <c r="WYZ113" s="52"/>
      <c r="WZW113" s="52"/>
      <c r="XAT113" s="52"/>
      <c r="XBQ113" s="52"/>
      <c r="XCN113" s="52"/>
      <c r="XDK113" s="52"/>
      <c r="XEH113" s="52"/>
    </row>
    <row r="114" spans="1:1021 1044:2033 2056:3068 3091:4080 4103:5115 5138:6127 6150:7162 7185:8174 8197:9209 9232:10221 10244:11256 11279:12268 12291:13303 13326:14315 14338:15350 15373:16362" x14ac:dyDescent="0.25">
      <c r="I114" s="19"/>
      <c r="J114" s="19"/>
      <c r="K114" s="19"/>
      <c r="L114" s="19"/>
      <c r="M114" s="291"/>
    </row>
    <row r="115" spans="1:1021 1044:2033 2056:3068 3091:4080 4103:5115 5138:6127 6150:7162 7185:8174 8197:9209 9232:10221 10244:11256 11279:12268 12291:13303 13326:14315 14338:15350 15373:16362" x14ac:dyDescent="0.25">
      <c r="B115" s="68" t="s">
        <v>222</v>
      </c>
      <c r="C115" s="159"/>
      <c r="D115" s="68"/>
      <c r="E115" s="68"/>
      <c r="F115" s="81" t="str">
        <f t="shared" ref="F115" si="612">IF(ABS(F90-(F106-F113)&lt;0.1), "OK","ERR")</f>
        <v>OK</v>
      </c>
      <c r="G115" s="68"/>
      <c r="H115" s="68"/>
      <c r="I115" s="81" t="str">
        <f t="shared" ref="I115" si="613">IF(ABS(I90-(I106-I113)&lt;0.1), "OK","ERR")</f>
        <v>ERR</v>
      </c>
      <c r="J115" s="81" t="str">
        <f t="shared" ref="J115:AA115" si="614">IF(ABS(J90-(J106-J113)&lt;0.1), "OK","ERR")</f>
        <v>ERR</v>
      </c>
      <c r="K115" s="81" t="str">
        <f t="shared" si="614"/>
        <v>ERR</v>
      </c>
      <c r="L115" s="81" t="str">
        <f t="shared" si="614"/>
        <v>ERR</v>
      </c>
      <c r="M115" s="429" t="str">
        <f t="shared" si="614"/>
        <v>ERR</v>
      </c>
      <c r="N115" s="81" t="str">
        <f t="shared" si="614"/>
        <v>ERR</v>
      </c>
      <c r="O115" s="81" t="str">
        <f t="shared" si="614"/>
        <v>ERR</v>
      </c>
      <c r="P115" s="81" t="str">
        <f t="shared" ca="1" si="614"/>
        <v>ERR</v>
      </c>
      <c r="Q115" s="81" t="str">
        <f t="shared" ca="1" si="614"/>
        <v>ERR</v>
      </c>
      <c r="R115" s="81" t="str">
        <f t="shared" ca="1" si="614"/>
        <v>ERR</v>
      </c>
      <c r="S115" s="81" t="str">
        <f t="shared" ca="1" si="614"/>
        <v>ERR</v>
      </c>
      <c r="T115" s="81" t="str">
        <f t="shared" ca="1" si="614"/>
        <v>ERR</v>
      </c>
      <c r="U115" s="81" t="str">
        <f t="shared" ca="1" si="614"/>
        <v>ERR</v>
      </c>
      <c r="V115" s="81" t="str">
        <f t="shared" ca="1" si="614"/>
        <v>ERR</v>
      </c>
      <c r="W115" s="81" t="str">
        <f t="shared" ca="1" si="614"/>
        <v>ERR</v>
      </c>
      <c r="X115" s="81" t="str">
        <f t="shared" ca="1" si="614"/>
        <v>ERR</v>
      </c>
      <c r="Y115" s="81" t="str">
        <f t="shared" ca="1" si="614"/>
        <v>ERR</v>
      </c>
      <c r="Z115" s="81" t="str">
        <f t="shared" ca="1" si="614"/>
        <v>ERR</v>
      </c>
      <c r="AA115" s="81" t="str">
        <f t="shared" ca="1" si="614"/>
        <v>ERR</v>
      </c>
      <c r="AB115" s="81" t="str">
        <f t="shared" ref="AB115:AP115" ca="1" si="615">IF(ABS(AB90-(AB106-AB113)&lt;0.1), "OK","ERR")</f>
        <v>ERR</v>
      </c>
      <c r="AC115" s="81" t="str">
        <f t="shared" ca="1" si="615"/>
        <v>ERR</v>
      </c>
      <c r="AD115" s="81" t="str">
        <f t="shared" ca="1" si="615"/>
        <v>ERR</v>
      </c>
      <c r="AE115" s="81" t="str">
        <f t="shared" ca="1" si="615"/>
        <v>ERR</v>
      </c>
      <c r="AF115" s="81" t="str">
        <f t="shared" ca="1" si="615"/>
        <v>ERR</v>
      </c>
      <c r="AG115" s="81" t="str">
        <f t="shared" ca="1" si="615"/>
        <v>ERR</v>
      </c>
      <c r="AH115" s="81" t="str">
        <f t="shared" ca="1" si="615"/>
        <v>ERR</v>
      </c>
      <c r="AI115" s="81" t="str">
        <f t="shared" ca="1" si="615"/>
        <v>ERR</v>
      </c>
      <c r="AJ115" s="81" t="str">
        <f t="shared" ca="1" si="615"/>
        <v>ERR</v>
      </c>
      <c r="AK115" s="81" t="str">
        <f t="shared" ca="1" si="615"/>
        <v>ERR</v>
      </c>
      <c r="AL115" s="81" t="str">
        <f t="shared" ca="1" si="615"/>
        <v>ERR</v>
      </c>
      <c r="AM115" s="81" t="str">
        <f t="shared" ca="1" si="615"/>
        <v>ERR</v>
      </c>
      <c r="AN115" s="81" t="str">
        <f t="shared" ca="1" si="615"/>
        <v>ERR</v>
      </c>
      <c r="AO115" s="81" t="str">
        <f t="shared" ca="1" si="615"/>
        <v>ERR</v>
      </c>
      <c r="AP115" s="81" t="str">
        <f t="shared" ca="1" si="615"/>
        <v>ERR</v>
      </c>
      <c r="AQ115" s="81" t="str">
        <f t="shared" ref="AQ115:AS115" ca="1" si="616">IF(ABS(AQ90-(AQ106-AQ113)&lt;0.1), "OK","ERR")</f>
        <v>ERR</v>
      </c>
      <c r="AR115" s="81" t="str">
        <f t="shared" ca="1" si="616"/>
        <v>ERR</v>
      </c>
      <c r="AS115" s="81" t="str">
        <f t="shared" ca="1" si="616"/>
        <v>ERR</v>
      </c>
      <c r="AT115" s="81" t="str">
        <f t="shared" ref="AT115:AV115" ca="1" si="617">IF(ABS(AT90-(AT106-AT113)&lt;0.1), "OK","ERR")</f>
        <v>ERR</v>
      </c>
      <c r="AU115" s="81" t="str">
        <f t="shared" ca="1" si="617"/>
        <v>ERR</v>
      </c>
      <c r="AV115" s="81" t="str">
        <f t="shared" ca="1" si="617"/>
        <v>ERR</v>
      </c>
    </row>
    <row r="116" spans="1:1021 1044:2033 2056:3068 3091:4080 4103:5115 5138:6127 6150:7162 7185:8174 8197:9209 9232:10221 10244:11256 11279:12268 12291:13303 13326:14315 14338:15350 15373:16362" x14ac:dyDescent="0.25">
      <c r="B116" s="68"/>
      <c r="C116" s="159"/>
      <c r="D116" s="68"/>
      <c r="E116" s="68"/>
      <c r="F116" s="82">
        <f t="shared" ref="F116" si="618">+F90-F106-F113</f>
        <v>0</v>
      </c>
      <c r="G116" s="68"/>
      <c r="H116" s="68"/>
      <c r="I116" s="82">
        <f t="shared" ref="I116" si="619">+I90-I106-I113</f>
        <v>0</v>
      </c>
      <c r="J116" s="82">
        <f t="shared" ref="J116:AA116" si="620">+J90-J106-J113</f>
        <v>0</v>
      </c>
      <c r="K116" s="82">
        <f>+K90-K106-K113</f>
        <v>0</v>
      </c>
      <c r="L116" s="82">
        <f t="shared" si="620"/>
        <v>0</v>
      </c>
      <c r="M116" s="430">
        <f t="shared" si="620"/>
        <v>0</v>
      </c>
      <c r="N116" s="438">
        <f>+N90-N106-N113</f>
        <v>0</v>
      </c>
      <c r="O116" s="82">
        <f t="shared" si="620"/>
        <v>0</v>
      </c>
      <c r="P116" s="38">
        <f ca="1">+P90-P106-P113</f>
        <v>0</v>
      </c>
      <c r="Q116" s="38">
        <f t="shared" ca="1" si="620"/>
        <v>0</v>
      </c>
      <c r="R116" s="38">
        <f t="shared" ca="1" si="620"/>
        <v>0</v>
      </c>
      <c r="S116" s="38">
        <f t="shared" ca="1" si="620"/>
        <v>-8.5265128291212022E-13</v>
      </c>
      <c r="T116" s="38">
        <f t="shared" ca="1" si="620"/>
        <v>-3.865352482534945E-12</v>
      </c>
      <c r="U116" s="38">
        <f t="shared" ca="1" si="620"/>
        <v>-3.865352482534945E-12</v>
      </c>
      <c r="V116" s="38">
        <f t="shared" ca="1" si="620"/>
        <v>-2.9558577807620168E-12</v>
      </c>
      <c r="W116" s="38">
        <f t="shared" ca="1" si="620"/>
        <v>-1.2505552149377763E-11</v>
      </c>
      <c r="X116" s="38">
        <f t="shared" ca="1" si="620"/>
        <v>-1.2505552149377763E-11</v>
      </c>
      <c r="Y116" s="38">
        <f t="shared" ca="1" si="620"/>
        <v>1.4694023775518872E-10</v>
      </c>
      <c r="Z116" s="38">
        <f t="shared" ca="1" si="620"/>
        <v>5.6922999647213146E-10</v>
      </c>
      <c r="AA116" s="38">
        <f t="shared" ca="1" si="620"/>
        <v>5.6922999647213146E-10</v>
      </c>
      <c r="AB116" s="38">
        <f t="shared" ref="AB116:AP116" ca="1" si="621">+AB90-AB106-AB113</f>
        <v>1.9373942450329196E-9</v>
      </c>
      <c r="AC116" s="38">
        <f t="shared" ca="1" si="621"/>
        <v>4.7934918256942183E-9</v>
      </c>
      <c r="AD116" s="38">
        <f t="shared" ca="1" si="621"/>
        <v>4.7934918256942183E-9</v>
      </c>
      <c r="AE116" s="38">
        <f t="shared" ca="1" si="621"/>
        <v>3.9145788832684048E-9</v>
      </c>
      <c r="AF116" s="38">
        <f t="shared" ca="1" si="621"/>
        <v>5.3158828450250439E-9</v>
      </c>
      <c r="AG116" s="38">
        <f t="shared" ca="1" si="621"/>
        <v>5.3158828450250439E-9</v>
      </c>
      <c r="AH116" s="38">
        <f t="shared" ca="1" si="621"/>
        <v>-3.1930085242493078E-8</v>
      </c>
      <c r="AI116" s="38">
        <f t="shared" ca="1" si="621"/>
        <v>-8.4396674537856597E-8</v>
      </c>
      <c r="AJ116" s="38">
        <f t="shared" ca="1" si="621"/>
        <v>-8.4396674537856597E-8</v>
      </c>
      <c r="AK116" s="38">
        <f t="shared" ca="1" si="621"/>
        <v>-2.3959307782206452E-7</v>
      </c>
      <c r="AL116" s="38">
        <f t="shared" ca="1" si="621"/>
        <v>-3.7253084883559495E-7</v>
      </c>
      <c r="AM116" s="38">
        <f t="shared" ca="1" si="621"/>
        <v>-3.7253084883559495E-7</v>
      </c>
      <c r="AN116" s="38">
        <f t="shared" ca="1" si="621"/>
        <v>-1.5586078916385304E-7</v>
      </c>
      <c r="AO116" s="38">
        <f t="shared" ca="1" si="621"/>
        <v>-1.019209321384551E-7</v>
      </c>
      <c r="AP116" s="38">
        <f t="shared" ca="1" si="621"/>
        <v>-1.019209321384551E-7</v>
      </c>
      <c r="AQ116" s="38">
        <f t="shared" ref="AQ116:AS116" ca="1" si="622">+AQ90-AQ106-AQ113</f>
        <v>1.1348306543368381E-6</v>
      </c>
      <c r="AR116" s="38">
        <f t="shared" ca="1" si="622"/>
        <v>-1.1563195130293025E-6</v>
      </c>
      <c r="AS116" s="38">
        <f t="shared" ca="1" si="622"/>
        <v>-1.1563195130293025E-6</v>
      </c>
      <c r="AT116" s="38">
        <f t="shared" ref="AT116:AV116" ca="1" si="623">+AT90-AT106-AT113</f>
        <v>-1.2444586445781169E-6</v>
      </c>
      <c r="AU116" s="38">
        <f t="shared" ca="1" si="623"/>
        <v>-2.3824418349249754E-7</v>
      </c>
      <c r="AV116" s="38">
        <f t="shared" ca="1" si="623"/>
        <v>-2.3824418349249754E-7</v>
      </c>
    </row>
    <row r="117" spans="1:1021 1044:2033 2056:3068 3091:4080 4103:5115 5138:6127 6150:7162 7185:8174 8197:9209 9232:10221 10244:11256 11279:12268 12291:13303 13326:14315 14338:15350 15373:16362" x14ac:dyDescent="0.25">
      <c r="P117" s="133"/>
      <c r="Q117" s="133"/>
      <c r="R117" s="133"/>
      <c r="S117" s="133"/>
      <c r="T117" s="133"/>
      <c r="U117" s="133"/>
      <c r="V117" s="133"/>
      <c r="W117" s="133"/>
      <c r="X117" s="133"/>
      <c r="Y117" s="133"/>
      <c r="Z117" s="133"/>
      <c r="AA117" s="133"/>
    </row>
    <row r="118" spans="1:1021 1044:2033 2056:3068 3091:4080 4103:5115 5138:6127 6150:7162 7185:8174 8197:9209 9232:10221 10244:11256 11279:12268 12291:13303 13326:14315 14338:15350 15373:16362" ht="15.75" x14ac:dyDescent="0.25">
      <c r="A118" s="49" t="s">
        <v>23</v>
      </c>
      <c r="B118" s="1" t="s">
        <v>430</v>
      </c>
      <c r="C118" s="2"/>
      <c r="D118" s="2"/>
      <c r="E118" s="2"/>
      <c r="F118" s="2"/>
      <c r="G118" s="1"/>
      <c r="H118" s="1"/>
      <c r="I118" s="1"/>
      <c r="J118" s="1"/>
      <c r="K118" s="1"/>
      <c r="L118" s="1"/>
      <c r="M118" s="42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21" spans="1:1021 1044:2033 2056:3068 3091:4080 4103:5115 5138:6127 6150:7162 7185:8174 8197:9209 9232:10221 10244:11256 11279:12268 12291:13303 13326:14315 14338:15350 15373:16362" x14ac:dyDescent="0.25">
      <c r="B121" s="12" t="s">
        <v>149</v>
      </c>
      <c r="M121" s="291"/>
    </row>
    <row r="123" spans="1:1021 1044:2033 2056:3068 3091:4080 4103:5115 5138:6127 6150:7162 7185:8174 8197:9209 9232:10221 10244:11256 11279:12268 12291:13303 13326:14315 14338:15350 15373:16362" x14ac:dyDescent="0.25">
      <c r="A123" s="8" t="s">
        <v>602</v>
      </c>
      <c r="B123" s="8" t="s">
        <v>70</v>
      </c>
      <c r="C123" s="22" t="s">
        <v>28</v>
      </c>
      <c r="F123" s="45">
        <v>7.2</v>
      </c>
      <c r="G123" s="45">
        <v>1.6</v>
      </c>
      <c r="H123" s="19">
        <f>+I123-G123</f>
        <v>2.1</v>
      </c>
      <c r="I123" s="45">
        <v>3.7</v>
      </c>
      <c r="J123" s="45">
        <v>8.8000000000000007</v>
      </c>
      <c r="K123" s="19">
        <f>+L123-J123</f>
        <v>4.7999999999999989</v>
      </c>
      <c r="L123" s="45">
        <v>13.6</v>
      </c>
      <c r="M123" s="448">
        <v>12.5</v>
      </c>
      <c r="N123" s="19">
        <f>O123-M123</f>
        <v>12.899999999999999</v>
      </c>
      <c r="O123" s="19">
        <v>25.4</v>
      </c>
      <c r="P123" s="19">
        <f>+P38</f>
        <v>16.894431477253892</v>
      </c>
      <c r="Q123" s="19">
        <f>+Q38</f>
        <v>19.779164661938868</v>
      </c>
      <c r="R123" s="19">
        <f t="shared" ref="R123:R129" si="624">P123+Q123</f>
        <v>36.67359613919276</v>
      </c>
      <c r="S123" s="19">
        <f>+S38</f>
        <v>29.563123572117288</v>
      </c>
      <c r="T123" s="19">
        <f>+T38</f>
        <v>37.664629798288345</v>
      </c>
      <c r="U123" s="19">
        <f t="shared" ref="U123:U129" si="625">S123+T123</f>
        <v>67.227753370405637</v>
      </c>
      <c r="V123" s="19">
        <f>+V38</f>
        <v>50.457004778378646</v>
      </c>
      <c r="W123" s="19">
        <f>+W38</f>
        <v>51.801084325874861</v>
      </c>
      <c r="X123" s="19">
        <f t="shared" ref="X123:X129" si="626">V123+W123</f>
        <v>102.25808910425351</v>
      </c>
      <c r="Y123" s="19">
        <f>+Y38</f>
        <v>71.122724703525961</v>
      </c>
      <c r="Z123" s="19">
        <f>+Z38</f>
        <v>74.537903009271957</v>
      </c>
      <c r="AA123" s="19">
        <f t="shared" ref="AA123:AA129" si="627">Y123+Z123</f>
        <v>145.66062771279792</v>
      </c>
      <c r="AB123" s="19">
        <f>+AB38</f>
        <v>90.09943656941627</v>
      </c>
      <c r="AC123" s="19">
        <f>+AC38</f>
        <v>99.716248015239756</v>
      </c>
      <c r="AD123" s="19">
        <f t="shared" ref="AD123:AD129" si="628">AB123+AC123</f>
        <v>189.81568458465603</v>
      </c>
      <c r="AE123" s="19">
        <f t="shared" ref="AE123:AF123" si="629">+AE38</f>
        <v>111.93055675150207</v>
      </c>
      <c r="AF123" s="19">
        <f t="shared" si="629"/>
        <v>122.67965638785061</v>
      </c>
      <c r="AG123" s="19">
        <f t="shared" ref="AG123:AG129" si="630">AE123+AF123</f>
        <v>234.61021313935268</v>
      </c>
      <c r="AH123" s="19">
        <f t="shared" ref="AH123:AI123" si="631">+AH38</f>
        <v>136.21821292867935</v>
      </c>
      <c r="AI123" s="19">
        <f t="shared" si="631"/>
        <v>148.22537335403715</v>
      </c>
      <c r="AJ123" s="19">
        <f t="shared" ref="AJ123:AJ129" si="632">AH123+AI123</f>
        <v>284.44358628271652</v>
      </c>
      <c r="AK123" s="19">
        <f t="shared" ref="AK123:AL123" si="633">+AK38</f>
        <v>163.17916283991599</v>
      </c>
      <c r="AL123" s="19">
        <f t="shared" si="633"/>
        <v>176.58148103986679</v>
      </c>
      <c r="AM123" s="19">
        <f t="shared" ref="AM123:AM129" si="634">AK123+AL123</f>
        <v>339.76064387978278</v>
      </c>
      <c r="AN123" s="19">
        <f t="shared" ref="AN123:AO123" si="635">+AN38</f>
        <v>186.69101171011931</v>
      </c>
      <c r="AO123" s="19">
        <f t="shared" si="635"/>
        <v>199.99930785625116</v>
      </c>
      <c r="AP123" s="19">
        <f t="shared" ref="AP123:AP129" si="636">AN123+AO123</f>
        <v>386.69031956637048</v>
      </c>
      <c r="AQ123" s="19">
        <f t="shared" ref="AQ123:AR123" si="637">+AQ38</f>
        <v>207.7035225700252</v>
      </c>
      <c r="AR123" s="19">
        <f t="shared" si="637"/>
        <v>221.99337743134834</v>
      </c>
      <c r="AS123" s="19">
        <f t="shared" ref="AS123:AS126" si="638">AQ123+AR123</f>
        <v>429.69690000137354</v>
      </c>
      <c r="AT123" s="19">
        <f t="shared" ref="AT123:AU123" si="639">+AT38</f>
        <v>229.38210994689979</v>
      </c>
      <c r="AU123" s="19">
        <f t="shared" si="639"/>
        <v>244.67897241068974</v>
      </c>
      <c r="AV123" s="19">
        <f t="shared" ref="AV123:AV124" si="640">AT123+AU123</f>
        <v>474.0610823575895</v>
      </c>
    </row>
    <row r="124" spans="1:1021 1044:2033 2056:3068 3091:4080 4103:5115 5138:6127 6150:7162 7185:8174 8197:9209 9232:10221 10244:11256 11279:12268 12291:13303 13326:14315 14338:15350 15373:16362" x14ac:dyDescent="0.25">
      <c r="A124" s="8" t="s">
        <v>601</v>
      </c>
      <c r="B124" s="8" t="s">
        <v>150</v>
      </c>
      <c r="C124" s="22" t="s">
        <v>28</v>
      </c>
      <c r="F124" s="45">
        <v>14.5</v>
      </c>
      <c r="G124" s="45">
        <v>12.6</v>
      </c>
      <c r="H124" s="19">
        <f t="shared" ref="H124:H128" si="641">+I124-G124</f>
        <v>13.000000000000002</v>
      </c>
      <c r="I124" s="45">
        <v>25.6</v>
      </c>
      <c r="J124" s="45">
        <v>15.9</v>
      </c>
      <c r="K124" s="19">
        <f>+L124-J124</f>
        <v>15.223000000000001</v>
      </c>
      <c r="L124" s="45">
        <v>31.123000000000001</v>
      </c>
      <c r="M124" s="448">
        <v>19.079999999999998</v>
      </c>
      <c r="N124" s="19">
        <f>O124-M124</f>
        <v>20.600999999999999</v>
      </c>
      <c r="O124" s="19">
        <v>39.680999999999997</v>
      </c>
      <c r="P124" s="19">
        <f>-P35</f>
        <v>23.636060884138406</v>
      </c>
      <c r="Q124" s="19">
        <f>-Q35</f>
        <v>25.042784062025323</v>
      </c>
      <c r="R124" s="19">
        <f t="shared" si="624"/>
        <v>48.678844946163728</v>
      </c>
      <c r="S124" s="19">
        <f>-S35</f>
        <v>28.364530553279938</v>
      </c>
      <c r="T124" s="19">
        <f>-T35</f>
        <v>30.096671760314262</v>
      </c>
      <c r="U124" s="19">
        <f t="shared" si="625"/>
        <v>58.4612023135942</v>
      </c>
      <c r="V124" s="19">
        <f>-V35</f>
        <v>33.735951120159527</v>
      </c>
      <c r="W124" s="19">
        <f>-W35</f>
        <v>35.743003987614593</v>
      </c>
      <c r="X124" s="19">
        <f t="shared" si="626"/>
        <v>69.478955107774112</v>
      </c>
      <c r="Y124" s="19">
        <f>-Y35</f>
        <v>39.386736005169254</v>
      </c>
      <c r="Z124" s="19">
        <f>-Z35</f>
        <v>41.737179169989396</v>
      </c>
      <c r="AA124" s="19">
        <f t="shared" si="627"/>
        <v>81.123915175158658</v>
      </c>
      <c r="AB124" s="19">
        <f>-AB35</f>
        <v>45.137307091232266</v>
      </c>
      <c r="AC124" s="19">
        <f>-AC35</f>
        <v>47.83829791874669</v>
      </c>
      <c r="AD124" s="19">
        <f t="shared" si="628"/>
        <v>92.975605009978949</v>
      </c>
      <c r="AE124" s="19">
        <f t="shared" ref="AE124:AF124" si="642">-AE35</f>
        <v>50.969655174267686</v>
      </c>
      <c r="AF124" s="19">
        <f t="shared" si="642"/>
        <v>53.996457712194356</v>
      </c>
      <c r="AG124" s="19">
        <f t="shared" si="630"/>
        <v>104.96611288646204</v>
      </c>
      <c r="AH124" s="19">
        <f t="shared" ref="AH124:AI124" si="643">-AH35</f>
        <v>57.177471189638752</v>
      </c>
      <c r="AI124" s="19">
        <f t="shared" si="643"/>
        <v>60.545559828610862</v>
      </c>
      <c r="AJ124" s="19">
        <f t="shared" si="632"/>
        <v>117.72303101824961</v>
      </c>
      <c r="AK124" s="19">
        <f t="shared" ref="AK124:AL124" si="644">-AK35</f>
        <v>63.778715258388097</v>
      </c>
      <c r="AL124" s="19">
        <f t="shared" si="644"/>
        <v>67.50376771361185</v>
      </c>
      <c r="AM124" s="19">
        <f t="shared" si="634"/>
        <v>131.28248297199994</v>
      </c>
      <c r="AN124" s="19">
        <f t="shared" ref="AN124:AO124" si="645">-AN35</f>
        <v>69.211537459061745</v>
      </c>
      <c r="AO124" s="19">
        <f t="shared" si="645"/>
        <v>73.194748019047083</v>
      </c>
      <c r="AP124" s="19">
        <f t="shared" si="636"/>
        <v>142.40628547810883</v>
      </c>
      <c r="AQ124" s="19">
        <f t="shared" ref="AQ124:AR124" si="646">-AQ35</f>
        <v>74.455763681325621</v>
      </c>
      <c r="AR124" s="19">
        <f t="shared" si="646"/>
        <v>78.700527045866409</v>
      </c>
      <c r="AS124" s="19">
        <f t="shared" si="638"/>
        <v>153.15629072719202</v>
      </c>
      <c r="AT124" s="19">
        <f t="shared" ref="AT124:AU124" si="647">-AT35</f>
        <v>79.852085075420518</v>
      </c>
      <c r="AU124" s="19">
        <f t="shared" si="647"/>
        <v>84.359988464726911</v>
      </c>
      <c r="AV124" s="19">
        <f t="shared" si="640"/>
        <v>164.21207354014743</v>
      </c>
    </row>
    <row r="125" spans="1:1021 1044:2033 2056:3068 3091:4080 4103:5115 5138:6127 6150:7162 7185:8174 8197:9209 9232:10221 10244:11256 11279:12268 12291:13303 13326:14315 14338:15350 15373:16362" x14ac:dyDescent="0.25">
      <c r="B125" s="8" t="s">
        <v>151</v>
      </c>
      <c r="C125" s="22" t="s">
        <v>28</v>
      </c>
      <c r="F125" s="45">
        <v>1.4</v>
      </c>
      <c r="G125" s="45">
        <v>2.7</v>
      </c>
      <c r="H125" s="19">
        <f t="shared" si="641"/>
        <v>1</v>
      </c>
      <c r="I125" s="45">
        <v>3.7</v>
      </c>
      <c r="J125" s="45">
        <v>5.7</v>
      </c>
      <c r="K125" s="19">
        <f>+L125-J125</f>
        <v>5.4419999999999993</v>
      </c>
      <c r="L125" s="45">
        <v>11.141999999999999</v>
      </c>
      <c r="M125" s="448">
        <v>4.5869999999999997</v>
      </c>
      <c r="N125" s="19">
        <f>+O125-M125</f>
        <v>4.4310000000000009</v>
      </c>
      <c r="O125" s="19">
        <v>9.0180000000000007</v>
      </c>
      <c r="P125" s="135">
        <f t="shared" ref="P125" si="648">+R125*0.5</f>
        <v>4.5090000000000003</v>
      </c>
      <c r="Q125" s="135">
        <f t="shared" ref="Q125" si="649">+R125-P125</f>
        <v>4.5090000000000003</v>
      </c>
      <c r="R125" s="135">
        <f t="shared" ref="R125" si="650">+O125</f>
        <v>9.0180000000000007</v>
      </c>
      <c r="S125" s="135">
        <f t="shared" ref="S125" si="651">+U125*0.5</f>
        <v>4.5090000000000003</v>
      </c>
      <c r="T125" s="135">
        <f t="shared" ref="T125" si="652">+U125-S125</f>
        <v>4.5090000000000003</v>
      </c>
      <c r="U125" s="135">
        <f t="shared" ref="U125" si="653">+R125</f>
        <v>9.0180000000000007</v>
      </c>
      <c r="V125" s="135">
        <f t="shared" ref="V125" si="654">+X125*0.5</f>
        <v>4.5090000000000003</v>
      </c>
      <c r="W125" s="135">
        <f t="shared" ref="W125" si="655">+X125-V125</f>
        <v>4.5090000000000003</v>
      </c>
      <c r="X125" s="135">
        <f t="shared" ref="X125" si="656">+U125</f>
        <v>9.0180000000000007</v>
      </c>
      <c r="Y125" s="135">
        <f t="shared" ref="Y125" si="657">+AA125*0.5</f>
        <v>4.5090000000000003</v>
      </c>
      <c r="Z125" s="135">
        <f t="shared" ref="Z125" si="658">+AA125-Y125</f>
        <v>4.5090000000000003</v>
      </c>
      <c r="AA125" s="135">
        <f t="shared" ref="AA125" si="659">+X125</f>
        <v>9.0180000000000007</v>
      </c>
      <c r="AB125" s="135">
        <f t="shared" ref="AB125" si="660">+AD125*0.5</f>
        <v>4.5090000000000003</v>
      </c>
      <c r="AC125" s="135">
        <f t="shared" ref="AC125" si="661">+AD125-AB125</f>
        <v>4.5090000000000003</v>
      </c>
      <c r="AD125" s="135">
        <f t="shared" ref="AD125" si="662">+AA125</f>
        <v>9.0180000000000007</v>
      </c>
      <c r="AE125" s="135">
        <f t="shared" ref="AE125" si="663">+AG125*0.5</f>
        <v>4.5090000000000003</v>
      </c>
      <c r="AF125" s="135">
        <f t="shared" ref="AF125" si="664">+AG125-AE125</f>
        <v>4.5090000000000003</v>
      </c>
      <c r="AG125" s="135">
        <f t="shared" ref="AG125" si="665">+AD125</f>
        <v>9.0180000000000007</v>
      </c>
      <c r="AH125" s="135">
        <f t="shared" ref="AH125" si="666">+AJ125*0.5</f>
        <v>4.5090000000000003</v>
      </c>
      <c r="AI125" s="135">
        <f t="shared" ref="AI125" si="667">+AJ125-AH125</f>
        <v>4.5090000000000003</v>
      </c>
      <c r="AJ125" s="135">
        <f t="shared" ref="AJ125" si="668">+AG125</f>
        <v>9.0180000000000007</v>
      </c>
      <c r="AK125" s="135">
        <f t="shared" ref="AK125" si="669">+AM125*0.5</f>
        <v>4.5090000000000003</v>
      </c>
      <c r="AL125" s="135">
        <f t="shared" ref="AL125" si="670">+AM125-AK125</f>
        <v>4.5090000000000003</v>
      </c>
      <c r="AM125" s="135">
        <f t="shared" ref="AM125" si="671">+AJ125</f>
        <v>9.0180000000000007</v>
      </c>
      <c r="AN125" s="135">
        <f t="shared" ref="AN125" si="672">+AP125*0.5</f>
        <v>4.5090000000000003</v>
      </c>
      <c r="AO125" s="135">
        <f t="shared" ref="AO125" si="673">+AP125-AN125</f>
        <v>4.5090000000000003</v>
      </c>
      <c r="AP125" s="135">
        <f t="shared" ref="AP125" si="674">+AM125</f>
        <v>9.0180000000000007</v>
      </c>
      <c r="AQ125" s="135">
        <f t="shared" ref="AQ125" si="675">+AS125*0.5</f>
        <v>4.5090000000000003</v>
      </c>
      <c r="AR125" s="135">
        <f t="shared" ref="AR125" si="676">+AS125-AQ125</f>
        <v>4.5090000000000003</v>
      </c>
      <c r="AS125" s="135">
        <f t="shared" ref="AS125" si="677">+AP125</f>
        <v>9.0180000000000007</v>
      </c>
      <c r="AT125" s="135">
        <f t="shared" ref="AT125" si="678">+AV125*0.5</f>
        <v>4.5090000000000003</v>
      </c>
      <c r="AU125" s="135">
        <f t="shared" ref="AU125" si="679">+AV125-AT125</f>
        <v>4.5090000000000003</v>
      </c>
      <c r="AV125" s="135">
        <f t="shared" ref="AV125" si="680">+AS125</f>
        <v>9.0180000000000007</v>
      </c>
    </row>
    <row r="126" spans="1:1021 1044:2033 2056:3068 3091:4080 4103:5115 5138:6127 6150:7162 7185:8174 8197:9209 9232:10221 10244:11256 11279:12268 12291:13303 13326:14315 14338:15350 15373:16362" x14ac:dyDescent="0.25">
      <c r="A126" s="8" t="s">
        <v>603</v>
      </c>
      <c r="B126" s="8" t="s">
        <v>152</v>
      </c>
      <c r="C126" s="22" t="s">
        <v>28</v>
      </c>
      <c r="F126" s="45">
        <v>-1.1000000000000001</v>
      </c>
      <c r="G126" s="45">
        <v>-2.7</v>
      </c>
      <c r="H126" s="19">
        <f t="shared" si="641"/>
        <v>5.8000000000000007</v>
      </c>
      <c r="I126" s="45">
        <v>3.1</v>
      </c>
      <c r="J126" s="45">
        <v>-9.4</v>
      </c>
      <c r="K126" s="19" cm="1">
        <f t="array" ref="K126">SUM(J76:J79,-K76:K79)+SUM(K93:K97,-J93:J97)</f>
        <v>19.941000000000003</v>
      </c>
      <c r="L126" s="19">
        <f>+J126+K126</f>
        <v>10.541000000000002</v>
      </c>
      <c r="M126" s="447">
        <f>7.353-1.424-1.506-7.496-0.72+0.071-0.357</f>
        <v>-4.0789999999999997</v>
      </c>
      <c r="N126" s="19" cm="1">
        <f t="array" ref="N126">SUM(M76:M79,-N76:N79)+SUM(N93:N97,-M93:M97)</f>
        <v>14.813000000000008</v>
      </c>
      <c r="O126" s="19">
        <f t="shared" ref="O126" si="681">M126+N126</f>
        <v>10.734000000000009</v>
      </c>
      <c r="P126" s="19" cm="1">
        <f t="array" ref="P126">SUM(O76:O79,-P76:P79)+SUM(P93:P97,-O93:O97)</f>
        <v>5.4938649415740279</v>
      </c>
      <c r="Q126" s="19" cm="1">
        <f t="array" ref="Q126">SUM(P76:P79,-Q76:Q79)+SUM(Q93:Q97,-P93:P97)</f>
        <v>1.289104999865156</v>
      </c>
      <c r="R126" s="19">
        <f t="shared" si="624"/>
        <v>6.782969941439184</v>
      </c>
      <c r="S126" s="19" cm="1">
        <f t="array" ref="S126">SUM(R76:R79,-S76:S79)+SUM(S93:S97,-R93:R97)</f>
        <v>2.6250848476950281</v>
      </c>
      <c r="T126" s="19" cm="1">
        <f t="array" ref="T126">SUM(S76:S79,-T76:T79)+SUM(T93:T97,-S93:S97)</f>
        <v>1.4854842389696117</v>
      </c>
      <c r="U126" s="19">
        <f t="shared" si="625"/>
        <v>4.1105690866646398</v>
      </c>
      <c r="V126" s="19" cm="1">
        <f t="array" ref="V126">SUM(U76:U79,-V76:V79)+SUM(V93:V97,-U93:U97)</f>
        <v>3.0046833031064786</v>
      </c>
      <c r="W126" s="19" cm="1">
        <f t="array" ref="W126">SUM(V76:V79,-W76:W79)+SUM(W93:W97,-V93:V97)</f>
        <v>1.9502950925440476</v>
      </c>
      <c r="X126" s="19">
        <f t="shared" si="626"/>
        <v>4.9549783956505262</v>
      </c>
      <c r="Y126" s="19" cm="1">
        <f t="array" ref="Y126">SUM(X76:X79,-Y76:Y79)+SUM(Y93:Y97,-X93:X97)</f>
        <v>2.0346786019090377</v>
      </c>
      <c r="Z126" s="19" cm="1">
        <f t="array" ref="Z126">SUM(Y76:Y79,-Z76:Z79)+SUM(Z93:Z97,-Y93:Y97)</f>
        <v>2.0035846837480875</v>
      </c>
      <c r="AA126" s="19">
        <f t="shared" si="627"/>
        <v>4.0382632856571252</v>
      </c>
      <c r="AB126" s="19" cm="1">
        <f t="array" ref="AB126">SUM(AA76:AA79,-AB76:AB79)+SUM(AB93:AB97,-AA93:AA97)</f>
        <v>2.3975852111223865</v>
      </c>
      <c r="AC126" s="19" cm="1">
        <f t="array" ref="AC126">SUM(AB76:AB79,-AC76:AC79)+SUM(AC93:AC97,-AB93:AB97)</f>
        <v>1.770077743706679</v>
      </c>
      <c r="AD126" s="19">
        <f t="shared" si="628"/>
        <v>4.1676629548290656</v>
      </c>
      <c r="AE126" s="19" cm="1">
        <f t="array" ref="AE126">SUM(AD76:AD79,-AE76:AE79)+SUM(AE93:AE97,-AD93:AD97)</f>
        <v>2.8988015922212522</v>
      </c>
      <c r="AF126" s="19" cm="1">
        <f t="array" ref="AF126">SUM(AE76:AE79,-AF76:AF79)+SUM(AF93:AF97,-AE93:AE97)</f>
        <v>1.9908747972921006</v>
      </c>
      <c r="AG126" s="19">
        <f t="shared" si="630"/>
        <v>4.8896763895133528</v>
      </c>
      <c r="AH126" s="19" cm="1">
        <f t="array" ref="AH126">SUM(AG76:AG79,-AH76:AH79)+SUM(AH93:AH97,-AG93:AG97)</f>
        <v>3.0504119844113013</v>
      </c>
      <c r="AI126" s="19" cm="1">
        <f t="array" ref="AI126">SUM(AH76:AH79,-AI76:AI79)+SUM(AI93:AI97,-AH93:AH97)</f>
        <v>2.2293672962757203</v>
      </c>
      <c r="AJ126" s="19">
        <f t="shared" si="632"/>
        <v>5.2797792806870216</v>
      </c>
      <c r="AK126" s="19" cm="1">
        <f t="array" ref="AK126">SUM(AJ76:AJ79,-AK76:AK79)+SUM(AK93:AK97,-AJ93:AJ97)</f>
        <v>3.2101513967254718</v>
      </c>
      <c r="AL126" s="19" cm="1">
        <f t="array" ref="AL126">SUM(AK76:AK79,-AL76:AL79)+SUM(AL93:AL97,-AK93:AK97)</f>
        <v>2.4867517064283291</v>
      </c>
      <c r="AM126" s="19">
        <f t="shared" si="634"/>
        <v>5.6969031031538009</v>
      </c>
      <c r="AN126" s="19" cm="1">
        <f t="array" ref="AN126">SUM(AM76:AM79,-AN76:AN79)+SUM(AN93:AN97,-AM93:AM97)</f>
        <v>2.3957524720144079</v>
      </c>
      <c r="AO126" s="19" cm="1">
        <f t="array" ref="AO126">SUM(AN76:AN79,-AO76:AO79)+SUM(AO93:AO97,-AN93:AN97)</f>
        <v>2.6010868643676446</v>
      </c>
      <c r="AP126" s="19">
        <f t="shared" si="636"/>
        <v>4.9968393363820525</v>
      </c>
      <c r="AQ126" s="19" cm="1">
        <f t="array" ref="AQ126">SUM(AP76:AP79,-AQ76:AQ79)+SUM(AQ93:AQ97,-AP93:AP97)</f>
        <v>2.127578071319487</v>
      </c>
      <c r="AR126" s="19" cm="1">
        <f t="array" ref="AR126">SUM(AQ76:AQ79,-AR76:AR79)+SUM(AR93:AR97,-AQ93:AQ97)</f>
        <v>2.8093209368554248</v>
      </c>
      <c r="AS126" s="19">
        <f t="shared" si="638"/>
        <v>4.9368990081749118</v>
      </c>
      <c r="AT126" s="19" cm="1">
        <f t="array" ref="AT126">SUM(AS76:AS79,-AT76:AT79)+SUM(AT93:AT97,-AS93:AS97)</f>
        <v>2.2212319914022345</v>
      </c>
      <c r="AU126" s="19" cm="1">
        <f t="array" ref="AU126">SUM(AT76:AT79,-AU76:AU79)+SUM(AU93:AU97,-AT93:AT97)</f>
        <v>3.0298210885307135</v>
      </c>
      <c r="AV126" s="19">
        <f t="shared" ref="AV126:AV129" si="682">AT126+AU126</f>
        <v>5.251053079932948</v>
      </c>
    </row>
    <row r="127" spans="1:1021 1044:2033 2056:3068 3091:4080 4103:5115 5138:6127 6150:7162 7185:8174 8197:9209 9232:10221 10244:11256 11279:12268 12291:13303 13326:14315 14338:15350 15373:16362" x14ac:dyDescent="0.25">
      <c r="B127" s="8" t="s">
        <v>153</v>
      </c>
      <c r="C127" s="22" t="s">
        <v>28</v>
      </c>
      <c r="F127" s="45">
        <v>-0.1</v>
      </c>
      <c r="G127" s="45">
        <v>0.8</v>
      </c>
      <c r="H127" s="19">
        <f t="shared" si="641"/>
        <v>-0.30000000000000004</v>
      </c>
      <c r="I127" s="441">
        <v>0.5</v>
      </c>
      <c r="J127" s="45">
        <v>0</v>
      </c>
      <c r="K127" s="19">
        <f>L127-J127</f>
        <v>1.7949999999999937</v>
      </c>
      <c r="L127" s="52">
        <f>L130-L123-L124-L125-L126-L129-L128</f>
        <v>1.7949999999999937</v>
      </c>
      <c r="M127" s="432">
        <f>M130-M123-M124-M125-M126-M129-M128</f>
        <v>-7.453999999999998</v>
      </c>
      <c r="N127" s="19">
        <f>O127-M127</f>
        <v>-0.41600000000001014</v>
      </c>
      <c r="O127" s="52">
        <f>O130-O123-O124-O125-O126-O129-O128</f>
        <v>-7.8700000000000081</v>
      </c>
      <c r="P127" s="485">
        <v>0</v>
      </c>
      <c r="Q127" s="485">
        <v>0</v>
      </c>
      <c r="R127" s="485">
        <f t="shared" si="624"/>
        <v>0</v>
      </c>
      <c r="S127" s="485">
        <v>0</v>
      </c>
      <c r="T127" s="485">
        <v>0</v>
      </c>
      <c r="U127" s="485">
        <f t="shared" si="625"/>
        <v>0</v>
      </c>
      <c r="V127" s="485">
        <v>0</v>
      </c>
      <c r="W127" s="485">
        <v>0</v>
      </c>
      <c r="X127" s="485">
        <f t="shared" si="626"/>
        <v>0</v>
      </c>
      <c r="Y127" s="485">
        <v>0</v>
      </c>
      <c r="Z127" s="485">
        <v>0</v>
      </c>
      <c r="AA127" s="485">
        <f t="shared" si="627"/>
        <v>0</v>
      </c>
      <c r="AB127" s="485">
        <v>0</v>
      </c>
      <c r="AC127" s="485">
        <v>0</v>
      </c>
      <c r="AD127" s="485">
        <f t="shared" si="628"/>
        <v>0</v>
      </c>
      <c r="AE127" s="485">
        <v>0</v>
      </c>
      <c r="AF127" s="485">
        <v>0</v>
      </c>
      <c r="AG127" s="485">
        <f t="shared" si="630"/>
        <v>0</v>
      </c>
      <c r="AH127" s="485">
        <v>0</v>
      </c>
      <c r="AI127" s="485">
        <v>0</v>
      </c>
      <c r="AJ127" s="485">
        <f t="shared" si="632"/>
        <v>0</v>
      </c>
      <c r="AK127" s="485">
        <v>0</v>
      </c>
      <c r="AL127" s="485">
        <v>0</v>
      </c>
      <c r="AM127" s="485">
        <f t="shared" si="634"/>
        <v>0</v>
      </c>
      <c r="AN127" s="485">
        <v>0</v>
      </c>
      <c r="AO127" s="485">
        <v>0</v>
      </c>
      <c r="AP127" s="485">
        <f t="shared" si="636"/>
        <v>0</v>
      </c>
      <c r="AQ127" s="485">
        <v>0</v>
      </c>
      <c r="AR127" s="485">
        <v>0</v>
      </c>
      <c r="AS127" s="485">
        <f t="shared" ref="AS127:AS129" si="683">AQ127+AR127</f>
        <v>0</v>
      </c>
      <c r="AT127" s="485">
        <v>0</v>
      </c>
      <c r="AU127" s="485">
        <v>0</v>
      </c>
      <c r="AV127" s="485">
        <f t="shared" si="682"/>
        <v>0</v>
      </c>
    </row>
    <row r="128" spans="1:1021 1044:2033 2056:3068 3091:4080 4103:5115 5138:6127 6150:7162 7185:8174 8197:9209 9232:10221 10244:11256 11279:12268 12291:13303 13326:14315 14338:15350 15373:16362" x14ac:dyDescent="0.25">
      <c r="B128" s="8" t="s">
        <v>223</v>
      </c>
      <c r="C128" s="22" t="s">
        <v>28</v>
      </c>
      <c r="F128" s="45">
        <v>-1.6</v>
      </c>
      <c r="G128" s="45">
        <v>-2</v>
      </c>
      <c r="H128" s="19">
        <f t="shared" si="641"/>
        <v>0.39999999999999991</v>
      </c>
      <c r="I128" s="45">
        <v>-1.6</v>
      </c>
      <c r="J128" s="441">
        <v>-3.9</v>
      </c>
      <c r="K128" s="19">
        <f>J78-K78</f>
        <v>-1.4990000000000006</v>
      </c>
      <c r="L128" s="19">
        <f>+J128+K128</f>
        <v>-5.3990000000000009</v>
      </c>
      <c r="M128" s="292"/>
      <c r="N128" s="19">
        <f>M78-N78</f>
        <v>-0.24699999999999989</v>
      </c>
      <c r="O128" s="19">
        <f>+M128+N128</f>
        <v>-0.24699999999999989</v>
      </c>
      <c r="P128" s="19">
        <f>O78-P78</f>
        <v>0</v>
      </c>
      <c r="Q128" s="19">
        <f>P78-Q78</f>
        <v>0</v>
      </c>
      <c r="R128" s="19">
        <f t="shared" si="624"/>
        <v>0</v>
      </c>
      <c r="S128" s="19">
        <f>R78-S78</f>
        <v>0</v>
      </c>
      <c r="T128" s="19">
        <f>S78-T78</f>
        <v>0</v>
      </c>
      <c r="U128" s="19">
        <f t="shared" si="625"/>
        <v>0</v>
      </c>
      <c r="V128" s="19">
        <f>U78-V78</f>
        <v>0</v>
      </c>
      <c r="W128" s="19">
        <f>V78-W78</f>
        <v>0</v>
      </c>
      <c r="X128" s="19">
        <f t="shared" si="626"/>
        <v>0</v>
      </c>
      <c r="Y128" s="19">
        <f>X78-Y78</f>
        <v>0</v>
      </c>
      <c r="Z128" s="19">
        <f>Y78-Z78</f>
        <v>0</v>
      </c>
      <c r="AA128" s="19">
        <f t="shared" si="627"/>
        <v>0</v>
      </c>
      <c r="AB128" s="19">
        <f>AA78-AB78</f>
        <v>0</v>
      </c>
      <c r="AC128" s="19">
        <f>AB78-AC78</f>
        <v>0</v>
      </c>
      <c r="AD128" s="19">
        <f t="shared" si="628"/>
        <v>0</v>
      </c>
      <c r="AE128" s="19">
        <f t="shared" ref="AE128:AF128" si="684">AD78-AE78</f>
        <v>0</v>
      </c>
      <c r="AF128" s="19">
        <f t="shared" si="684"/>
        <v>0</v>
      </c>
      <c r="AG128" s="19">
        <f t="shared" si="630"/>
        <v>0</v>
      </c>
      <c r="AH128" s="19">
        <f t="shared" ref="AH128:AI128" si="685">AG78-AH78</f>
        <v>0</v>
      </c>
      <c r="AI128" s="19">
        <f t="shared" si="685"/>
        <v>0</v>
      </c>
      <c r="AJ128" s="19">
        <f t="shared" si="632"/>
        <v>0</v>
      </c>
      <c r="AK128" s="19">
        <f t="shared" ref="AK128:AL128" si="686">AJ78-AK78</f>
        <v>0</v>
      </c>
      <c r="AL128" s="19">
        <f t="shared" si="686"/>
        <v>0</v>
      </c>
      <c r="AM128" s="19">
        <f t="shared" si="634"/>
        <v>0</v>
      </c>
      <c r="AN128" s="19">
        <f t="shared" ref="AN128:AO128" si="687">AM78-AN78</f>
        <v>0</v>
      </c>
      <c r="AO128" s="19">
        <f t="shared" si="687"/>
        <v>0</v>
      </c>
      <c r="AP128" s="19">
        <f t="shared" si="636"/>
        <v>0</v>
      </c>
      <c r="AQ128" s="19">
        <f t="shared" ref="AQ128:AR128" si="688">AP78-AQ78</f>
        <v>0</v>
      </c>
      <c r="AR128" s="19">
        <f t="shared" si="688"/>
        <v>0</v>
      </c>
      <c r="AS128" s="19">
        <f t="shared" si="683"/>
        <v>0</v>
      </c>
      <c r="AT128" s="19">
        <f t="shared" ref="AT128" si="689">AS78-AT78</f>
        <v>0</v>
      </c>
      <c r="AU128" s="19">
        <f t="shared" ref="AU128" si="690">AT78-AU78</f>
        <v>0</v>
      </c>
      <c r="AV128" s="19">
        <f t="shared" si="682"/>
        <v>0</v>
      </c>
    </row>
    <row r="129" spans="1:48" x14ac:dyDescent="0.25">
      <c r="A129" s="8" t="s">
        <v>604</v>
      </c>
      <c r="B129" s="8" t="s">
        <v>128</v>
      </c>
      <c r="C129" s="22" t="s">
        <v>28</v>
      </c>
      <c r="F129" s="45">
        <v>-0.1</v>
      </c>
      <c r="G129" s="45">
        <v>-1</v>
      </c>
      <c r="H129" s="19">
        <f>+I129-G129</f>
        <v>-1.5</v>
      </c>
      <c r="I129" s="45">
        <v>-2.5</v>
      </c>
      <c r="J129" s="45">
        <v>-2.8</v>
      </c>
      <c r="K129" s="19">
        <f>+L129-J129</f>
        <v>-3.702</v>
      </c>
      <c r="L129" s="45">
        <v>-6.5019999999999998</v>
      </c>
      <c r="M129" s="448">
        <v>-5.4340000000000002</v>
      </c>
      <c r="N129" s="19">
        <f>+O129-M129</f>
        <v>-13.954999999999998</v>
      </c>
      <c r="O129" s="45">
        <v>-19.388999999999999</v>
      </c>
      <c r="P129" s="19">
        <f ca="1">Assumptions!P307</f>
        <v>-8.3973821699393696</v>
      </c>
      <c r="Q129" s="19">
        <f ca="1">Assumptions!Q307</f>
        <v>-9.0504388158942675</v>
      </c>
      <c r="R129" s="19">
        <f t="shared" ca="1" si="624"/>
        <v>-17.447820985833637</v>
      </c>
      <c r="S129" s="19">
        <f ca="1">Assumptions!S307</f>
        <v>-11.043711885095602</v>
      </c>
      <c r="T129" s="19">
        <f ca="1">Assumptions!T307</f>
        <v>-12.979347232788664</v>
      </c>
      <c r="U129" s="19">
        <f t="shared" ca="1" si="625"/>
        <v>-24.023059117884266</v>
      </c>
      <c r="V129" s="19">
        <f ca="1">Assumptions!V307</f>
        <v>-16.067131075793657</v>
      </c>
      <c r="W129" s="19">
        <f ca="1">Assumptions!W307</f>
        <v>-16.141509143178521</v>
      </c>
      <c r="X129" s="19">
        <f t="shared" ca="1" si="626"/>
        <v>-32.208640218972178</v>
      </c>
      <c r="Y129" s="19">
        <f ca="1">Assumptions!Y307</f>
        <v>-21.520625916211639</v>
      </c>
      <c r="Z129" s="19">
        <f ca="1">Assumptions!Z307</f>
        <v>-22.568116985733656</v>
      </c>
      <c r="AA129" s="19">
        <f t="shared" ca="1" si="627"/>
        <v>-44.088742901945295</v>
      </c>
      <c r="AB129" s="19">
        <f ca="1">Assumptions!AB307</f>
        <v>-26.764626415709795</v>
      </c>
      <c r="AC129" s="19">
        <f ca="1">Assumptions!AC307</f>
        <v>-29.597354745493423</v>
      </c>
      <c r="AD129" s="19">
        <f t="shared" ca="1" si="628"/>
        <v>-56.361981161203218</v>
      </c>
      <c r="AE129" s="19">
        <f ca="1">Assumptions!AE307</f>
        <v>-32.912806136230472</v>
      </c>
      <c r="AF129" s="19">
        <f ca="1">Assumptions!AF307</f>
        <v>-36.081401932498522</v>
      </c>
      <c r="AG129" s="19">
        <f t="shared" ca="1" si="630"/>
        <v>-68.994208068728994</v>
      </c>
      <c r="AH129" s="19">
        <f ca="1">Assumptions!AH307</f>
        <v>-39.834241577955048</v>
      </c>
      <c r="AI129" s="19">
        <f ca="1">Assumptions!AI307</f>
        <v>-43.376861276554386</v>
      </c>
      <c r="AJ129" s="19">
        <f t="shared" ca="1" si="632"/>
        <v>-83.211102854509434</v>
      </c>
      <c r="AK129" s="19">
        <f ca="1">Assumptions!AK307</f>
        <v>-47.598790917325829</v>
      </c>
      <c r="AL129" s="19">
        <f ca="1">Assumptions!AL307</f>
        <v>-51.557006153989533</v>
      </c>
      <c r="AM129" s="19">
        <f t="shared" ca="1" si="634"/>
        <v>-99.155797071315362</v>
      </c>
      <c r="AN129" s="19">
        <f ca="1">Assumptions!AN307</f>
        <v>-54.583273540219054</v>
      </c>
      <c r="AO129" s="19">
        <f ca="1">Assumptions!AO307</f>
        <v>-58.539764736739855</v>
      </c>
      <c r="AP129" s="19">
        <f t="shared" ca="1" si="636"/>
        <v>-113.12303827695891</v>
      </c>
      <c r="AQ129" s="19">
        <f ca="1">Assumptions!AQ307</f>
        <v>-60.928695467335253</v>
      </c>
      <c r="AR129" s="19">
        <f ca="1">Assumptions!AR307</f>
        <v>-65.177677943599804</v>
      </c>
      <c r="AS129" s="19">
        <f t="shared" ca="1" si="683"/>
        <v>-126.10637341093505</v>
      </c>
      <c r="AT129" s="19">
        <f ca="1">Assumptions!AT307</f>
        <v>-67.5294202937866</v>
      </c>
      <c r="AU129" s="19">
        <f ca="1">Assumptions!AU307</f>
        <v>-72.078627719016524</v>
      </c>
      <c r="AV129" s="19">
        <f t="shared" ca="1" si="682"/>
        <v>-139.60804801280312</v>
      </c>
    </row>
    <row r="130" spans="1:48" x14ac:dyDescent="0.25">
      <c r="A130" s="8" t="s">
        <v>605</v>
      </c>
      <c r="B130" s="12" t="s">
        <v>165</v>
      </c>
      <c r="C130" s="22" t="s">
        <v>28</v>
      </c>
      <c r="F130" s="52">
        <f t="shared" ref="F130:X130" si="691">SUM(F123:F129)</f>
        <v>20.199999999999992</v>
      </c>
      <c r="G130" s="52">
        <f t="shared" si="691"/>
        <v>12</v>
      </c>
      <c r="H130" s="52">
        <f t="shared" si="691"/>
        <v>20.5</v>
      </c>
      <c r="I130" s="52">
        <f t="shared" si="691"/>
        <v>32.5</v>
      </c>
      <c r="J130" s="52">
        <f t="shared" si="691"/>
        <v>14.3</v>
      </c>
      <c r="K130" s="52">
        <f>+L130-J130</f>
        <v>42</v>
      </c>
      <c r="L130" s="337">
        <v>56.3</v>
      </c>
      <c r="M130" s="448">
        <v>19.2</v>
      </c>
      <c r="N130" s="52">
        <f>+O130-M130</f>
        <v>38.126999999999995</v>
      </c>
      <c r="O130" s="45">
        <v>57.326999999999998</v>
      </c>
      <c r="P130" s="52">
        <f t="shared" ca="1" si="691"/>
        <v>42.135975133026953</v>
      </c>
      <c r="Q130" s="52">
        <f t="shared" ca="1" si="691"/>
        <v>41.569614907935076</v>
      </c>
      <c r="R130" s="52">
        <f t="shared" ca="1" si="691"/>
        <v>83.705590040962051</v>
      </c>
      <c r="S130" s="52">
        <f t="shared" ca="1" si="691"/>
        <v>54.018027087996643</v>
      </c>
      <c r="T130" s="52">
        <f t="shared" ca="1" si="691"/>
        <v>60.776438564783568</v>
      </c>
      <c r="U130" s="52">
        <f t="shared" ca="1" si="691"/>
        <v>114.79446565278022</v>
      </c>
      <c r="V130" s="52">
        <f t="shared" ca="1" si="691"/>
        <v>75.639508125850995</v>
      </c>
      <c r="W130" s="52">
        <f t="shared" ca="1" si="691"/>
        <v>77.861874262854982</v>
      </c>
      <c r="X130" s="52">
        <f t="shared" ca="1" si="691"/>
        <v>153.50138238870596</v>
      </c>
      <c r="Y130" s="52">
        <f t="shared" ref="Y130:AA130" ca="1" si="692">SUM(Y123:Y129)</f>
        <v>95.532513394392609</v>
      </c>
      <c r="Z130" s="52">
        <f t="shared" ca="1" si="692"/>
        <v>100.21954987727578</v>
      </c>
      <c r="AA130" s="52">
        <f t="shared" ca="1" si="692"/>
        <v>195.75206327166842</v>
      </c>
      <c r="AB130" s="52">
        <f t="shared" ref="AB130:AD130" ca="1" si="693">SUM(AB123:AB129)</f>
        <v>115.37870245606113</v>
      </c>
      <c r="AC130" s="52">
        <f t="shared" ca="1" si="693"/>
        <v>124.23626893219972</v>
      </c>
      <c r="AD130" s="52">
        <f t="shared" ca="1" si="693"/>
        <v>239.61497138826076</v>
      </c>
      <c r="AE130" s="52">
        <f t="shared" ref="AE130:AP130" ca="1" si="694">SUM(AE123:AE129)</f>
        <v>137.39520738176051</v>
      </c>
      <c r="AF130" s="52">
        <f t="shared" ca="1" si="694"/>
        <v>147.09458696483856</v>
      </c>
      <c r="AG130" s="52">
        <f t="shared" ca="1" si="694"/>
        <v>284.48979434659913</v>
      </c>
      <c r="AH130" s="52">
        <f t="shared" ca="1" si="694"/>
        <v>161.12085452477439</v>
      </c>
      <c r="AI130" s="52">
        <f t="shared" ca="1" si="694"/>
        <v>172.13243920236931</v>
      </c>
      <c r="AJ130" s="52">
        <f t="shared" ca="1" si="694"/>
        <v>333.25329372714373</v>
      </c>
      <c r="AK130" s="52">
        <f t="shared" ca="1" si="694"/>
        <v>187.07823857770376</v>
      </c>
      <c r="AL130" s="52">
        <f t="shared" ca="1" si="694"/>
        <v>199.52399430591745</v>
      </c>
      <c r="AM130" s="52">
        <f t="shared" ca="1" si="694"/>
        <v>386.60223288362118</v>
      </c>
      <c r="AN130" s="52">
        <f t="shared" ca="1" si="694"/>
        <v>208.2240281009764</v>
      </c>
      <c r="AO130" s="52">
        <f t="shared" ca="1" si="694"/>
        <v>221.76437800292604</v>
      </c>
      <c r="AP130" s="52">
        <f t="shared" ca="1" si="694"/>
        <v>429.98840610390243</v>
      </c>
      <c r="AQ130" s="52">
        <f t="shared" ref="AQ130:AS130" ca="1" si="695">SUM(AQ123:AQ129)</f>
        <v>227.86716885533505</v>
      </c>
      <c r="AR130" s="52">
        <f t="shared" ca="1" si="695"/>
        <v>242.8345474704704</v>
      </c>
      <c r="AS130" s="52">
        <f t="shared" ca="1" si="695"/>
        <v>470.70171632580548</v>
      </c>
      <c r="AT130" s="52">
        <f t="shared" ref="AT130:AV130" ca="1" si="696">SUM(AT123:AT129)</f>
        <v>248.43500671993598</v>
      </c>
      <c r="AU130" s="52">
        <f t="shared" ca="1" si="696"/>
        <v>264.49915424493082</v>
      </c>
      <c r="AV130" s="52">
        <f t="shared" ca="1" si="696"/>
        <v>512.93416096486681</v>
      </c>
    </row>
    <row r="131" spans="1:48" x14ac:dyDescent="0.25">
      <c r="B131" s="12"/>
      <c r="F131" s="52"/>
      <c r="G131" s="52"/>
      <c r="H131" s="52"/>
      <c r="I131" s="52"/>
      <c r="J131" s="52"/>
      <c r="K131" s="19"/>
      <c r="L131" s="19"/>
      <c r="M131" s="291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19"/>
      <c r="AJ131" s="19"/>
      <c r="AK131" s="19"/>
      <c r="AL131" s="19"/>
      <c r="AM131" s="19"/>
      <c r="AN131" s="19"/>
      <c r="AO131" s="19"/>
      <c r="AP131" s="19"/>
      <c r="AQ131" s="19"/>
      <c r="AR131" s="19"/>
      <c r="AS131" s="19"/>
      <c r="AT131" s="19"/>
      <c r="AU131" s="19"/>
      <c r="AV131" s="19"/>
    </row>
    <row r="132" spans="1:48" x14ac:dyDescent="0.25">
      <c r="K132" s="19"/>
      <c r="L132" s="19"/>
      <c r="M132" s="291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19"/>
      <c r="AJ132" s="19"/>
      <c r="AK132" s="19"/>
      <c r="AL132" s="19"/>
      <c r="AM132" s="19"/>
      <c r="AN132" s="19"/>
      <c r="AO132" s="19"/>
      <c r="AP132" s="19"/>
      <c r="AQ132" s="19"/>
      <c r="AR132" s="19"/>
      <c r="AS132" s="19"/>
      <c r="AT132" s="19"/>
      <c r="AU132" s="19"/>
      <c r="AV132" s="19"/>
    </row>
    <row r="133" spans="1:48" x14ac:dyDescent="0.25">
      <c r="B133" s="12" t="s">
        <v>154</v>
      </c>
      <c r="K133" s="19"/>
      <c r="L133" s="19"/>
      <c r="M133" s="291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  <c r="AG133" s="19"/>
      <c r="AH133" s="19"/>
      <c r="AI133" s="19"/>
      <c r="AJ133" s="19"/>
      <c r="AK133" s="19"/>
      <c r="AL133" s="19"/>
      <c r="AM133" s="19"/>
      <c r="AN133" s="19"/>
      <c r="AO133" s="19"/>
      <c r="AP133" s="19"/>
      <c r="AQ133" s="19"/>
      <c r="AR133" s="19"/>
      <c r="AS133" s="19"/>
      <c r="AT133" s="19"/>
      <c r="AU133" s="19"/>
      <c r="AV133" s="19"/>
    </row>
    <row r="134" spans="1:48" x14ac:dyDescent="0.25">
      <c r="A134" s="8" t="s">
        <v>606</v>
      </c>
      <c r="B134" s="8" t="s">
        <v>155</v>
      </c>
      <c r="C134" s="22" t="s">
        <v>28</v>
      </c>
      <c r="F134" s="45">
        <v>-19.399999999999999</v>
      </c>
      <c r="G134" s="45">
        <v>-14.7</v>
      </c>
      <c r="H134" s="19">
        <f t="shared" ref="H134:H136" si="697">+I134-G134</f>
        <v>-25.000000000000004</v>
      </c>
      <c r="I134" s="45">
        <v>-39.700000000000003</v>
      </c>
      <c r="J134" s="45">
        <v>-14.9</v>
      </c>
      <c r="K134" s="19">
        <f>+L134-J134</f>
        <v>-18.596000000000004</v>
      </c>
      <c r="L134" s="337">
        <v>-33.496000000000002</v>
      </c>
      <c r="M134" s="448">
        <v>-21.855</v>
      </c>
      <c r="N134" s="19">
        <f>+O134-M134</f>
        <v>-39.471000000000004</v>
      </c>
      <c r="O134" s="45">
        <v>-61.326000000000001</v>
      </c>
      <c r="P134" s="19">
        <f>-Assumptions!P336</f>
        <v>-27.374532274694083</v>
      </c>
      <c r="Q134" s="19">
        <f>-Assumptions!Q336</f>
        <v>-27.374532274694083</v>
      </c>
      <c r="R134" s="19">
        <f t="shared" ref="R134:R136" si="698">P134+Q134</f>
        <v>-54.749064549388166</v>
      </c>
      <c r="S134" s="19">
        <f>-Assumptions!S336</f>
        <v>-36.510851087617723</v>
      </c>
      <c r="T134" s="19">
        <f>-Assumptions!T336</f>
        <v>-36.510851087617723</v>
      </c>
      <c r="U134" s="19">
        <f t="shared" ref="U134:U136" si="699">S134+T134</f>
        <v>-73.021702175235447</v>
      </c>
      <c r="V134" s="19">
        <f>-Assumptions!V336</f>
        <v>-33.283475595863429</v>
      </c>
      <c r="W134" s="19">
        <f>-Assumptions!W336</f>
        <v>-33.283475595863429</v>
      </c>
      <c r="X134" s="19">
        <f t="shared" ref="X134:X136" si="700">V134+W134</f>
        <v>-66.566951191726858</v>
      </c>
      <c r="Y134" s="19">
        <f>-Assumptions!Y336</f>
        <v>-36.891485830924601</v>
      </c>
      <c r="Z134" s="19">
        <f>-Assumptions!Z336</f>
        <v>-36.891485830924601</v>
      </c>
      <c r="AA134" s="19">
        <f t="shared" ref="AA134:AA136" si="701">Y134+Z134</f>
        <v>-73.782971661849203</v>
      </c>
      <c r="AB134" s="19">
        <f>-Assumptions!AB336</f>
        <v>-38.273991227341462</v>
      </c>
      <c r="AC134" s="19">
        <f>-Assumptions!AC336</f>
        <v>-38.273991227341462</v>
      </c>
      <c r="AD134" s="19">
        <f t="shared" ref="AD134:AD136" si="702">AB134+AC134</f>
        <v>-76.547982454682924</v>
      </c>
      <c r="AE134" s="19">
        <f>-Assumptions!AE336</f>
        <v>-42.077316861854854</v>
      </c>
      <c r="AF134" s="19">
        <f>-Assumptions!AF336</f>
        <v>-42.077316861854854</v>
      </c>
      <c r="AG134" s="19">
        <f t="shared" ref="AG134:AG136" si="703">AE134+AF134</f>
        <v>-84.154633723709708</v>
      </c>
      <c r="AH134" s="19">
        <f>-Assumptions!AH336</f>
        <v>-46.17203999935532</v>
      </c>
      <c r="AI134" s="19">
        <f>-Assumptions!AI336</f>
        <v>-46.17203999935532</v>
      </c>
      <c r="AJ134" s="19">
        <f t="shared" ref="AJ134:AJ136" si="704">AH134+AI134</f>
        <v>-92.34407999871064</v>
      </c>
      <c r="AK134" s="19">
        <f>-Assumptions!AK336</f>
        <v>-50.577958397371013</v>
      </c>
      <c r="AL134" s="19">
        <f>-Assumptions!AL336</f>
        <v>-50.577958397371013</v>
      </c>
      <c r="AM134" s="19">
        <f t="shared" ref="AM134:AM136" si="705">AK134+AL134</f>
        <v>-101.15591679474203</v>
      </c>
      <c r="AN134" s="19">
        <f>-Assumptions!AN336</f>
        <v>-51.835083717816914</v>
      </c>
      <c r="AO134" s="19">
        <f>-Assumptions!AO336</f>
        <v>-51.835083717816914</v>
      </c>
      <c r="AP134" s="19">
        <f t="shared" ref="AP134:AP136" si="706">AN134+AO134</f>
        <v>-103.67016743563383</v>
      </c>
      <c r="AQ134" s="19">
        <f>-Assumptions!AQ336</f>
        <v>-55.614599024129802</v>
      </c>
      <c r="AR134" s="19">
        <f>-Assumptions!AR336</f>
        <v>-55.614599024129802</v>
      </c>
      <c r="AS134" s="19">
        <f t="shared" ref="AS134:AS135" si="707">AQ134+AR134</f>
        <v>-111.2291980482596</v>
      </c>
      <c r="AT134" s="19">
        <f>-Assumptions!AT336</f>
        <v>-59.574290238670777</v>
      </c>
      <c r="AU134" s="19">
        <f>-Assumptions!AU336</f>
        <v>-59.574290238670777</v>
      </c>
      <c r="AV134" s="19">
        <f t="shared" ref="AV134:AV135" si="708">AT134+AU134</f>
        <v>-119.14858047734155</v>
      </c>
    </row>
    <row r="135" spans="1:48" x14ac:dyDescent="0.25">
      <c r="A135" s="8" t="s">
        <v>607</v>
      </c>
      <c r="B135" s="8" t="s">
        <v>156</v>
      </c>
      <c r="C135" s="22" t="s">
        <v>28</v>
      </c>
      <c r="F135" s="45">
        <v>-7</v>
      </c>
      <c r="G135" s="45">
        <v>-1.4</v>
      </c>
      <c r="H135" s="19">
        <f t="shared" si="697"/>
        <v>-1.5</v>
      </c>
      <c r="I135" s="45">
        <v>-2.9</v>
      </c>
      <c r="J135" s="45">
        <v>0</v>
      </c>
      <c r="K135" s="19">
        <f>+L135-J135</f>
        <v>-6.3E-2</v>
      </c>
      <c r="L135" s="337">
        <v>-6.3E-2</v>
      </c>
      <c r="M135" s="448">
        <v>-8.0000000000000002E-3</v>
      </c>
      <c r="N135" s="19">
        <f>+O135-M135</f>
        <v>-2.8999999999999998E-2</v>
      </c>
      <c r="O135" s="45">
        <v>-3.6999999999999998E-2</v>
      </c>
      <c r="P135" s="19">
        <f>-Assumptions!P376</f>
        <v>-2.2864509126290334E-2</v>
      </c>
      <c r="Q135" s="19">
        <f>-Assumptions!Q376</f>
        <v>-5.6344218774919668</v>
      </c>
      <c r="R135" s="19">
        <f t="shared" si="698"/>
        <v>-5.6572863866182574</v>
      </c>
      <c r="S135" s="19">
        <f>-Assumptions!S376</f>
        <v>-3.2571174469993767</v>
      </c>
      <c r="T135" s="19">
        <f>-Assumptions!T376</f>
        <v>-7.0472158996083145</v>
      </c>
      <c r="U135" s="19">
        <f t="shared" si="699"/>
        <v>-10.304333346607692</v>
      </c>
      <c r="V135" s="19">
        <f>-Assumptions!V376</f>
        <v>-5.9997023981353834</v>
      </c>
      <c r="W135" s="19">
        <f>-Assumptions!W376</f>
        <v>-6.5055140876422524</v>
      </c>
      <c r="X135" s="19">
        <f t="shared" si="700"/>
        <v>-12.505216485777636</v>
      </c>
      <c r="Y135" s="19">
        <f>-Assumptions!Y376</f>
        <v>-7.1678758806357061</v>
      </c>
      <c r="Z135" s="19">
        <f>-Assumptions!Z376</f>
        <v>-7.7790101529506002</v>
      </c>
      <c r="AA135" s="19">
        <f t="shared" si="701"/>
        <v>-14.946886033586306</v>
      </c>
      <c r="AB135" s="19">
        <f>-Assumptions!AB376</f>
        <v>-8.3749102039586649</v>
      </c>
      <c r="AC135" s="19">
        <f>-Assumptions!AC376</f>
        <v>-9.1039654025619914</v>
      </c>
      <c r="AD135" s="19">
        <f t="shared" si="702"/>
        <v>-17.478875606520656</v>
      </c>
      <c r="AE135" s="19">
        <f>-Assumptions!AE376</f>
        <v>-9.6385871451325595</v>
      </c>
      <c r="AF135" s="19">
        <f>-Assumptions!AF376</f>
        <v>-10.440911036682619</v>
      </c>
      <c r="AG135" s="19">
        <f t="shared" si="703"/>
        <v>-20.079498181815179</v>
      </c>
      <c r="AH135" s="19">
        <f>-Assumptions!AH376</f>
        <v>-11.008917185558657</v>
      </c>
      <c r="AI135" s="19">
        <f>-Assumptions!AI376</f>
        <v>-11.890101643532466</v>
      </c>
      <c r="AJ135" s="19">
        <f t="shared" si="704"/>
        <v>-22.899018829091123</v>
      </c>
      <c r="AK135" s="19">
        <f>-Assumptions!AK376</f>
        <v>-12.493363179097855</v>
      </c>
      <c r="AL135" s="19">
        <f>-Assumptions!AL376</f>
        <v>-13.459365026416677</v>
      </c>
      <c r="AM135" s="19">
        <f t="shared" si="705"/>
        <v>-25.952728205514532</v>
      </c>
      <c r="AN135" s="19">
        <f>-Assumptions!AN376</f>
        <v>-13.804100128687663</v>
      </c>
      <c r="AO135" s="19">
        <f>-Assumptions!AO376</f>
        <v>-14.784718705115273</v>
      </c>
      <c r="AP135" s="19">
        <f t="shared" si="706"/>
        <v>-28.588818833802936</v>
      </c>
      <c r="AQ135" s="19">
        <f>-Assumptions!AQ376</f>
        <v>-15.071198377030196</v>
      </c>
      <c r="AR135" s="19">
        <f>-Assumptions!AR376</f>
        <v>-16.119264574426644</v>
      </c>
      <c r="AS135" s="19">
        <f t="shared" si="707"/>
        <v>-31.190462951456841</v>
      </c>
      <c r="AT135" s="19">
        <f>-Assumptions!AT376</f>
        <v>-16.393512234988954</v>
      </c>
      <c r="AU135" s="19">
        <f>-Assumptions!AU376</f>
        <v>-17.51166572992242</v>
      </c>
      <c r="AV135" s="19">
        <f t="shared" si="708"/>
        <v>-33.905177964911374</v>
      </c>
    </row>
    <row r="136" spans="1:48" x14ac:dyDescent="0.25">
      <c r="B136" s="8" t="s">
        <v>157</v>
      </c>
      <c r="C136" s="22" t="s">
        <v>28</v>
      </c>
      <c r="F136" s="45">
        <v>-5.3</v>
      </c>
      <c r="G136" s="45">
        <v>-5.4</v>
      </c>
      <c r="H136" s="19">
        <f t="shared" si="697"/>
        <v>-0.29999999999999982</v>
      </c>
      <c r="I136" s="517">
        <v>-5.7</v>
      </c>
      <c r="J136" s="45">
        <v>0</v>
      </c>
      <c r="K136" s="19">
        <f>L136-J136</f>
        <v>-278.25900000000001</v>
      </c>
      <c r="L136" s="19">
        <f>L137-L134-L135</f>
        <v>-278.25900000000001</v>
      </c>
      <c r="M136" s="292">
        <f>M137-M134-M135</f>
        <v>13.782999999999999</v>
      </c>
      <c r="N136" s="19">
        <f>O136-M136</f>
        <v>13.028999999999998</v>
      </c>
      <c r="O136" s="19">
        <f>O137-O134-O135</f>
        <v>26.811999999999998</v>
      </c>
      <c r="P136" s="485">
        <v>0</v>
      </c>
      <c r="Q136" s="485">
        <v>0</v>
      </c>
      <c r="R136" s="485">
        <f t="shared" si="698"/>
        <v>0</v>
      </c>
      <c r="S136" s="485">
        <v>0</v>
      </c>
      <c r="T136" s="485">
        <v>0</v>
      </c>
      <c r="U136" s="485">
        <f t="shared" si="699"/>
        <v>0</v>
      </c>
      <c r="V136" s="485">
        <v>0</v>
      </c>
      <c r="W136" s="485">
        <v>0</v>
      </c>
      <c r="X136" s="485">
        <f t="shared" si="700"/>
        <v>0</v>
      </c>
      <c r="Y136" s="485">
        <v>0</v>
      </c>
      <c r="Z136" s="485">
        <v>0</v>
      </c>
      <c r="AA136" s="485">
        <f t="shared" si="701"/>
        <v>0</v>
      </c>
      <c r="AB136" s="485">
        <v>0</v>
      </c>
      <c r="AC136" s="485">
        <v>0</v>
      </c>
      <c r="AD136" s="485">
        <f t="shared" si="702"/>
        <v>0</v>
      </c>
      <c r="AE136" s="485">
        <v>0</v>
      </c>
      <c r="AF136" s="485">
        <v>0</v>
      </c>
      <c r="AG136" s="485">
        <f t="shared" si="703"/>
        <v>0</v>
      </c>
      <c r="AH136" s="485">
        <v>0</v>
      </c>
      <c r="AI136" s="485">
        <v>0</v>
      </c>
      <c r="AJ136" s="485">
        <f t="shared" si="704"/>
        <v>0</v>
      </c>
      <c r="AK136" s="485">
        <v>0</v>
      </c>
      <c r="AL136" s="485">
        <v>0</v>
      </c>
      <c r="AM136" s="485">
        <f t="shared" si="705"/>
        <v>0</v>
      </c>
      <c r="AN136" s="485">
        <v>0</v>
      </c>
      <c r="AO136" s="485">
        <v>0</v>
      </c>
      <c r="AP136" s="485">
        <f t="shared" si="706"/>
        <v>0</v>
      </c>
      <c r="AQ136" s="485">
        <v>0</v>
      </c>
      <c r="AR136" s="485">
        <v>0</v>
      </c>
      <c r="AS136" s="485">
        <v>0</v>
      </c>
      <c r="AT136" s="485">
        <v>0</v>
      </c>
      <c r="AU136" s="485">
        <v>0</v>
      </c>
      <c r="AV136" s="485">
        <v>0</v>
      </c>
    </row>
    <row r="137" spans="1:48" x14ac:dyDescent="0.25">
      <c r="A137" s="8" t="s">
        <v>609</v>
      </c>
      <c r="B137" s="12" t="s">
        <v>163</v>
      </c>
      <c r="C137" s="22" t="s">
        <v>28</v>
      </c>
      <c r="D137" s="12"/>
      <c r="E137" s="12"/>
      <c r="F137" s="12">
        <f t="shared" ref="F137:X137" si="709">SUM(F134:F136)</f>
        <v>-31.7</v>
      </c>
      <c r="G137" s="12">
        <f t="shared" si="709"/>
        <v>-21.5</v>
      </c>
      <c r="H137" s="12">
        <f t="shared" si="709"/>
        <v>-26.800000000000004</v>
      </c>
      <c r="I137" s="12">
        <f t="shared" si="709"/>
        <v>-48.300000000000004</v>
      </c>
      <c r="J137" s="12">
        <f t="shared" si="709"/>
        <v>-14.9</v>
      </c>
      <c r="K137" s="52">
        <f>L137-J137</f>
        <v>-296.91800000000001</v>
      </c>
      <c r="L137" s="337">
        <v>-311.81799999999998</v>
      </c>
      <c r="M137" s="448">
        <v>-8.08</v>
      </c>
      <c r="N137" s="52">
        <f>O137-M137</f>
        <v>-26.471000000000004</v>
      </c>
      <c r="O137" s="45">
        <v>-34.551000000000002</v>
      </c>
      <c r="P137" s="52">
        <f t="shared" si="709"/>
        <v>-27.397396783820373</v>
      </c>
      <c r="Q137" s="52">
        <f t="shared" si="709"/>
        <v>-33.00895415218605</v>
      </c>
      <c r="R137" s="52">
        <f t="shared" si="709"/>
        <v>-60.406350936006426</v>
      </c>
      <c r="S137" s="52">
        <f t="shared" si="709"/>
        <v>-39.767968534617097</v>
      </c>
      <c r="T137" s="52">
        <f t="shared" si="709"/>
        <v>-43.558066987226042</v>
      </c>
      <c r="U137" s="52">
        <f t="shared" si="709"/>
        <v>-83.326035521843139</v>
      </c>
      <c r="V137" s="52">
        <f t="shared" si="709"/>
        <v>-39.283177993998812</v>
      </c>
      <c r="W137" s="52">
        <f t="shared" si="709"/>
        <v>-39.788989683505683</v>
      </c>
      <c r="X137" s="52">
        <f t="shared" si="709"/>
        <v>-79.072167677504495</v>
      </c>
      <c r="Y137" s="52">
        <f t="shared" ref="Y137:AA137" si="710">SUM(Y134:Y136)</f>
        <v>-44.059361711560307</v>
      </c>
      <c r="Z137" s="52">
        <f t="shared" si="710"/>
        <v>-44.670495983875199</v>
      </c>
      <c r="AA137" s="52">
        <f t="shared" si="710"/>
        <v>-88.729857695435513</v>
      </c>
      <c r="AB137" s="52">
        <f t="shared" ref="AB137:AD137" si="711">SUM(AB134:AB136)</f>
        <v>-46.648901431300125</v>
      </c>
      <c r="AC137" s="52">
        <f t="shared" si="711"/>
        <v>-47.377956629903451</v>
      </c>
      <c r="AD137" s="52">
        <f t="shared" si="711"/>
        <v>-94.026858061203583</v>
      </c>
      <c r="AE137" s="52">
        <f t="shared" ref="AE137:AS137" si="712">SUM(AE134:AE136)</f>
        <v>-51.715904006987415</v>
      </c>
      <c r="AF137" s="52">
        <f t="shared" si="712"/>
        <v>-52.518227898537475</v>
      </c>
      <c r="AG137" s="52">
        <f t="shared" si="712"/>
        <v>-104.23413190552489</v>
      </c>
      <c r="AH137" s="52">
        <f t="shared" si="712"/>
        <v>-57.180957184913979</v>
      </c>
      <c r="AI137" s="52">
        <f t="shared" si="712"/>
        <v>-58.062141642887788</v>
      </c>
      <c r="AJ137" s="52">
        <f t="shared" si="712"/>
        <v>-115.24309882780176</v>
      </c>
      <c r="AK137" s="52">
        <f t="shared" si="712"/>
        <v>-63.071321576468868</v>
      </c>
      <c r="AL137" s="52">
        <f t="shared" si="712"/>
        <v>-64.037323423787683</v>
      </c>
      <c r="AM137" s="52">
        <f t="shared" si="712"/>
        <v>-127.10864500025656</v>
      </c>
      <c r="AN137" s="52">
        <f t="shared" si="712"/>
        <v>-65.639183846504579</v>
      </c>
      <c r="AO137" s="52">
        <f t="shared" si="712"/>
        <v>-66.619802422932182</v>
      </c>
      <c r="AP137" s="52">
        <f t="shared" si="712"/>
        <v>-132.25898626943678</v>
      </c>
      <c r="AQ137" s="52">
        <f t="shared" si="712"/>
        <v>-70.685797401160002</v>
      </c>
      <c r="AR137" s="52">
        <f t="shared" si="712"/>
        <v>-71.733863598556439</v>
      </c>
      <c r="AS137" s="52">
        <f t="shared" si="712"/>
        <v>-142.41966099971646</v>
      </c>
      <c r="AT137" s="52">
        <f t="shared" ref="AT137:AV137" si="713">SUM(AT134:AT136)</f>
        <v>-75.967802473659731</v>
      </c>
      <c r="AU137" s="52">
        <f t="shared" si="713"/>
        <v>-77.085955968593197</v>
      </c>
      <c r="AV137" s="52">
        <f t="shared" si="713"/>
        <v>-153.05375844225293</v>
      </c>
    </row>
    <row r="138" spans="1:48" x14ac:dyDescent="0.25">
      <c r="B138" s="12"/>
      <c r="C138" s="56"/>
      <c r="D138" s="12"/>
      <c r="E138" s="12"/>
      <c r="F138" s="12"/>
      <c r="G138" s="12"/>
      <c r="H138" s="12"/>
      <c r="I138" s="12"/>
      <c r="J138" s="12"/>
      <c r="K138" s="52"/>
      <c r="L138" s="52"/>
      <c r="M138" s="424"/>
      <c r="N138" s="52"/>
      <c r="O138" s="52"/>
      <c r="P138" s="52"/>
      <c r="Q138" s="52"/>
      <c r="R138" s="52"/>
      <c r="S138" s="52"/>
      <c r="T138" s="52"/>
      <c r="U138" s="52"/>
      <c r="V138" s="52"/>
      <c r="W138" s="52"/>
      <c r="X138" s="52"/>
      <c r="Y138" s="52"/>
      <c r="Z138" s="52"/>
      <c r="AA138" s="52"/>
      <c r="AB138" s="52"/>
      <c r="AC138" s="52"/>
      <c r="AD138" s="52"/>
      <c r="AE138" s="52"/>
      <c r="AF138" s="52"/>
      <c r="AG138" s="52"/>
      <c r="AH138" s="52"/>
      <c r="AI138" s="52"/>
      <c r="AJ138" s="52"/>
      <c r="AK138" s="52"/>
      <c r="AL138" s="52"/>
      <c r="AM138" s="52"/>
      <c r="AN138" s="52"/>
      <c r="AO138" s="52"/>
      <c r="AP138" s="52"/>
      <c r="AQ138" s="52"/>
      <c r="AR138" s="52"/>
      <c r="AS138" s="52"/>
      <c r="AT138" s="52"/>
      <c r="AU138" s="52"/>
      <c r="AV138" s="52"/>
    </row>
    <row r="139" spans="1:48" x14ac:dyDescent="0.25">
      <c r="K139" s="19"/>
      <c r="L139" s="19"/>
      <c r="M139" s="291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19"/>
      <c r="AH139" s="19"/>
      <c r="AI139" s="19"/>
      <c r="AJ139" s="19"/>
      <c r="AK139" s="19"/>
      <c r="AL139" s="19"/>
      <c r="AM139" s="19"/>
      <c r="AN139" s="19"/>
      <c r="AO139" s="19"/>
      <c r="AP139" s="19"/>
      <c r="AQ139" s="19"/>
      <c r="AR139" s="19"/>
      <c r="AS139" s="19"/>
      <c r="AT139" s="19"/>
      <c r="AU139" s="19"/>
      <c r="AV139" s="19"/>
    </row>
    <row r="140" spans="1:48" x14ac:dyDescent="0.25">
      <c r="B140" s="12" t="s">
        <v>158</v>
      </c>
      <c r="F140" s="45"/>
      <c r="K140" s="19"/>
      <c r="L140" s="19"/>
      <c r="M140" s="291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  <c r="AH140" s="19"/>
      <c r="AI140" s="19"/>
      <c r="AJ140" s="19"/>
      <c r="AK140" s="19"/>
      <c r="AL140" s="19"/>
      <c r="AM140" s="19"/>
      <c r="AN140" s="19"/>
      <c r="AO140" s="19"/>
      <c r="AP140" s="19"/>
      <c r="AQ140" s="19"/>
      <c r="AR140" s="19"/>
      <c r="AS140" s="19"/>
      <c r="AT140" s="19"/>
      <c r="AU140" s="19"/>
      <c r="AV140" s="19"/>
    </row>
    <row r="141" spans="1:48" x14ac:dyDescent="0.25">
      <c r="B141" s="8" t="s">
        <v>159</v>
      </c>
      <c r="C141" s="22" t="s">
        <v>28</v>
      </c>
      <c r="F141" s="45">
        <v>8.9</v>
      </c>
      <c r="G141" s="45">
        <v>4.5</v>
      </c>
      <c r="H141" s="19">
        <f>+I141-G141</f>
        <v>0.40000000000000036</v>
      </c>
      <c r="I141" s="45">
        <v>4.9000000000000004</v>
      </c>
      <c r="J141" s="45">
        <v>-15.8</v>
      </c>
      <c r="K141" s="19">
        <f>L141-J141</f>
        <v>300.09899999999999</v>
      </c>
      <c r="L141" s="45">
        <v>284.29899999999998</v>
      </c>
      <c r="M141" s="449">
        <v>-1.7</v>
      </c>
      <c r="N141" s="19">
        <f>O141-M141</f>
        <v>1.7</v>
      </c>
      <c r="O141" s="45">
        <v>0</v>
      </c>
      <c r="P141" s="19">
        <v>0</v>
      </c>
      <c r="Q141" s="19">
        <v>0</v>
      </c>
      <c r="R141" s="19">
        <f t="shared" ref="R141:R147" si="714">P141+Q141</f>
        <v>0</v>
      </c>
      <c r="S141" s="19">
        <v>0</v>
      </c>
      <c r="T141" s="19">
        <v>0</v>
      </c>
      <c r="U141" s="19">
        <f t="shared" ref="U141:U147" si="715">S141+T141</f>
        <v>0</v>
      </c>
      <c r="V141" s="19">
        <v>0</v>
      </c>
      <c r="W141" s="19">
        <v>0</v>
      </c>
      <c r="X141" s="19">
        <f t="shared" ref="X141:X147" si="716">V141+W141</f>
        <v>0</v>
      </c>
      <c r="Y141" s="19">
        <v>0</v>
      </c>
      <c r="Z141" s="19">
        <v>0</v>
      </c>
      <c r="AA141" s="19">
        <f t="shared" ref="AA141:AA147" si="717">Y141+Z141</f>
        <v>0</v>
      </c>
      <c r="AB141" s="19">
        <v>0</v>
      </c>
      <c r="AC141" s="19">
        <v>0</v>
      </c>
      <c r="AD141" s="19">
        <f t="shared" ref="AD141:AD147" si="718">AB141+AC141</f>
        <v>0</v>
      </c>
      <c r="AE141" s="19">
        <v>0</v>
      </c>
      <c r="AF141" s="19">
        <v>0</v>
      </c>
      <c r="AG141" s="19">
        <f t="shared" ref="AG141:AG147" si="719">AE141+AF141</f>
        <v>0</v>
      </c>
      <c r="AH141" s="19">
        <v>0</v>
      </c>
      <c r="AI141" s="19">
        <v>0</v>
      </c>
      <c r="AJ141" s="19">
        <f t="shared" ref="AJ141:AJ147" si="720">AH141+AI141</f>
        <v>0</v>
      </c>
      <c r="AK141" s="19">
        <v>0</v>
      </c>
      <c r="AL141" s="19">
        <v>0</v>
      </c>
      <c r="AM141" s="19">
        <f t="shared" ref="AM141:AM147" si="721">AK141+AL141</f>
        <v>0</v>
      </c>
      <c r="AN141" s="19">
        <v>0</v>
      </c>
      <c r="AO141" s="19">
        <v>0</v>
      </c>
      <c r="AP141" s="19">
        <f t="shared" ref="AP141:AP147" si="722">AN141+AO141</f>
        <v>0</v>
      </c>
      <c r="AQ141" s="19">
        <v>0</v>
      </c>
      <c r="AR141" s="19">
        <v>0</v>
      </c>
      <c r="AS141" s="19">
        <f t="shared" ref="AS141:AS143" si="723">AQ141+AR141</f>
        <v>0</v>
      </c>
      <c r="AT141" s="19">
        <v>0</v>
      </c>
      <c r="AU141" s="19">
        <v>0</v>
      </c>
      <c r="AV141" s="19">
        <f t="shared" ref="AV141:AV146" si="724">AT141+AU141</f>
        <v>0</v>
      </c>
    </row>
    <row r="142" spans="1:48" x14ac:dyDescent="0.25">
      <c r="B142" s="8" t="s">
        <v>160</v>
      </c>
      <c r="C142" s="22" t="s">
        <v>28</v>
      </c>
      <c r="F142" s="45">
        <f>-0.4</f>
        <v>-0.4</v>
      </c>
      <c r="G142" s="45">
        <f>0.1</f>
        <v>0.1</v>
      </c>
      <c r="H142" s="19">
        <f t="shared" ref="H142:H146" si="725">+I142-G142</f>
        <v>-0.2</v>
      </c>
      <c r="I142" s="45">
        <f>-0.1</f>
        <v>-0.1</v>
      </c>
      <c r="J142" s="441">
        <f>0.2</f>
        <v>0.2</v>
      </c>
      <c r="K142" s="19">
        <f>L142-J142</f>
        <v>-16.432999999999982</v>
      </c>
      <c r="L142" s="133">
        <f>L148-L141-L143-L144-L145-L146-L147</f>
        <v>-16.232999999999983</v>
      </c>
      <c r="M142" s="23">
        <f>M148-M141-M143-M144-M145-M146-M147</f>
        <v>2.2369999999999997</v>
      </c>
      <c r="N142" s="19">
        <f>O142-M142</f>
        <v>7.7129999999999974</v>
      </c>
      <c r="O142" s="19">
        <f>O148-O141-O143-O144-O145-O146-O147</f>
        <v>9.9499999999999975</v>
      </c>
      <c r="P142" s="19">
        <f ca="1">P44</f>
        <v>1.2976756942868235</v>
      </c>
      <c r="Q142" s="19">
        <f ca="1">Q44</f>
        <v>0.95768166057460036</v>
      </c>
      <c r="R142" s="19">
        <f t="shared" ca="1" si="714"/>
        <v>2.2553573548614239</v>
      </c>
      <c r="S142" s="19">
        <f ca="1">S44</f>
        <v>-0.25230575950423884</v>
      </c>
      <c r="T142" s="19">
        <f ca="1">T44</f>
        <v>-0.67640165047467171</v>
      </c>
      <c r="U142" s="19">
        <f t="shared" ca="1" si="715"/>
        <v>-0.92870740997891055</v>
      </c>
      <c r="V142" s="19">
        <f ca="1">V44</f>
        <v>-2.323150809575024</v>
      </c>
      <c r="W142" s="19">
        <f ca="1">W44</f>
        <v>-2.5104087676026534</v>
      </c>
      <c r="X142" s="19">
        <f t="shared" ca="1" si="716"/>
        <v>-4.8335595771776774</v>
      </c>
      <c r="Y142" s="19">
        <f ca="1">Y44</f>
        <v>-2.8221813470223989</v>
      </c>
      <c r="Z142" s="19">
        <f ca="1">Z44</f>
        <v>-2.9876405069158576</v>
      </c>
      <c r="AA142" s="19">
        <f t="shared" ca="1" si="717"/>
        <v>-5.8098218539382565</v>
      </c>
      <c r="AB142" s="19">
        <f ca="1">AB44</f>
        <v>-2.9790150313840211</v>
      </c>
      <c r="AC142" s="19">
        <f ca="1">AC44</f>
        <v>-3.0810033764475673</v>
      </c>
      <c r="AD142" s="19">
        <f t="shared" ca="1" si="718"/>
        <v>-6.0600184078315884</v>
      </c>
      <c r="AE142" s="19">
        <f t="shared" ref="AE142:AF142" ca="1" si="726">AE44</f>
        <v>-2.7562624520096488</v>
      </c>
      <c r="AF142" s="19">
        <f t="shared" ca="1" si="726"/>
        <v>-2.8272493641042402</v>
      </c>
      <c r="AG142" s="19">
        <f t="shared" ca="1" si="719"/>
        <v>-5.583511816113889</v>
      </c>
      <c r="AH142" s="19">
        <f t="shared" ref="AH142:AI142" ca="1" si="727">AH44</f>
        <v>-2.21265157814776</v>
      </c>
      <c r="AI142" s="19">
        <f t="shared" ca="1" si="727"/>
        <v>-2.2450393069990167</v>
      </c>
      <c r="AJ142" s="19">
        <f t="shared" ca="1" si="720"/>
        <v>-4.4576908851467767</v>
      </c>
      <c r="AK142" s="19">
        <f t="shared" ref="AK142:AL142" ca="1" si="728">AK44</f>
        <v>-1.3146199807286933</v>
      </c>
      <c r="AL142" s="19">
        <f t="shared" ca="1" si="728"/>
        <v>-1.3001658784473058</v>
      </c>
      <c r="AM142" s="19">
        <f t="shared" ca="1" si="721"/>
        <v>-2.6147858591759991</v>
      </c>
      <c r="AN142" s="19">
        <f t="shared" ref="AN142:AO142" ca="1" si="729">AN44</f>
        <v>-0.34809223388112187</v>
      </c>
      <c r="AO142" s="19">
        <f t="shared" ca="1" si="729"/>
        <v>-0.26164394706085403</v>
      </c>
      <c r="AP142" s="19">
        <f t="shared" ca="1" si="722"/>
        <v>-0.6097361809419759</v>
      </c>
      <c r="AQ142" s="19">
        <f t="shared" ref="AQ142:AR142" ca="1" si="730">AQ44</f>
        <v>0.8688950672701381</v>
      </c>
      <c r="AR142" s="19">
        <f t="shared" ca="1" si="730"/>
        <v>0.98671853637632978</v>
      </c>
      <c r="AS142" s="19">
        <f t="shared" ca="1" si="723"/>
        <v>1.8556136036464679</v>
      </c>
      <c r="AT142" s="19">
        <f t="shared" ref="AT142:AU142" ca="1" si="731">AT44</f>
        <v>2.3187456889788578</v>
      </c>
      <c r="AU142" s="19">
        <f t="shared" ca="1" si="731"/>
        <v>2.4691909197545598</v>
      </c>
      <c r="AV142" s="19">
        <f t="shared" ca="1" si="724"/>
        <v>4.7879366087334176</v>
      </c>
    </row>
    <row r="143" spans="1:48" x14ac:dyDescent="0.25">
      <c r="B143" s="8" t="s">
        <v>161</v>
      </c>
      <c r="C143" s="22" t="s">
        <v>28</v>
      </c>
      <c r="F143" s="45">
        <v>-8</v>
      </c>
      <c r="G143" s="45">
        <v>-6.7</v>
      </c>
      <c r="H143" s="19">
        <f t="shared" si="725"/>
        <v>-4.6000000000000005</v>
      </c>
      <c r="I143" s="45">
        <v>-11.3</v>
      </c>
      <c r="J143" s="45">
        <v>-6.5</v>
      </c>
      <c r="K143" s="19">
        <f t="shared" ref="K143:K147" si="732">L143-J143</f>
        <v>-9.7319999999999993</v>
      </c>
      <c r="L143" s="337">
        <f>-9.912-6.32</f>
        <v>-16.231999999999999</v>
      </c>
      <c r="M143" s="450">
        <f>-7.515-3.914</f>
        <v>-11.429</v>
      </c>
      <c r="N143" s="19">
        <f t="shared" ref="N143:N147" si="733">O143-M143</f>
        <v>-8.0269999999999992</v>
      </c>
      <c r="O143" s="45">
        <f>-10.83-8.626</f>
        <v>-19.456</v>
      </c>
      <c r="P143" s="19">
        <f ca="1">+Assumptions!P$357+Assumptions!P$469</f>
        <v>-13.038681405315334</v>
      </c>
      <c r="Q143" s="19">
        <f ca="1">+Assumptions!Q$357+Assumptions!Q$469</f>
        <v>-13.038681405315334</v>
      </c>
      <c r="R143" s="19">
        <f t="shared" ca="1" si="714"/>
        <v>-26.077362810630667</v>
      </c>
      <c r="S143" s="19">
        <f ca="1">+Assumptions!S$357+Assumptions!S$469</f>
        <v>-15.321621934412391</v>
      </c>
      <c r="T143" s="19">
        <f ca="1">+Assumptions!T$357+Assumptions!T$469</f>
        <v>-15.321621934412391</v>
      </c>
      <c r="U143" s="19">
        <f t="shared" ca="1" si="715"/>
        <v>-30.643243868824783</v>
      </c>
      <c r="V143" s="19">
        <f ca="1">+Assumptions!V$357+Assumptions!V$469</f>
        <v>-17.735239062172941</v>
      </c>
      <c r="W143" s="19">
        <f ca="1">+Assumptions!W$357+Assumptions!W$469</f>
        <v>-17.735239062172941</v>
      </c>
      <c r="X143" s="19">
        <f t="shared" ca="1" si="716"/>
        <v>-35.470478124345881</v>
      </c>
      <c r="Y143" s="19">
        <f ca="1">+Assumptions!Y$357+Assumptions!Y$469</f>
        <v>-20.144323677524099</v>
      </c>
      <c r="Z143" s="19">
        <f ca="1">+Assumptions!Z$357+Assumptions!Z$469</f>
        <v>-20.144323677524099</v>
      </c>
      <c r="AA143" s="19">
        <f t="shared" ca="1" si="717"/>
        <v>-40.288647355048198</v>
      </c>
      <c r="AB143" s="19">
        <f ca="1">+Assumptions!AB$357+Assumptions!AB$469</f>
        <v>-22.32365022260182</v>
      </c>
      <c r="AC143" s="19">
        <f ca="1">+Assumptions!AC$357+Assumptions!AC$469</f>
        <v>-22.32365022260182</v>
      </c>
      <c r="AD143" s="19">
        <f t="shared" ca="1" si="718"/>
        <v>-44.647300445203641</v>
      </c>
      <c r="AE143" s="19">
        <f ca="1">+Assumptions!AE$357+Assumptions!AE$469</f>
        <v>-24.333354870379658</v>
      </c>
      <c r="AF143" s="19">
        <f ca="1">+Assumptions!AF$357+Assumptions!AF$469</f>
        <v>-24.333354870379658</v>
      </c>
      <c r="AG143" s="19">
        <f t="shared" ca="1" si="719"/>
        <v>-48.666709740759316</v>
      </c>
      <c r="AH143" s="19">
        <f ca="1">+Assumptions!AH$357+Assumptions!AH$469</f>
        <v>-26.286755439774424</v>
      </c>
      <c r="AI143" s="19">
        <f ca="1">+Assumptions!AI$357+Assumptions!AI$469</f>
        <v>-26.286755439774424</v>
      </c>
      <c r="AJ143" s="19">
        <f t="shared" ca="1" si="720"/>
        <v>-52.573510879548849</v>
      </c>
      <c r="AK143" s="19">
        <f ca="1">+Assumptions!AK$357+Assumptions!AK$469</f>
        <v>-28.176673652654934</v>
      </c>
      <c r="AL143" s="19">
        <f ca="1">+Assumptions!AL$357+Assumptions!AL$469</f>
        <v>-28.176673652654934</v>
      </c>
      <c r="AM143" s="19">
        <f t="shared" ca="1" si="721"/>
        <v>-56.353347305309867</v>
      </c>
      <c r="AN143" s="19">
        <f ca="1">+Assumptions!AN$357+Assumptions!AN$469</f>
        <v>-29.646237657449042</v>
      </c>
      <c r="AO143" s="19">
        <f ca="1">+Assumptions!AO$357+Assumptions!AO$469</f>
        <v>-29.646237657449042</v>
      </c>
      <c r="AP143" s="19">
        <f t="shared" ca="1" si="722"/>
        <v>-59.292475314898084</v>
      </c>
      <c r="AQ143" s="19">
        <f ca="1">+Assumptions!AQ$357+Assumptions!AQ$469</f>
        <v>-30.989481320150052</v>
      </c>
      <c r="AR143" s="19">
        <f ca="1">+Assumptions!AR$357+Assumptions!AR$469</f>
        <v>-30.989481320150052</v>
      </c>
      <c r="AS143" s="19">
        <f t="shared" ca="1" si="723"/>
        <v>-61.978962640300104</v>
      </c>
      <c r="AT143" s="19">
        <f ca="1">+Assumptions!AT$357+Assumptions!AT$469</f>
        <v>-32.276302394591639</v>
      </c>
      <c r="AU143" s="19">
        <f ca="1">+Assumptions!AU$357+Assumptions!AU$469</f>
        <v>-32.276302394591639</v>
      </c>
      <c r="AV143" s="19">
        <f t="shared" ca="1" si="724"/>
        <v>-64.552604789183277</v>
      </c>
    </row>
    <row r="144" spans="1:48" x14ac:dyDescent="0.25">
      <c r="B144" s="8" t="s">
        <v>162</v>
      </c>
      <c r="C144" s="22" t="s">
        <v>28</v>
      </c>
      <c r="F144" s="45">
        <v>1.3</v>
      </c>
      <c r="G144" s="45">
        <v>0.3</v>
      </c>
      <c r="H144" s="19">
        <f t="shared" si="725"/>
        <v>1.0999999999999999</v>
      </c>
      <c r="I144" s="45">
        <v>1.4</v>
      </c>
      <c r="J144" s="45">
        <v>1.9</v>
      </c>
      <c r="K144" s="19">
        <f t="shared" si="732"/>
        <v>4.1999999999999993</v>
      </c>
      <c r="L144" s="45">
        <v>6.1</v>
      </c>
      <c r="M144" s="449">
        <v>0.1</v>
      </c>
      <c r="N144" s="19">
        <f t="shared" si="733"/>
        <v>10.085000000000001</v>
      </c>
      <c r="O144" s="45">
        <v>10.185</v>
      </c>
      <c r="P144" s="485">
        <v>1.9</v>
      </c>
      <c r="Q144" s="485">
        <v>1.9</v>
      </c>
      <c r="R144" s="485">
        <f t="shared" si="714"/>
        <v>3.8</v>
      </c>
      <c r="S144" s="485">
        <v>1.9</v>
      </c>
      <c r="T144" s="485">
        <v>1.9</v>
      </c>
      <c r="U144" s="485">
        <f t="shared" si="715"/>
        <v>3.8</v>
      </c>
      <c r="V144" s="485">
        <v>1.9</v>
      </c>
      <c r="W144" s="485">
        <v>1.9</v>
      </c>
      <c r="X144" s="485">
        <f t="shared" si="716"/>
        <v>3.8</v>
      </c>
      <c r="Y144" s="485">
        <v>1.9</v>
      </c>
      <c r="Z144" s="485">
        <v>1.9</v>
      </c>
      <c r="AA144" s="485">
        <f t="shared" si="717"/>
        <v>3.8</v>
      </c>
      <c r="AB144" s="485">
        <v>1.9</v>
      </c>
      <c r="AC144" s="485">
        <v>1.9</v>
      </c>
      <c r="AD144" s="485">
        <f t="shared" si="718"/>
        <v>3.8</v>
      </c>
      <c r="AE144" s="485">
        <v>1.9</v>
      </c>
      <c r="AF144" s="485">
        <v>1.9</v>
      </c>
      <c r="AG144" s="485">
        <f t="shared" si="719"/>
        <v>3.8</v>
      </c>
      <c r="AH144" s="485">
        <v>1.9</v>
      </c>
      <c r="AI144" s="485">
        <v>1.9</v>
      </c>
      <c r="AJ144" s="485">
        <f t="shared" si="720"/>
        <v>3.8</v>
      </c>
      <c r="AK144" s="485">
        <v>1.9</v>
      </c>
      <c r="AL144" s="485">
        <v>1.9</v>
      </c>
      <c r="AM144" s="485">
        <f t="shared" si="721"/>
        <v>3.8</v>
      </c>
      <c r="AN144" s="485">
        <v>1.9</v>
      </c>
      <c r="AO144" s="485">
        <v>1.9</v>
      </c>
      <c r="AP144" s="485">
        <f t="shared" si="722"/>
        <v>3.8</v>
      </c>
      <c r="AQ144" s="485">
        <v>1.9</v>
      </c>
      <c r="AR144" s="485">
        <v>1.9</v>
      </c>
      <c r="AS144" s="485">
        <f t="shared" ref="AS144:AS146" si="734">AQ144+AR144</f>
        <v>3.8</v>
      </c>
      <c r="AT144" s="485">
        <v>1.9</v>
      </c>
      <c r="AU144" s="485">
        <v>1.9</v>
      </c>
      <c r="AV144" s="485">
        <f t="shared" si="724"/>
        <v>3.8</v>
      </c>
    </row>
    <row r="145" spans="1:48" x14ac:dyDescent="0.25">
      <c r="A145" s="8" t="s">
        <v>611</v>
      </c>
      <c r="B145" s="8" t="s">
        <v>192</v>
      </c>
      <c r="C145" s="22" t="s">
        <v>28</v>
      </c>
      <c r="F145" s="45">
        <v>0</v>
      </c>
      <c r="G145" s="45">
        <v>0</v>
      </c>
      <c r="H145" s="19">
        <f t="shared" si="725"/>
        <v>0</v>
      </c>
      <c r="I145" s="45">
        <v>0</v>
      </c>
      <c r="J145" s="45">
        <v>0</v>
      </c>
      <c r="K145" s="19">
        <f t="shared" si="732"/>
        <v>0</v>
      </c>
      <c r="L145" s="45">
        <v>0</v>
      </c>
      <c r="M145" s="433">
        <v>0</v>
      </c>
      <c r="N145" s="19">
        <f t="shared" si="733"/>
        <v>0</v>
      </c>
      <c r="O145" s="45">
        <v>0</v>
      </c>
      <c r="P145" s="19">
        <f>IF(Assumptions!P$432+Assumptions!P$437&gt;0,(Assumptions!P$432+Assumptions!P$437),0)</f>
        <v>0</v>
      </c>
      <c r="Q145" s="19">
        <f>IF(Assumptions!Q$432+Assumptions!Q$437&gt;0,(Assumptions!Q$432+Assumptions!Q$437),0)</f>
        <v>0</v>
      </c>
      <c r="R145" s="19">
        <f t="shared" si="714"/>
        <v>0</v>
      </c>
      <c r="S145" s="19">
        <f>IF(Assumptions!S$432+Assumptions!S$437&gt;0,(Assumptions!S$432+Assumptions!S$437),0)</f>
        <v>0</v>
      </c>
      <c r="T145" s="19">
        <f>IF(Assumptions!T$432+Assumptions!T$437&gt;0,(Assumptions!T$432+Assumptions!T$437),0)</f>
        <v>0</v>
      </c>
      <c r="U145" s="19">
        <f t="shared" si="715"/>
        <v>0</v>
      </c>
      <c r="V145" s="19">
        <f>IF(Assumptions!V$432+Assumptions!V$437&gt;0,(Assumptions!V$432+Assumptions!V$437),0)</f>
        <v>0</v>
      </c>
      <c r="W145" s="19">
        <f>IF(Assumptions!W$432+Assumptions!W$437&gt;0,(Assumptions!W$432+Assumptions!W$437),0)</f>
        <v>0</v>
      </c>
      <c r="X145" s="19">
        <f t="shared" si="716"/>
        <v>0</v>
      </c>
      <c r="Y145" s="19">
        <f>IF(Assumptions!Y$432+Assumptions!Y$437&gt;0,(Assumptions!Y$432+Assumptions!Y$437),0)</f>
        <v>0</v>
      </c>
      <c r="Z145" s="19">
        <f>IF(Assumptions!Z$432+Assumptions!Z$437&gt;0,(Assumptions!Z$432+Assumptions!Z$437),0)</f>
        <v>0</v>
      </c>
      <c r="AA145" s="19">
        <f t="shared" si="717"/>
        <v>0</v>
      </c>
      <c r="AB145" s="19">
        <f>IF(Assumptions!AB$432+Assumptions!AB$437&gt;0,(Assumptions!AB$432+Assumptions!AB$437),0)</f>
        <v>0</v>
      </c>
      <c r="AC145" s="19">
        <f>IF(Assumptions!AC$432+Assumptions!AC$437&gt;0,(Assumptions!AC$432+Assumptions!AC$437),0)</f>
        <v>0</v>
      </c>
      <c r="AD145" s="19">
        <f t="shared" si="718"/>
        <v>0</v>
      </c>
      <c r="AE145" s="19">
        <f>IF(Assumptions!AE$432+Assumptions!AE$437&gt;0,(Assumptions!AE$432+Assumptions!AE$437),0)</f>
        <v>0</v>
      </c>
      <c r="AF145" s="19">
        <f>IF(Assumptions!AF$432+Assumptions!AF$437&gt;0,(Assumptions!AF$432+Assumptions!AF$437),0)</f>
        <v>0</v>
      </c>
      <c r="AG145" s="19">
        <f t="shared" si="719"/>
        <v>0</v>
      </c>
      <c r="AH145" s="19">
        <f>IF(Assumptions!AH$432+Assumptions!AH$437&gt;0,(Assumptions!AH$432+Assumptions!AH$437),0)</f>
        <v>0</v>
      </c>
      <c r="AI145" s="19">
        <f>IF(Assumptions!AI$432+Assumptions!AI$437&gt;0,(Assumptions!AI$432+Assumptions!AI$437),0)</f>
        <v>0</v>
      </c>
      <c r="AJ145" s="19">
        <f t="shared" si="720"/>
        <v>0</v>
      </c>
      <c r="AK145" s="19">
        <f>IF(Assumptions!AK$432+Assumptions!AK$437&gt;0,(Assumptions!AK$432+Assumptions!AK$437),0)</f>
        <v>0</v>
      </c>
      <c r="AL145" s="19">
        <f>IF(Assumptions!AL$432+Assumptions!AL$437&gt;0,(Assumptions!AL$432+Assumptions!AL$437),0)</f>
        <v>0</v>
      </c>
      <c r="AM145" s="19">
        <f t="shared" si="721"/>
        <v>0</v>
      </c>
      <c r="AN145" s="19">
        <f>IF(Assumptions!AN$432+Assumptions!AN$437&gt;0,(Assumptions!AN$432+Assumptions!AN$437),0)</f>
        <v>0</v>
      </c>
      <c r="AO145" s="19">
        <f>IF(Assumptions!AO$432+Assumptions!AO$437&gt;0,(Assumptions!AO$432+Assumptions!AO$437),0)</f>
        <v>0</v>
      </c>
      <c r="AP145" s="19">
        <f t="shared" si="722"/>
        <v>0</v>
      </c>
      <c r="AQ145" s="19">
        <f>IF(Assumptions!AQ$432+Assumptions!AQ$437&gt;0,(Assumptions!AQ$432+Assumptions!AQ$437),0)</f>
        <v>0</v>
      </c>
      <c r="AR145" s="19">
        <f>IF(Assumptions!AR$432+Assumptions!AR$437&gt;0,(Assumptions!AR$432+Assumptions!AR$437),0)</f>
        <v>0</v>
      </c>
      <c r="AS145" s="19">
        <f t="shared" si="734"/>
        <v>0</v>
      </c>
      <c r="AT145" s="19">
        <f>IF(Assumptions!AT$432+Assumptions!AT$437&gt;0,(Assumptions!AT$432+Assumptions!AT$437),0)</f>
        <v>0</v>
      </c>
      <c r="AU145" s="19">
        <f>IF(Assumptions!AU$432+Assumptions!AU$437&gt;0,(Assumptions!AU$432+Assumptions!AU$437),0)</f>
        <v>0</v>
      </c>
      <c r="AV145" s="19">
        <f t="shared" si="724"/>
        <v>0</v>
      </c>
    </row>
    <row r="146" spans="1:48" x14ac:dyDescent="0.25">
      <c r="A146" s="8" t="s">
        <v>613</v>
      </c>
      <c r="B146" s="8" t="s">
        <v>193</v>
      </c>
      <c r="C146" s="22" t="s">
        <v>28</v>
      </c>
      <c r="F146" s="45">
        <v>0</v>
      </c>
      <c r="G146" s="45">
        <v>0</v>
      </c>
      <c r="H146" s="19">
        <f t="shared" si="725"/>
        <v>0</v>
      </c>
      <c r="I146" s="45">
        <v>0</v>
      </c>
      <c r="J146" s="45">
        <v>0</v>
      </c>
      <c r="K146" s="19">
        <f t="shared" si="732"/>
        <v>-3</v>
      </c>
      <c r="L146" s="441">
        <v>-3</v>
      </c>
      <c r="M146" s="433">
        <v>0</v>
      </c>
      <c r="N146" s="19">
        <f t="shared" si="733"/>
        <v>0</v>
      </c>
      <c r="O146" s="441">
        <v>0</v>
      </c>
      <c r="P146" s="19">
        <f>IF(Assumptions!P$432+Assumptions!P$437&lt;0,Assumptions!P$432+Assumptions!P$437,0)</f>
        <v>0</v>
      </c>
      <c r="Q146" s="19">
        <f>IF(Assumptions!Q$432+Assumptions!Q$437&lt;0,Assumptions!Q$432+Assumptions!Q$437,0)</f>
        <v>0</v>
      </c>
      <c r="R146" s="19">
        <f t="shared" si="714"/>
        <v>0</v>
      </c>
      <c r="S146" s="19">
        <f>IF(Assumptions!S$432+Assumptions!S$437&lt;0,Assumptions!S$432+Assumptions!S$437,0)</f>
        <v>0</v>
      </c>
      <c r="T146" s="19">
        <f>IF(Assumptions!T$432+Assumptions!T$437&lt;0,Assumptions!T$432+Assumptions!T$437,0)</f>
        <v>0</v>
      </c>
      <c r="U146" s="19">
        <f t="shared" si="715"/>
        <v>0</v>
      </c>
      <c r="V146" s="19">
        <f>IF(Assumptions!V$432+Assumptions!V$437&lt;0,Assumptions!V$432+Assumptions!V$437,0)</f>
        <v>0</v>
      </c>
      <c r="W146" s="19">
        <f>IF(Assumptions!W$432+Assumptions!W$437&lt;0,Assumptions!W$432+Assumptions!W$437,0)</f>
        <v>0</v>
      </c>
      <c r="X146" s="19">
        <f t="shared" si="716"/>
        <v>0</v>
      </c>
      <c r="Y146" s="19">
        <f>IF(Assumptions!Y$432+Assumptions!Y$437&lt;0,Assumptions!Y$432+Assumptions!Y$437,0)</f>
        <v>0</v>
      </c>
      <c r="Z146" s="19">
        <f>IF(Assumptions!Z$432+Assumptions!Z$437&lt;0,Assumptions!Z$432+Assumptions!Z$437,0)</f>
        <v>0</v>
      </c>
      <c r="AA146" s="19">
        <f t="shared" si="717"/>
        <v>0</v>
      </c>
      <c r="AB146" s="19">
        <f>IF(Assumptions!AB$432+Assumptions!AB$437&lt;0,Assumptions!AB$432+Assumptions!AB$437,0)</f>
        <v>0</v>
      </c>
      <c r="AC146" s="19">
        <f>IF(Assumptions!AC$432+Assumptions!AC$437&lt;0,Assumptions!AC$432+Assumptions!AC$437,0)</f>
        <v>0</v>
      </c>
      <c r="AD146" s="19">
        <f t="shared" si="718"/>
        <v>0</v>
      </c>
      <c r="AE146" s="19">
        <f>IF(Assumptions!AE$432+Assumptions!AE$437&lt;0,Assumptions!AE$432+Assumptions!AE$437,0)</f>
        <v>0</v>
      </c>
      <c r="AF146" s="19">
        <f>IF(Assumptions!AF$432+Assumptions!AF$437&lt;0,Assumptions!AF$432+Assumptions!AF$437,0)</f>
        <v>0</v>
      </c>
      <c r="AG146" s="19">
        <f t="shared" si="719"/>
        <v>0</v>
      </c>
      <c r="AH146" s="19">
        <f>IF(Assumptions!AH$432+Assumptions!AH$437&lt;0,Assumptions!AH$432+Assumptions!AH$437,0)</f>
        <v>0</v>
      </c>
      <c r="AI146" s="19">
        <f>IF(Assumptions!AI$432+Assumptions!AI$437&lt;0,Assumptions!AI$432+Assumptions!AI$437,0)</f>
        <v>0</v>
      </c>
      <c r="AJ146" s="19">
        <f t="shared" si="720"/>
        <v>0</v>
      </c>
      <c r="AK146" s="19">
        <f>IF(Assumptions!AK$432+Assumptions!AK$437&lt;0,Assumptions!AK$432+Assumptions!AK$437,0)</f>
        <v>0</v>
      </c>
      <c r="AL146" s="19">
        <f>IF(Assumptions!AL$432+Assumptions!AL$437&lt;0,Assumptions!AL$432+Assumptions!AL$437,0)</f>
        <v>0</v>
      </c>
      <c r="AM146" s="19">
        <f t="shared" si="721"/>
        <v>0</v>
      </c>
      <c r="AN146" s="19">
        <f>IF(Assumptions!AN$432+Assumptions!AN$437&lt;0,Assumptions!AN$432+Assumptions!AN$437,0)</f>
        <v>0</v>
      </c>
      <c r="AO146" s="19">
        <f>IF(Assumptions!AO$432+Assumptions!AO$437&lt;0,Assumptions!AO$432+Assumptions!AO$437,0)</f>
        <v>0</v>
      </c>
      <c r="AP146" s="19">
        <f t="shared" si="722"/>
        <v>0</v>
      </c>
      <c r="AQ146" s="19">
        <f>IF(Assumptions!AQ$432+Assumptions!AQ$437&lt;0,Assumptions!AQ$432+Assumptions!AQ$437,0)</f>
        <v>0</v>
      </c>
      <c r="AR146" s="19">
        <f>IF(Assumptions!AR$432+Assumptions!AR$437&lt;0,Assumptions!AR$432+Assumptions!AR$437,0)</f>
        <v>0</v>
      </c>
      <c r="AS146" s="19">
        <f t="shared" si="734"/>
        <v>0</v>
      </c>
      <c r="AT146" s="19">
        <f>IF(Assumptions!AT$432+Assumptions!AT$437&lt;0,Assumptions!AT$432+Assumptions!AT$437,0)</f>
        <v>0</v>
      </c>
      <c r="AU146" s="19">
        <f>IF(Assumptions!AU$432+Assumptions!AU$437&lt;0,Assumptions!AU$432+Assumptions!AU$437,0)</f>
        <v>0</v>
      </c>
      <c r="AV146" s="19">
        <f t="shared" si="724"/>
        <v>0</v>
      </c>
    </row>
    <row r="147" spans="1:48" x14ac:dyDescent="0.25">
      <c r="A147" s="8" t="s">
        <v>608</v>
      </c>
      <c r="B147" s="8" t="s">
        <v>226</v>
      </c>
      <c r="C147" s="22" t="s">
        <v>28</v>
      </c>
      <c r="F147" s="45">
        <v>0</v>
      </c>
      <c r="G147" s="45"/>
      <c r="H147" s="19"/>
      <c r="I147" s="45">
        <v>0</v>
      </c>
      <c r="J147" s="45">
        <v>0</v>
      </c>
      <c r="K147" s="19">
        <f t="shared" si="732"/>
        <v>0</v>
      </c>
      <c r="L147" s="45">
        <v>0</v>
      </c>
      <c r="M147" s="433">
        <v>0</v>
      </c>
      <c r="N147" s="19">
        <f t="shared" si="733"/>
        <v>0</v>
      </c>
      <c r="O147" s="45">
        <v>0</v>
      </c>
      <c r="P147" s="19">
        <f ca="1">-Assumptions!P478*'Financial Statements'!P63/100</f>
        <v>-7.0411605945466844</v>
      </c>
      <c r="Q147" s="19">
        <f ca="1">-Assumptions!Q478*'Financial Statements'!Q63/100</f>
        <v>-8.4010395405658418</v>
      </c>
      <c r="R147" s="19">
        <f t="shared" ca="1" si="714"/>
        <v>-15.442200135112525</v>
      </c>
      <c r="S147" s="19">
        <f ca="1">-Assumptions!S478*'Financial Statements'!S63/100</f>
        <v>-13.13172410784518</v>
      </c>
      <c r="T147" s="19">
        <f ca="1">-Assumptions!T478*'Financial Statements'!T63/100</f>
        <v>-17.259329505463018</v>
      </c>
      <c r="U147" s="19">
        <f t="shared" ca="1" si="715"/>
        <v>-30.391053613308198</v>
      </c>
      <c r="V147" s="19">
        <f ca="1">-Assumptions!V478*'Financial Statements'!V63/100</f>
        <v>-23.05189227810104</v>
      </c>
      <c r="W147" s="19">
        <f ca="1">-Assumptions!W478*'Financial Statements'!W63/100</f>
        <v>-23.830031396072414</v>
      </c>
      <c r="X147" s="19">
        <f t="shared" ca="1" si="716"/>
        <v>-46.88192367417345</v>
      </c>
      <c r="Y147" s="19">
        <f ca="1">-Assumptions!Y478*'Financial Statements'!Y63/100</f>
        <v>-33.628806448741223</v>
      </c>
      <c r="Z147" s="19">
        <f ca="1">-Assumptions!Z478*'Financial Statements'!Z63/100</f>
        <v>-35.211928134008311</v>
      </c>
      <c r="AA147" s="19">
        <f t="shared" ca="1" si="717"/>
        <v>-68.840734582749533</v>
      </c>
      <c r="AB147" s="19">
        <f ca="1">-Assumptions!AB478*'Financial Statements'!AB63/100</f>
        <v>-43.388134552355083</v>
      </c>
      <c r="AC147" s="19">
        <f ca="1">-Assumptions!AC478*'Financial Statements'!AC63/100</f>
        <v>-48.191710189520265</v>
      </c>
      <c r="AD147" s="19">
        <f t="shared" ca="1" si="718"/>
        <v>-91.579844741875348</v>
      </c>
      <c r="AE147" s="19">
        <f ca="1">-Assumptions!AE478*'Financial Statements'!AE63/100</f>
        <v>-54.822303356716986</v>
      </c>
      <c r="AF147" s="19">
        <f ca="1">-Assumptions!AF478*'Financial Statements'!AF63/100</f>
        <v>-60.220690209719095</v>
      </c>
      <c r="AG147" s="19">
        <f t="shared" ca="1" si="719"/>
        <v>-115.04299356643608</v>
      </c>
      <c r="AH147" s="19">
        <f ca="1">-Assumptions!AH478*'Financial Statements'!AH63/100</f>
        <v>-67.69719269475911</v>
      </c>
      <c r="AI147" s="19">
        <f ca="1">-Assumptions!AI478*'Financial Statements'!AI63/100</f>
        <v>-73.758837448067254</v>
      </c>
      <c r="AJ147" s="19">
        <f t="shared" ca="1" si="720"/>
        <v>-141.45603014282636</v>
      </c>
      <c r="AK147" s="19">
        <f ca="1">-Assumptions!AK478*'Financial Statements'!AK63/100</f>
        <v>-82.142531745249471</v>
      </c>
      <c r="AL147" s="19">
        <f ca="1">-Assumptions!AL478*'Financial Statements'!AL63/100</f>
        <v>-88.942030381552556</v>
      </c>
      <c r="AM147" s="19">
        <f t="shared" ca="1" si="721"/>
        <v>-171.08456212680204</v>
      </c>
      <c r="AN147" s="19">
        <f ca="1">-Assumptions!AN478*'Financial Statements'!AN63/100</f>
        <v>-94.718414811864136</v>
      </c>
      <c r="AO147" s="19">
        <f ca="1">-Assumptions!AO478*'Financial Statements'!AO63/100</f>
        <v>-101.50331757930768</v>
      </c>
      <c r="AP147" s="19">
        <f t="shared" ca="1" si="722"/>
        <v>-196.22173239117183</v>
      </c>
      <c r="AQ147" s="19">
        <f ca="1">-Assumptions!AQ478*'Financial Statements'!AQ63/100</f>
        <v>-106.13704437572967</v>
      </c>
      <c r="AR147" s="19">
        <f ca="1">-Assumptions!AR478*'Financial Statements'!AR63/100</f>
        <v>-113.43985368672473</v>
      </c>
      <c r="AS147" s="19">
        <f ca="1">AQ147+AR147</f>
        <v>-219.5768980624544</v>
      </c>
      <c r="AT147" s="19">
        <f ca="1">-Assumptions!AT478*'Financial Statements'!AT63/100</f>
        <v>-118.01836658559505</v>
      </c>
      <c r="AU147" s="19">
        <f ca="1">-Assumptions!AU478*'Financial Statements'!AU63/100</f>
        <v>-125.85271355902408</v>
      </c>
      <c r="AV147" s="19">
        <f ca="1">AT147+AU147</f>
        <v>-243.87108014461913</v>
      </c>
    </row>
    <row r="148" spans="1:48" x14ac:dyDescent="0.25">
      <c r="A148" s="8" t="s">
        <v>610</v>
      </c>
      <c r="B148" s="12" t="s">
        <v>164</v>
      </c>
      <c r="C148" s="22" t="s">
        <v>28</v>
      </c>
      <c r="F148" s="12">
        <f>SUM(F141:F147)</f>
        <v>1.8</v>
      </c>
      <c r="G148" s="12">
        <f>SUM(G141:G146)</f>
        <v>-1.8000000000000005</v>
      </c>
      <c r="H148" s="12">
        <f>SUM(H141:H146)</f>
        <v>-3.3000000000000007</v>
      </c>
      <c r="I148" s="12">
        <f>SUM(I141:I147)</f>
        <v>-5.0999999999999996</v>
      </c>
      <c r="J148" s="52">
        <f>SUM(J141:J147)</f>
        <v>-20.200000000000003</v>
      </c>
      <c r="K148" s="19">
        <f>L148-J148</f>
        <v>275.13400000000001</v>
      </c>
      <c r="L148" s="337">
        <v>254.934</v>
      </c>
      <c r="M148" s="449">
        <v>-10.792</v>
      </c>
      <c r="N148" s="19">
        <f>O148-M148</f>
        <v>11.471</v>
      </c>
      <c r="O148" s="45">
        <v>0.67900000000000005</v>
      </c>
      <c r="P148" s="52">
        <f ca="1">SUM(P141:P147)</f>
        <v>-16.882166305575193</v>
      </c>
      <c r="Q148" s="52">
        <f t="shared" ref="Q148:AS148" ca="1" si="735">SUM(Q141:Q147)</f>
        <v>-18.582039285306575</v>
      </c>
      <c r="R148" s="52">
        <f t="shared" ca="1" si="735"/>
        <v>-35.464205590881768</v>
      </c>
      <c r="S148" s="52">
        <f t="shared" ca="1" si="735"/>
        <v>-26.805651801761812</v>
      </c>
      <c r="T148" s="52">
        <f t="shared" ca="1" si="735"/>
        <v>-31.357353090350081</v>
      </c>
      <c r="U148" s="52">
        <f t="shared" ca="1" si="735"/>
        <v>-58.163004892111893</v>
      </c>
      <c r="V148" s="52">
        <f t="shared" ca="1" si="735"/>
        <v>-41.210282149849007</v>
      </c>
      <c r="W148" s="52">
        <f t="shared" ca="1" si="735"/>
        <v>-42.175679225848008</v>
      </c>
      <c r="X148" s="52">
        <f t="shared" ca="1" si="735"/>
        <v>-83.385961375697008</v>
      </c>
      <c r="Y148" s="52">
        <f t="shared" ca="1" si="735"/>
        <v>-54.695311473287724</v>
      </c>
      <c r="Z148" s="52">
        <f t="shared" ca="1" si="735"/>
        <v>-56.44389231844827</v>
      </c>
      <c r="AA148" s="52">
        <f t="shared" ca="1" si="735"/>
        <v>-111.13920379173599</v>
      </c>
      <c r="AB148" s="52">
        <f t="shared" ca="1" si="735"/>
        <v>-66.790799806340928</v>
      </c>
      <c r="AC148" s="52">
        <f t="shared" ca="1" si="735"/>
        <v>-71.696363788569656</v>
      </c>
      <c r="AD148" s="52">
        <f t="shared" ca="1" si="735"/>
        <v>-138.48716359491058</v>
      </c>
      <c r="AE148" s="52">
        <f t="shared" ca="1" si="735"/>
        <v>-80.011920679106296</v>
      </c>
      <c r="AF148" s="52">
        <f t="shared" ca="1" si="735"/>
        <v>-85.481294444203002</v>
      </c>
      <c r="AG148" s="52">
        <f t="shared" ca="1" si="735"/>
        <v>-165.49321512330928</v>
      </c>
      <c r="AH148" s="52">
        <f t="shared" ca="1" si="735"/>
        <v>-94.296599712681299</v>
      </c>
      <c r="AI148" s="52">
        <f t="shared" ca="1" si="735"/>
        <v>-100.39063219484069</v>
      </c>
      <c r="AJ148" s="52">
        <f t="shared" ca="1" si="735"/>
        <v>-194.687231907522</v>
      </c>
      <c r="AK148" s="52">
        <f t="shared" ca="1" si="735"/>
        <v>-109.7338253786331</v>
      </c>
      <c r="AL148" s="52">
        <f t="shared" ca="1" si="735"/>
        <v>-116.51886991265479</v>
      </c>
      <c r="AM148" s="52">
        <f t="shared" ca="1" si="735"/>
        <v>-226.25269529128792</v>
      </c>
      <c r="AN148" s="52">
        <f t="shared" ca="1" si="735"/>
        <v>-122.8127447031943</v>
      </c>
      <c r="AO148" s="52">
        <f t="shared" ca="1" si="735"/>
        <v>-129.51119918381758</v>
      </c>
      <c r="AP148" s="52">
        <f t="shared" ca="1" si="735"/>
        <v>-252.32394388701189</v>
      </c>
      <c r="AQ148" s="52">
        <f t="shared" ca="1" si="735"/>
        <v>-134.3576306286096</v>
      </c>
      <c r="AR148" s="52">
        <f t="shared" ca="1" si="735"/>
        <v>-141.54261647049844</v>
      </c>
      <c r="AS148" s="52">
        <f t="shared" ca="1" si="735"/>
        <v>-275.90024709910801</v>
      </c>
      <c r="AT148" s="52">
        <f t="shared" ref="AT148:AV148" ca="1" si="736">SUM(AT141:AT147)</f>
        <v>-146.07592329120783</v>
      </c>
      <c r="AU148" s="52">
        <f t="shared" ca="1" si="736"/>
        <v>-153.75982503386115</v>
      </c>
      <c r="AV148" s="52">
        <f t="shared" ca="1" si="736"/>
        <v>-299.83574832506901</v>
      </c>
    </row>
    <row r="149" spans="1:48" x14ac:dyDescent="0.25">
      <c r="B149" s="12"/>
      <c r="F149" s="12"/>
      <c r="G149" s="12"/>
      <c r="H149" s="12"/>
      <c r="I149" s="12"/>
      <c r="J149" s="12"/>
      <c r="K149" s="52"/>
      <c r="L149" s="52"/>
      <c r="M149" s="424"/>
      <c r="N149" s="52"/>
      <c r="O149" s="52"/>
      <c r="P149" s="52"/>
      <c r="Q149" s="52"/>
      <c r="R149" s="110"/>
      <c r="S149" s="52"/>
      <c r="T149" s="52"/>
      <c r="U149" s="52"/>
      <c r="V149" s="52"/>
      <c r="W149" s="52"/>
      <c r="X149" s="52"/>
      <c r="Y149" s="52"/>
      <c r="Z149" s="52"/>
      <c r="AA149" s="52"/>
      <c r="AB149" s="52"/>
      <c r="AC149" s="52"/>
      <c r="AD149" s="52"/>
      <c r="AE149" s="52"/>
      <c r="AF149" s="52"/>
      <c r="AG149" s="52"/>
      <c r="AH149" s="52"/>
      <c r="AI149" s="52"/>
      <c r="AJ149" s="52"/>
      <c r="AK149" s="52"/>
      <c r="AL149" s="52"/>
      <c r="AM149" s="52"/>
      <c r="AN149" s="52"/>
      <c r="AO149" s="52"/>
      <c r="AP149" s="52"/>
      <c r="AQ149" s="52"/>
      <c r="AR149" s="52"/>
      <c r="AS149" s="52"/>
      <c r="AT149" s="52"/>
      <c r="AU149" s="52"/>
      <c r="AV149" s="52"/>
    </row>
    <row r="150" spans="1:48" x14ac:dyDescent="0.25">
      <c r="B150" s="12"/>
      <c r="F150" s="12"/>
      <c r="G150" s="12"/>
      <c r="H150" s="12"/>
      <c r="I150" s="12"/>
      <c r="J150" s="12"/>
      <c r="K150" s="52"/>
      <c r="L150" s="52"/>
      <c r="M150" s="424"/>
      <c r="N150" s="52"/>
      <c r="O150" s="52"/>
      <c r="P150" s="52"/>
      <c r="Q150" s="52"/>
      <c r="R150" s="52"/>
      <c r="S150" s="52"/>
      <c r="T150" s="52"/>
      <c r="U150" s="52"/>
      <c r="V150" s="52"/>
      <c r="W150" s="52"/>
      <c r="X150" s="52"/>
      <c r="Y150" s="52"/>
      <c r="Z150" s="52"/>
      <c r="AA150" s="52"/>
      <c r="AB150" s="52"/>
      <c r="AC150" s="52"/>
      <c r="AD150" s="52"/>
      <c r="AE150" s="52"/>
      <c r="AF150" s="52"/>
      <c r="AG150" s="52"/>
      <c r="AH150" s="52"/>
      <c r="AI150" s="52"/>
      <c r="AJ150" s="52"/>
      <c r="AK150" s="52"/>
      <c r="AL150" s="52"/>
      <c r="AM150" s="52"/>
      <c r="AN150" s="52"/>
      <c r="AO150" s="52"/>
      <c r="AP150" s="52"/>
      <c r="AQ150" s="52"/>
      <c r="AR150" s="52"/>
      <c r="AS150" s="52"/>
      <c r="AT150" s="52"/>
      <c r="AU150" s="52"/>
      <c r="AV150" s="52"/>
    </row>
    <row r="151" spans="1:48" x14ac:dyDescent="0.25">
      <c r="K151" s="19"/>
      <c r="L151" s="19"/>
      <c r="M151" s="291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  <c r="AE151" s="19"/>
      <c r="AF151" s="19"/>
      <c r="AG151" s="19"/>
      <c r="AH151" s="19"/>
      <c r="AI151" s="19"/>
      <c r="AJ151" s="19"/>
      <c r="AK151" s="19"/>
      <c r="AL151" s="19"/>
      <c r="AM151" s="19"/>
      <c r="AN151" s="19"/>
      <c r="AO151" s="19"/>
      <c r="AP151" s="19"/>
      <c r="AQ151" s="19"/>
      <c r="AR151" s="19"/>
      <c r="AS151" s="19"/>
      <c r="AT151" s="19"/>
      <c r="AU151" s="19"/>
      <c r="AV151" s="19"/>
    </row>
    <row r="152" spans="1:48" x14ac:dyDescent="0.25">
      <c r="A152" s="8" t="s">
        <v>614</v>
      </c>
      <c r="B152" s="12" t="s">
        <v>218</v>
      </c>
      <c r="C152" s="22" t="s">
        <v>28</v>
      </c>
      <c r="D152" s="12"/>
      <c r="E152" s="12"/>
      <c r="F152" s="52">
        <f t="shared" ref="F152:AS152" si="737">+F130+F137+F148</f>
        <v>-9.7000000000000064</v>
      </c>
      <c r="G152" s="52">
        <f t="shared" si="737"/>
        <v>-11.3</v>
      </c>
      <c r="H152" s="52">
        <f t="shared" si="737"/>
        <v>-9.600000000000005</v>
      </c>
      <c r="I152" s="52">
        <f t="shared" si="737"/>
        <v>-20.900000000000006</v>
      </c>
      <c r="J152" s="52">
        <f t="shared" si="737"/>
        <v>-20.800000000000004</v>
      </c>
      <c r="K152" s="52">
        <f t="shared" si="737"/>
        <v>20.216000000000008</v>
      </c>
      <c r="L152" s="52">
        <f t="shared" si="737"/>
        <v>-0.58399999999997476</v>
      </c>
      <c r="M152" s="424">
        <f t="shared" ref="M152" si="738">+M130+M137+M148</f>
        <v>0.3279999999999994</v>
      </c>
      <c r="N152" s="52">
        <f>+N130+N137+N148</f>
        <v>23.126999999999992</v>
      </c>
      <c r="O152" s="52">
        <f t="shared" si="737"/>
        <v>23.454999999999995</v>
      </c>
      <c r="P152" s="52">
        <f ca="1">+P130+P137+P148</f>
        <v>-2.1435879563686129</v>
      </c>
      <c r="Q152" s="52">
        <f t="shared" ca="1" si="737"/>
        <v>-10.021378529557548</v>
      </c>
      <c r="R152" s="52">
        <f t="shared" ca="1" si="737"/>
        <v>-12.164966485926143</v>
      </c>
      <c r="S152" s="52">
        <f t="shared" ca="1" si="737"/>
        <v>-12.555593248382266</v>
      </c>
      <c r="T152" s="52">
        <f t="shared" ca="1" si="737"/>
        <v>-14.138981512792554</v>
      </c>
      <c r="U152" s="52">
        <f t="shared" ca="1" si="737"/>
        <v>-26.694574761174813</v>
      </c>
      <c r="V152" s="52">
        <f t="shared" ca="1" si="737"/>
        <v>-4.853952017996825</v>
      </c>
      <c r="W152" s="52">
        <f t="shared" ca="1" si="737"/>
        <v>-4.1027946464987082</v>
      </c>
      <c r="X152" s="52">
        <f t="shared" ca="1" si="737"/>
        <v>-8.9567466644955402</v>
      </c>
      <c r="Y152" s="52">
        <f t="shared" ca="1" si="737"/>
        <v>-3.2221597904554216</v>
      </c>
      <c r="Z152" s="52">
        <f t="shared" ca="1" si="737"/>
        <v>-0.89483842504768774</v>
      </c>
      <c r="AA152" s="52">
        <f t="shared" ca="1" si="737"/>
        <v>-4.116998215503088</v>
      </c>
      <c r="AB152" s="52">
        <f t="shared" ca="1" si="737"/>
        <v>1.9390012184200742</v>
      </c>
      <c r="AC152" s="52">
        <f t="shared" ca="1" si="737"/>
        <v>5.1619485137266139</v>
      </c>
      <c r="AD152" s="52">
        <f t="shared" ca="1" si="737"/>
        <v>7.1009497321465744</v>
      </c>
      <c r="AE152" s="52">
        <f t="shared" ca="1" si="737"/>
        <v>5.6673826956668023</v>
      </c>
      <c r="AF152" s="52">
        <f t="shared" ca="1" si="737"/>
        <v>9.0950646220980786</v>
      </c>
      <c r="AG152" s="52">
        <f t="shared" ca="1" si="737"/>
        <v>14.762447317764952</v>
      </c>
      <c r="AH152" s="52">
        <f t="shared" ca="1" si="737"/>
        <v>9.6432976271791091</v>
      </c>
      <c r="AI152" s="52">
        <f t="shared" ca="1" si="737"/>
        <v>13.67966536464084</v>
      </c>
      <c r="AJ152" s="52">
        <f t="shared" ca="1" si="737"/>
        <v>23.322962991819963</v>
      </c>
      <c r="AK152" s="52">
        <f t="shared" ca="1" si="737"/>
        <v>14.273091622601783</v>
      </c>
      <c r="AL152" s="52">
        <f t="shared" ca="1" si="737"/>
        <v>18.967800969474979</v>
      </c>
      <c r="AM152" s="52">
        <f t="shared" ca="1" si="737"/>
        <v>33.240892592076705</v>
      </c>
      <c r="AN152" s="52">
        <f t="shared" ca="1" si="737"/>
        <v>19.77209955127752</v>
      </c>
      <c r="AO152" s="52">
        <f t="shared" ca="1" si="737"/>
        <v>25.63337639617626</v>
      </c>
      <c r="AP152" s="52">
        <f t="shared" ca="1" si="737"/>
        <v>45.405475947453766</v>
      </c>
      <c r="AQ152" s="52">
        <f t="shared" ca="1" si="737"/>
        <v>22.823740825565466</v>
      </c>
      <c r="AR152" s="52">
        <f t="shared" ca="1" si="737"/>
        <v>29.558067401415514</v>
      </c>
      <c r="AS152" s="52">
        <f t="shared" ca="1" si="737"/>
        <v>52.381808226980979</v>
      </c>
      <c r="AT152" s="52">
        <f t="shared" ref="AT152:AV152" ca="1" si="739">+AT130+AT137+AT148</f>
        <v>26.391280955068424</v>
      </c>
      <c r="AU152" s="52">
        <f t="shared" ca="1" si="739"/>
        <v>33.653373242476476</v>
      </c>
      <c r="AV152" s="52">
        <f t="shared" ca="1" si="739"/>
        <v>60.044654197544844</v>
      </c>
    </row>
    <row r="153" spans="1:48" x14ac:dyDescent="0.25">
      <c r="B153" s="8" t="s">
        <v>219</v>
      </c>
      <c r="C153" s="22" t="s">
        <v>28</v>
      </c>
      <c r="F153" s="19">
        <f>+F75</f>
        <v>0</v>
      </c>
      <c r="I153" s="19">
        <f>+F75</f>
        <v>0</v>
      </c>
      <c r="J153" s="19">
        <f>+I75</f>
        <v>36.503999999999998</v>
      </c>
      <c r="K153" s="19">
        <f>+J75</f>
        <v>279.7</v>
      </c>
      <c r="L153" s="19">
        <f>+I75</f>
        <v>36.503999999999998</v>
      </c>
      <c r="M153" s="434">
        <f>+L75</f>
        <v>294.48</v>
      </c>
      <c r="N153" s="19">
        <f>+M75</f>
        <v>274.49299999999999</v>
      </c>
      <c r="O153" s="435">
        <f>+L75</f>
        <v>294.48</v>
      </c>
      <c r="P153" s="19">
        <f>+O75</f>
        <v>281.74299999999999</v>
      </c>
      <c r="Q153" s="19">
        <f ca="1">+P75</f>
        <v>279.59941204363139</v>
      </c>
      <c r="R153" s="19">
        <f>+O75</f>
        <v>281.74299999999999</v>
      </c>
      <c r="S153" s="19">
        <f ca="1">+R75</f>
        <v>269.57803351407381</v>
      </c>
      <c r="T153" s="19">
        <f ca="1">+S75</f>
        <v>257.02244026569065</v>
      </c>
      <c r="U153" s="19">
        <f ca="1">+R75</f>
        <v>269.57803351407381</v>
      </c>
      <c r="V153" s="19">
        <f ca="1">+U75</f>
        <v>242.88345875289596</v>
      </c>
      <c r="W153" s="19">
        <f ca="1">+V75</f>
        <v>238.02950673489124</v>
      </c>
      <c r="X153" s="19">
        <f ca="1">+U75</f>
        <v>242.88345875289596</v>
      </c>
      <c r="Y153" s="19">
        <f ca="1">+X75</f>
        <v>233.92671208839204</v>
      </c>
      <c r="Z153" s="19">
        <f ca="1">+Y75</f>
        <v>230.70455229801433</v>
      </c>
      <c r="AA153" s="19">
        <f ca="1">+X75</f>
        <v>233.92671208839204</v>
      </c>
      <c r="AB153" s="19">
        <f ca="1">+AA75</f>
        <v>229.80971387335634</v>
      </c>
      <c r="AC153" s="19">
        <f ca="1">+AB75</f>
        <v>231.74871509327036</v>
      </c>
      <c r="AD153" s="19">
        <f ca="1">+AA75</f>
        <v>229.80971387335634</v>
      </c>
      <c r="AE153" s="19">
        <f ca="1">+AD75</f>
        <v>236.91066360888357</v>
      </c>
      <c r="AF153" s="19">
        <f ca="1">+AE75</f>
        <v>242.57804630508929</v>
      </c>
      <c r="AG153" s="19">
        <f ca="1">+AD75</f>
        <v>236.91066360888357</v>
      </c>
      <c r="AH153" s="19">
        <f ca="1">+AG75</f>
        <v>251.67311091879753</v>
      </c>
      <c r="AI153" s="19">
        <f ca="1">+AH75</f>
        <v>261.31640851309271</v>
      </c>
      <c r="AJ153" s="19">
        <f ca="1">+AG75</f>
        <v>251.67311091879753</v>
      </c>
      <c r="AK153" s="19">
        <f ca="1">+AJ75</f>
        <v>274.99607380632841</v>
      </c>
      <c r="AL153" s="19">
        <f ca="1">+AK75</f>
        <v>289.26916530832023</v>
      </c>
      <c r="AM153" s="19">
        <f ca="1">+AJ75</f>
        <v>274.99607380632841</v>
      </c>
      <c r="AN153" s="19">
        <f ca="1">+AM75</f>
        <v>308.23696616906</v>
      </c>
      <c r="AO153" s="19">
        <f ca="1">+AN75</f>
        <v>328.00906569663698</v>
      </c>
      <c r="AP153" s="19">
        <f ca="1">+AM75</f>
        <v>308.23696616906</v>
      </c>
      <c r="AQ153" s="19">
        <f ca="1">+AP75</f>
        <v>353.64244286203666</v>
      </c>
      <c r="AR153" s="19">
        <f ca="1">+AQ75</f>
        <v>376.46618550943992</v>
      </c>
      <c r="AS153" s="19">
        <f ca="1">+AP75</f>
        <v>353.64244286203666</v>
      </c>
      <c r="AT153" s="19">
        <f ca="1">+AS75</f>
        <v>406.02425381752141</v>
      </c>
      <c r="AU153" s="19">
        <f ca="1">+AT75</f>
        <v>432.41553418044907</v>
      </c>
      <c r="AV153" s="19">
        <f ca="1">+AS75</f>
        <v>406.02425381752141</v>
      </c>
    </row>
    <row r="154" spans="1:48" x14ac:dyDescent="0.25">
      <c r="B154" s="8" t="s">
        <v>220</v>
      </c>
      <c r="C154" s="22" t="s">
        <v>28</v>
      </c>
      <c r="F154" s="8">
        <v>0</v>
      </c>
      <c r="G154" s="8">
        <v>0</v>
      </c>
      <c r="H154" s="8">
        <v>0</v>
      </c>
      <c r="I154" s="8">
        <v>0</v>
      </c>
      <c r="J154" s="8">
        <v>0</v>
      </c>
      <c r="K154" s="8">
        <v>0</v>
      </c>
      <c r="L154" s="8">
        <f>J154+K154</f>
        <v>0</v>
      </c>
      <c r="M154" s="431"/>
      <c r="N154" s="486">
        <f>O154</f>
        <v>-0.16500000000000001</v>
      </c>
      <c r="O154" s="485">
        <v>-0.16500000000000001</v>
      </c>
      <c r="P154" s="485">
        <v>0</v>
      </c>
      <c r="Q154" s="485">
        <v>0</v>
      </c>
      <c r="R154" s="485">
        <f t="shared" ref="R154" si="740">P154+Q154</f>
        <v>0</v>
      </c>
      <c r="S154" s="485">
        <v>0</v>
      </c>
      <c r="T154" s="485">
        <v>0</v>
      </c>
      <c r="U154" s="485">
        <f t="shared" ref="U154" si="741">S154+T154</f>
        <v>0</v>
      </c>
      <c r="V154" s="485">
        <v>0</v>
      </c>
      <c r="W154" s="485">
        <v>0</v>
      </c>
      <c r="X154" s="485">
        <f t="shared" ref="X154" si="742">V154+W154</f>
        <v>0</v>
      </c>
      <c r="Y154" s="485">
        <v>0</v>
      </c>
      <c r="Z154" s="485">
        <v>0</v>
      </c>
      <c r="AA154" s="485">
        <f t="shared" ref="AA154" si="743">Y154+Z154</f>
        <v>0</v>
      </c>
      <c r="AB154" s="485">
        <v>0</v>
      </c>
      <c r="AC154" s="485">
        <v>0</v>
      </c>
      <c r="AD154" s="485">
        <f t="shared" ref="AD154" si="744">AB154+AC154</f>
        <v>0</v>
      </c>
      <c r="AE154" s="485">
        <v>0</v>
      </c>
      <c r="AF154" s="485">
        <v>0</v>
      </c>
      <c r="AG154" s="485">
        <f t="shared" ref="AG154" si="745">AE154+AF154</f>
        <v>0</v>
      </c>
      <c r="AH154" s="485">
        <v>0</v>
      </c>
      <c r="AI154" s="485">
        <v>0</v>
      </c>
      <c r="AJ154" s="485">
        <f t="shared" ref="AJ154" si="746">AH154+AI154</f>
        <v>0</v>
      </c>
      <c r="AK154" s="485">
        <v>0</v>
      </c>
      <c r="AL154" s="485">
        <v>0</v>
      </c>
      <c r="AM154" s="485">
        <f t="shared" ref="AM154" si="747">AK154+AL154</f>
        <v>0</v>
      </c>
      <c r="AN154" s="485">
        <v>0</v>
      </c>
      <c r="AO154" s="485">
        <v>0</v>
      </c>
      <c r="AP154" s="485">
        <f t="shared" ref="AP154" si="748">AN154+AO154</f>
        <v>0</v>
      </c>
      <c r="AQ154" s="485">
        <v>0</v>
      </c>
      <c r="AR154" s="485">
        <v>0</v>
      </c>
      <c r="AS154" s="485">
        <v>0</v>
      </c>
      <c r="AT154" s="485">
        <v>0</v>
      </c>
      <c r="AU154" s="485">
        <v>0</v>
      </c>
      <c r="AV154" s="485">
        <v>0</v>
      </c>
    </row>
    <row r="155" spans="1:48" x14ac:dyDescent="0.25">
      <c r="M155" s="436">
        <f>+M75-M153-M152</f>
        <v>-20.315000000000023</v>
      </c>
      <c r="N155" s="436">
        <f>+N75-N153-N152</f>
        <v>-15.876999999999992</v>
      </c>
      <c r="O155" s="436">
        <f>+O75-O153-O152</f>
        <v>-36.192000000000021</v>
      </c>
      <c r="P155" s="487"/>
      <c r="Q155" s="487"/>
      <c r="R155" s="487"/>
      <c r="S155" s="487"/>
      <c r="T155" s="487"/>
      <c r="U155" s="487"/>
      <c r="V155" s="487"/>
      <c r="W155" s="487"/>
      <c r="X155" s="487"/>
      <c r="Y155" s="487"/>
      <c r="Z155" s="487"/>
      <c r="AA155" s="487"/>
      <c r="AB155" s="487"/>
      <c r="AC155" s="487"/>
      <c r="AD155" s="487"/>
      <c r="AE155" s="487"/>
      <c r="AF155" s="487"/>
      <c r="AG155" s="487"/>
      <c r="AH155" s="487"/>
      <c r="AI155" s="487"/>
      <c r="AJ155" s="487"/>
      <c r="AK155" s="487"/>
      <c r="AL155" s="487"/>
      <c r="AM155" s="487"/>
      <c r="AN155" s="487"/>
      <c r="AO155" s="487"/>
      <c r="AP155" s="487"/>
      <c r="AQ155" s="487"/>
      <c r="AR155" s="487"/>
      <c r="AS155" s="487"/>
      <c r="AT155" s="487"/>
      <c r="AU155" s="487"/>
      <c r="AV155" s="487"/>
    </row>
    <row r="156" spans="1:48" x14ac:dyDescent="0.25">
      <c r="B156" s="8" t="s">
        <v>221</v>
      </c>
      <c r="C156" s="22" t="s">
        <v>28</v>
      </c>
      <c r="F156" s="19">
        <f>SUM(F152:F154)</f>
        <v>-9.7000000000000064</v>
      </c>
      <c r="G156" s="19">
        <f t="shared" ref="G156:I156" si="749">SUM(G152:G154)</f>
        <v>-11.3</v>
      </c>
      <c r="H156" s="19">
        <f t="shared" si="749"/>
        <v>-9.600000000000005</v>
      </c>
      <c r="I156" s="19">
        <f t="shared" si="749"/>
        <v>-20.900000000000006</v>
      </c>
      <c r="J156" s="19">
        <f>SUM(J152:J154)</f>
        <v>15.703999999999994</v>
      </c>
      <c r="K156" s="19">
        <f t="shared" ref="K156" si="750">SUM(K152:K154)</f>
        <v>299.916</v>
      </c>
      <c r="L156" s="19">
        <f>SUM(L152:L154)</f>
        <v>35.920000000000023</v>
      </c>
      <c r="M156" s="291">
        <f>SUM(M152:M155)</f>
        <v>274.49299999999999</v>
      </c>
      <c r="N156" s="291">
        <f>SUM(N152:N155)</f>
        <v>281.57799999999997</v>
      </c>
      <c r="O156" s="19">
        <f>SUM(O152:O155)</f>
        <v>281.57799999999997</v>
      </c>
      <c r="P156" s="19">
        <f ca="1">SUM(P152:P154)</f>
        <v>279.59941204363139</v>
      </c>
      <c r="Q156" s="19">
        <f t="shared" ref="Q156" ca="1" si="751">SUM(Q152:Q154)</f>
        <v>269.57803351407387</v>
      </c>
      <c r="R156" s="19">
        <f t="shared" ref="R156" ca="1" si="752">SUM(R152:R154)</f>
        <v>269.57803351407387</v>
      </c>
      <c r="S156" s="19">
        <f t="shared" ref="S156" ca="1" si="753">SUM(S152:S154)</f>
        <v>257.02244026569156</v>
      </c>
      <c r="T156" s="19">
        <f t="shared" ref="T156" ca="1" si="754">SUM(T152:T154)</f>
        <v>242.88345875289809</v>
      </c>
      <c r="U156" s="19">
        <f t="shared" ref="U156" ca="1" si="755">SUM(U152:U154)</f>
        <v>242.883458752899</v>
      </c>
      <c r="V156" s="19">
        <f t="shared" ref="V156" ca="1" si="756">SUM(V152:V154)</f>
        <v>238.02950673489914</v>
      </c>
      <c r="W156" s="19">
        <f t="shared" ref="W156" ca="1" si="757">SUM(W152:W154)</f>
        <v>233.92671208839255</v>
      </c>
      <c r="X156" s="19">
        <f t="shared" ref="X156:Y156" ca="1" si="758">SUM(X152:X154)</f>
        <v>233.92671208840042</v>
      </c>
      <c r="Y156" s="19">
        <f t="shared" ca="1" si="758"/>
        <v>230.70455229793663</v>
      </c>
      <c r="Z156" s="19">
        <f ca="1">SUM(Z152:Z154)</f>
        <v>229.80971387296665</v>
      </c>
      <c r="AA156" s="19">
        <f t="shared" ref="AA156:AC156" ca="1" si="759">SUM(AA152:AA154)</f>
        <v>229.80971387288895</v>
      </c>
      <c r="AB156" s="19">
        <f t="shared" ca="1" si="759"/>
        <v>231.74871509177643</v>
      </c>
      <c r="AC156" s="19">
        <f t="shared" ca="1" si="759"/>
        <v>236.91066360699699</v>
      </c>
      <c r="AD156" s="19">
        <f t="shared" ref="AD156:AF156" ca="1" si="760">SUM(AD152:AD154)</f>
        <v>236.91066360550292</v>
      </c>
      <c r="AE156" s="19">
        <f t="shared" ca="1" si="760"/>
        <v>242.57804630455036</v>
      </c>
      <c r="AF156" s="19">
        <f t="shared" ca="1" si="760"/>
        <v>251.67311092718737</v>
      </c>
      <c r="AG156" s="19">
        <f t="shared" ref="AG156:AP156" ca="1" si="761">SUM(AG152:AG154)</f>
        <v>251.67311092664852</v>
      </c>
      <c r="AH156" s="19">
        <f t="shared" ca="1" si="761"/>
        <v>261.31640854597663</v>
      </c>
      <c r="AI156" s="19">
        <f t="shared" ca="1" si="761"/>
        <v>274.99607387773358</v>
      </c>
      <c r="AJ156" s="19">
        <f t="shared" ca="1" si="761"/>
        <v>274.9960739106175</v>
      </c>
      <c r="AK156" s="19">
        <f t="shared" ca="1" si="761"/>
        <v>289.26916542893019</v>
      </c>
      <c r="AL156" s="19">
        <f t="shared" ca="1" si="761"/>
        <v>308.2369662777952</v>
      </c>
      <c r="AM156" s="19">
        <f t="shared" ca="1" si="761"/>
        <v>308.23696639840512</v>
      </c>
      <c r="AN156" s="19">
        <f t="shared" ca="1" si="761"/>
        <v>328.0090657203375</v>
      </c>
      <c r="AO156" s="19">
        <f t="shared" ca="1" si="761"/>
        <v>353.64244209281321</v>
      </c>
      <c r="AP156" s="19">
        <f t="shared" ca="1" si="761"/>
        <v>353.64244211651373</v>
      </c>
      <c r="AQ156" s="19">
        <f t="shared" ref="AQ156:AS156" ca="1" si="762">SUM(AQ152:AQ154)</f>
        <v>376.4661836876021</v>
      </c>
      <c r="AR156" s="19">
        <f t="shared" ca="1" si="762"/>
        <v>406.02425291085547</v>
      </c>
      <c r="AS156" s="19">
        <f t="shared" ca="1" si="762"/>
        <v>406.02425108901764</v>
      </c>
      <c r="AT156" s="19">
        <f t="shared" ref="AT156:AV156" ca="1" si="763">SUM(AT152:AT154)</f>
        <v>432.41553477258981</v>
      </c>
      <c r="AU156" s="19">
        <f t="shared" ca="1" si="763"/>
        <v>466.06890742292558</v>
      </c>
      <c r="AV156" s="19">
        <f t="shared" ca="1" si="763"/>
        <v>466.06890801506626</v>
      </c>
    </row>
    <row r="157" spans="1:48" x14ac:dyDescent="0.25">
      <c r="F157" s="19"/>
      <c r="G157" s="19"/>
      <c r="H157" s="19"/>
      <c r="I157" s="19"/>
      <c r="J157" s="19"/>
      <c r="K157" s="19"/>
      <c r="L157" s="19"/>
      <c r="M157" s="291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  <c r="AE157" s="19"/>
      <c r="AF157" s="19"/>
      <c r="AG157" s="19"/>
      <c r="AH157" s="19"/>
      <c r="AI157" s="19"/>
      <c r="AJ157" s="19"/>
      <c r="AK157" s="19"/>
      <c r="AL157" s="19"/>
      <c r="AM157" s="19"/>
      <c r="AN157" s="19"/>
      <c r="AO157" s="19"/>
      <c r="AP157" s="19"/>
      <c r="AQ157" s="19"/>
      <c r="AR157" s="19"/>
      <c r="AS157" s="19"/>
      <c r="AT157" s="19"/>
      <c r="AU157" s="19"/>
      <c r="AV157" s="19"/>
    </row>
    <row r="158" spans="1:48" outlineLevel="1" x14ac:dyDescent="0.25">
      <c r="B158" s="8" t="s">
        <v>506</v>
      </c>
      <c r="C158" s="22" t="s">
        <v>29</v>
      </c>
      <c r="F158" s="55">
        <v>0.25</v>
      </c>
      <c r="I158" s="14">
        <v>0.25</v>
      </c>
      <c r="J158" s="254">
        <v>0.25</v>
      </c>
      <c r="K158" s="254">
        <v>0.25</v>
      </c>
      <c r="L158" s="254">
        <v>0.25</v>
      </c>
      <c r="M158" s="287">
        <v>0.25</v>
      </c>
      <c r="N158" s="14">
        <v>0.25</v>
      </c>
      <c r="O158" s="14">
        <v>0.25</v>
      </c>
      <c r="P158" s="14">
        <v>0.25</v>
      </c>
      <c r="Q158" s="14">
        <v>0.25</v>
      </c>
      <c r="R158" s="14">
        <v>0.25</v>
      </c>
      <c r="S158" s="14">
        <v>0.25</v>
      </c>
      <c r="T158" s="14">
        <v>0.25</v>
      </c>
      <c r="U158" s="14">
        <v>0.25</v>
      </c>
      <c r="V158" s="14">
        <v>0.25</v>
      </c>
      <c r="W158" s="14">
        <v>0.25</v>
      </c>
      <c r="X158" s="14">
        <v>0.25</v>
      </c>
      <c r="Y158" s="14">
        <v>0.25</v>
      </c>
      <c r="Z158" s="14">
        <v>0.25</v>
      </c>
      <c r="AA158" s="14">
        <v>0.25</v>
      </c>
      <c r="AB158" s="14">
        <v>0.25</v>
      </c>
      <c r="AC158" s="14">
        <v>0.25</v>
      </c>
      <c r="AD158" s="14">
        <v>0.25</v>
      </c>
      <c r="AE158" s="14">
        <v>0.25</v>
      </c>
      <c r="AF158" s="14">
        <v>0.25</v>
      </c>
      <c r="AG158" s="14">
        <v>0.25</v>
      </c>
      <c r="AH158" s="14">
        <v>0.25</v>
      </c>
      <c r="AI158" s="14">
        <v>0.25</v>
      </c>
      <c r="AJ158" s="14">
        <v>0.25</v>
      </c>
      <c r="AK158" s="14">
        <v>0.25</v>
      </c>
      <c r="AL158" s="14">
        <v>0.25</v>
      </c>
      <c r="AM158" s="14">
        <v>0.25</v>
      </c>
      <c r="AN158" s="14">
        <v>0.25</v>
      </c>
      <c r="AO158" s="14">
        <v>0.25</v>
      </c>
      <c r="AP158" s="14">
        <v>0.25</v>
      </c>
      <c r="AQ158" s="14">
        <v>0.25</v>
      </c>
      <c r="AR158" s="14">
        <v>0.25</v>
      </c>
      <c r="AS158" s="14">
        <v>0.25</v>
      </c>
      <c r="AT158" s="14">
        <v>0.25</v>
      </c>
      <c r="AU158" s="14">
        <v>0.25</v>
      </c>
      <c r="AV158" s="14">
        <v>0.25</v>
      </c>
    </row>
    <row r="159" spans="1:48" x14ac:dyDescent="0.25">
      <c r="L159" s="19"/>
      <c r="M159" s="291"/>
    </row>
    <row r="161" spans="2:42" customFormat="1" x14ac:dyDescent="0.25"/>
    <row r="162" spans="2:42" x14ac:dyDescent="0.25">
      <c r="K162" s="133"/>
    </row>
    <row r="163" spans="2:42" x14ac:dyDescent="0.25">
      <c r="B163" s="8" t="s">
        <v>519</v>
      </c>
      <c r="I163" s="19">
        <f>+I75-I156</f>
        <v>57.404000000000003</v>
      </c>
      <c r="K163" s="19"/>
      <c r="L163" s="19">
        <f>+L75-L156</f>
        <v>258.56</v>
      </c>
    </row>
    <row r="167" spans="2:42" x14ac:dyDescent="0.25">
      <c r="L167" s="19">
        <f t="shared" ref="L167:AP167" si="764">+L130+L148</f>
        <v>311.23399999999998</v>
      </c>
      <c r="M167" s="291">
        <f t="shared" si="764"/>
        <v>8.4079999999999995</v>
      </c>
      <c r="N167" s="19">
        <f t="shared" si="764"/>
        <v>49.597999999999999</v>
      </c>
      <c r="O167" s="19">
        <f t="shared" si="764"/>
        <v>58.006</v>
      </c>
      <c r="P167" s="19">
        <f t="shared" ca="1" si="764"/>
        <v>25.25380882745176</v>
      </c>
      <c r="Q167" s="19">
        <f t="shared" ca="1" si="764"/>
        <v>22.987575622628501</v>
      </c>
      <c r="R167" s="19">
        <f t="shared" ca="1" si="764"/>
        <v>48.241384450080282</v>
      </c>
      <c r="S167" s="19">
        <f t="shared" ca="1" si="764"/>
        <v>27.212375286234831</v>
      </c>
      <c r="T167" s="19">
        <f t="shared" ca="1" si="764"/>
        <v>29.419085474433487</v>
      </c>
      <c r="U167" s="19">
        <f t="shared" ca="1" si="764"/>
        <v>56.631460760668325</v>
      </c>
      <c r="V167" s="19">
        <f t="shared" ca="1" si="764"/>
        <v>34.429225976001987</v>
      </c>
      <c r="W167" s="19">
        <f t="shared" ca="1" si="764"/>
        <v>35.686195037006975</v>
      </c>
      <c r="X167" s="19">
        <f t="shared" ca="1" si="764"/>
        <v>70.115421013008955</v>
      </c>
      <c r="Y167" s="19">
        <f t="shared" ca="1" si="764"/>
        <v>40.837201921104885</v>
      </c>
      <c r="Z167" s="19">
        <f t="shared" ca="1" si="764"/>
        <v>43.775657558827511</v>
      </c>
      <c r="AA167" s="19">
        <f t="shared" ca="1" si="764"/>
        <v>84.612859479932425</v>
      </c>
      <c r="AB167" s="19">
        <f t="shared" ca="1" si="764"/>
        <v>48.587902649720206</v>
      </c>
      <c r="AC167" s="19">
        <f t="shared" ca="1" si="764"/>
        <v>52.539905143630065</v>
      </c>
      <c r="AD167" s="19">
        <f t="shared" ca="1" si="764"/>
        <v>101.12780779335017</v>
      </c>
      <c r="AE167" s="19">
        <f t="shared" ca="1" si="764"/>
        <v>57.383286702654217</v>
      </c>
      <c r="AF167" s="19">
        <f t="shared" ca="1" si="764"/>
        <v>61.613292520635554</v>
      </c>
      <c r="AG167" s="19">
        <f t="shared" ca="1" si="764"/>
        <v>118.99657922328984</v>
      </c>
      <c r="AH167" s="19">
        <f t="shared" ca="1" si="764"/>
        <v>66.824254812093088</v>
      </c>
      <c r="AI167" s="19">
        <f t="shared" ca="1" si="764"/>
        <v>71.741807007528621</v>
      </c>
      <c r="AJ167" s="19">
        <f t="shared" ca="1" si="764"/>
        <v>138.56606181962172</v>
      </c>
      <c r="AK167" s="19">
        <f t="shared" ca="1" si="764"/>
        <v>77.344413199070658</v>
      </c>
      <c r="AL167" s="19">
        <f t="shared" ca="1" si="764"/>
        <v>83.005124393262662</v>
      </c>
      <c r="AM167" s="19">
        <f t="shared" ca="1" si="764"/>
        <v>160.34953759233326</v>
      </c>
      <c r="AN167" s="19">
        <f t="shared" ca="1" si="764"/>
        <v>85.4112833977821</v>
      </c>
      <c r="AO167" s="19">
        <f t="shared" ca="1" si="764"/>
        <v>92.253178819108456</v>
      </c>
      <c r="AP167" s="19">
        <f t="shared" ca="1" si="764"/>
        <v>177.66446221689054</v>
      </c>
    </row>
  </sheetData>
  <pageMargins left="0.7" right="0.7" top="0.75" bottom="0.75" header="0.3" footer="0.3"/>
  <pageSetup paperSize="9" orientation="portrait" horizontalDpi="300" verticalDpi="300" r:id="rId1"/>
  <ignoredErrors>
    <ignoredError sqref="P153:X153 L80:L82 AA123:AP124 AA127:AP146 AA126:AD126 AF126:AP126 AA6:AP13 AA15:AP17 AA14:AC14 AE14:AP14 AA156:AP158 AB152:AP152 N153 L153 Q142:X142 AA62:AP74 P79:X79 L89:L90 P84:X84 P88:X88 L92 L98:L100 P97:X97 L105:L108 P104:X104 K89:K113 P128:X128 L126 O126:X126 R110 N81:X82 N92:X92 N99:X100 N107:X107 Q83:X83 K58:K61 P77:X77 P108:X109 AA153:AP154 AA148:AP151 AA147 AD147 AG147 AJ147 AM147 AP147 Q75:X75 AE93 AA75:AV92 AA94:AV116 AA93:AD93 AF93:AV93 P76:X76 P78:X78 O80:X80 P85:X85 P86:X86 P87:X87 O89:X90 N91 P91:X91 P93:X93 P94:X94 P95:X95 P96:X96 O98:X98 P101:X101 P102:X102 P103:X103 O105:X106 P123:X123 P124:X124 P127:X127 AA44:AP57 AA19:AP42 AA18 AD18 AG18 AJ18 AM18 AP18" formula="1"/>
  </ignoredErrors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8C080-5597-448F-BFEE-AEBCBF3FA7EC}">
  <sheetPr codeName="Sheet2">
    <tabColor rgb="FFCCECFF"/>
  </sheetPr>
  <dimension ref="A1:EF522"/>
  <sheetViews>
    <sheetView showGridLines="0" zoomScale="115" zoomScaleNormal="115" workbookViewId="0">
      <pane xSplit="3" ySplit="6" topLeftCell="L60" activePane="bottomRight" state="frozen"/>
      <selection activeCell="F40" sqref="F40"/>
      <selection pane="topRight" activeCell="F40" sqref="F40"/>
      <selection pane="bottomLeft" activeCell="F40" sqref="F40"/>
      <selection pane="bottomRight" activeCell="R74" sqref="R74"/>
    </sheetView>
  </sheetViews>
  <sheetFormatPr defaultRowHeight="15" outlineLevelRow="1" outlineLevelCol="1" x14ac:dyDescent="0.25"/>
  <cols>
    <col min="1" max="1" width="27" hidden="1" customWidth="1" outlineLevel="1"/>
    <col min="2" max="2" width="39.140625" style="8" customWidth="1" collapsed="1"/>
    <col min="3" max="3" width="5.7109375" style="22" customWidth="1"/>
    <col min="4" max="5" width="8.85546875" style="8" customWidth="1"/>
    <col min="6" max="6" width="10.5703125" style="8" customWidth="1"/>
    <col min="7" max="8" width="10.5703125" style="8" hidden="1" customWidth="1" outlineLevel="1"/>
    <col min="9" max="9" width="10.5703125" style="8" customWidth="1" collapsed="1"/>
    <col min="10" max="10" width="9.5703125" style="8" customWidth="1" outlineLevel="1"/>
    <col min="11" max="11" width="8.7109375" style="8" customWidth="1" outlineLevel="1"/>
    <col min="12" max="12" width="8.85546875" style="313" customWidth="1"/>
    <col min="13" max="13" width="8.85546875" style="172" customWidth="1" outlineLevel="1"/>
    <col min="14" max="14" width="10.28515625" style="8" customWidth="1" outlineLevel="1"/>
    <col min="15" max="15" width="8.7109375" style="8" customWidth="1"/>
    <col min="16" max="17" width="8.85546875" style="8" customWidth="1" outlineLevel="1"/>
    <col min="18" max="18" width="9.7109375" style="8" customWidth="1"/>
    <col min="19" max="20" width="8.85546875" style="8" customWidth="1" outlineLevel="1"/>
    <col min="21" max="21" width="10.140625" style="8" customWidth="1"/>
    <col min="22" max="23" width="8.85546875" style="8" hidden="1" customWidth="1" outlineLevel="1"/>
    <col min="24" max="24" width="10.140625" style="8" customWidth="1" collapsed="1"/>
    <col min="25" max="25" width="8.85546875" style="8" hidden="1" customWidth="1" outlineLevel="1"/>
    <col min="26" max="26" width="10.140625" style="8" hidden="1" customWidth="1" outlineLevel="1"/>
    <col min="27" max="27" width="10.5703125" style="8" customWidth="1" collapsed="1"/>
    <col min="28" max="29" width="8.85546875" style="8" hidden="1" customWidth="1" outlineLevel="1"/>
    <col min="30" max="30" width="10.5703125" style="8" customWidth="1" collapsed="1"/>
    <col min="31" max="32" width="8.85546875" style="8" hidden="1" customWidth="1" outlineLevel="1"/>
    <col min="33" max="33" width="10.140625" style="8" customWidth="1" collapsed="1"/>
    <col min="34" max="35" width="8.85546875" style="8" hidden="1" customWidth="1" outlineLevel="1"/>
    <col min="36" max="36" width="10.5703125" style="8" customWidth="1" collapsed="1"/>
    <col min="37" max="38" width="8.85546875" style="8" hidden="1" customWidth="1" outlineLevel="1"/>
    <col min="39" max="39" width="10.140625" style="8" customWidth="1" collapsed="1"/>
    <col min="40" max="40" width="8.85546875" style="8" hidden="1" customWidth="1" outlineLevel="1"/>
    <col min="41" max="41" width="10.5703125" style="8" hidden="1" customWidth="1" outlineLevel="1"/>
    <col min="42" max="42" width="10.5703125" style="8" customWidth="1" collapsed="1"/>
    <col min="43" max="44" width="8.85546875" style="8" hidden="1" customWidth="1" outlineLevel="1"/>
    <col min="45" max="45" width="10.140625" style="8" customWidth="1" collapsed="1"/>
    <col min="46" max="47" width="8.85546875" style="8" hidden="1" customWidth="1" outlineLevel="1"/>
    <col min="48" max="48" width="10.140625" style="8" customWidth="1" collapsed="1"/>
    <col min="50" max="55" width="8.85546875" hidden="1" customWidth="1" outlineLevel="1"/>
    <col min="56" max="56" width="8.85546875" customWidth="1" collapsed="1"/>
  </cols>
  <sheetData>
    <row r="1" spans="1:61" x14ac:dyDescent="0.25">
      <c r="A1" s="1"/>
      <c r="B1" s="1"/>
      <c r="C1" s="2"/>
      <c r="D1" s="2"/>
      <c r="E1" s="2"/>
      <c r="F1" s="2"/>
      <c r="G1" s="1"/>
      <c r="H1" s="1"/>
      <c r="I1" s="1"/>
      <c r="J1" s="1"/>
      <c r="K1" s="1"/>
      <c r="L1" s="305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61" ht="23.25" x14ac:dyDescent="0.35">
      <c r="A2" s="1"/>
      <c r="B2" s="3" t="s">
        <v>14</v>
      </c>
      <c r="C2" s="2"/>
      <c r="D2" s="2"/>
      <c r="E2" s="2"/>
      <c r="F2" s="2"/>
      <c r="G2" s="1"/>
      <c r="H2" s="1"/>
      <c r="I2" s="1"/>
      <c r="J2" s="1"/>
      <c r="K2" s="1"/>
      <c r="L2" s="305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61" x14ac:dyDescent="0.25">
      <c r="A3" s="1"/>
      <c r="B3" s="1" t="s">
        <v>22</v>
      </c>
      <c r="C3" s="2"/>
      <c r="D3" s="2"/>
      <c r="E3" s="2"/>
      <c r="F3" s="2"/>
      <c r="G3" s="1"/>
      <c r="H3" s="1"/>
      <c r="I3" s="1"/>
      <c r="J3" s="1"/>
      <c r="K3" s="1"/>
      <c r="L3" s="305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</row>
    <row r="4" spans="1:61" x14ac:dyDescent="0.25">
      <c r="A4" s="1"/>
      <c r="B4" s="1"/>
      <c r="C4" s="2"/>
      <c r="D4" s="2"/>
      <c r="E4" s="2"/>
      <c r="F4" s="2" t="s">
        <v>21</v>
      </c>
      <c r="G4" s="2" t="s">
        <v>21</v>
      </c>
      <c r="H4" s="2" t="s">
        <v>21</v>
      </c>
      <c r="I4" s="2" t="s">
        <v>21</v>
      </c>
      <c r="J4" s="2" t="s">
        <v>21</v>
      </c>
      <c r="K4" s="2"/>
      <c r="L4" s="306"/>
      <c r="M4" s="2"/>
      <c r="N4" s="2"/>
      <c r="O4" s="2"/>
      <c r="P4" s="5"/>
      <c r="Q4" s="5"/>
      <c r="R4" s="5"/>
      <c r="S4" s="6"/>
      <c r="T4" s="5"/>
      <c r="U4" s="5"/>
      <c r="V4" s="6"/>
      <c r="W4" s="5"/>
      <c r="X4" s="5"/>
      <c r="Y4" s="6"/>
      <c r="Z4" s="5"/>
      <c r="AA4" s="5"/>
      <c r="AB4" s="6"/>
      <c r="AC4" s="5"/>
      <c r="AD4" s="5"/>
      <c r="AE4" s="6"/>
      <c r="AF4" s="5"/>
      <c r="AG4" s="5"/>
      <c r="AH4" s="6"/>
      <c r="AI4" s="5"/>
      <c r="AJ4" s="5"/>
      <c r="AK4" s="6"/>
      <c r="AL4" s="5"/>
      <c r="AM4" s="5"/>
      <c r="AN4" s="6"/>
      <c r="AO4" s="5"/>
      <c r="AP4" s="5"/>
      <c r="AQ4" s="6"/>
      <c r="AR4" s="5"/>
      <c r="AS4" s="5"/>
      <c r="AT4" s="6"/>
      <c r="AU4" s="5"/>
      <c r="AV4" s="5"/>
    </row>
    <row r="5" spans="1:61" x14ac:dyDescent="0.25">
      <c r="A5" s="1"/>
      <c r="B5" s="1" t="s">
        <v>15</v>
      </c>
      <c r="C5" s="2" t="s">
        <v>0</v>
      </c>
      <c r="D5" s="4" t="s">
        <v>16</v>
      </c>
      <c r="E5" s="4" t="s">
        <v>17</v>
      </c>
      <c r="F5" s="4" t="s">
        <v>1</v>
      </c>
      <c r="G5" s="4" t="s">
        <v>2</v>
      </c>
      <c r="H5" s="4" t="s">
        <v>3</v>
      </c>
      <c r="I5" s="4" t="s">
        <v>4</v>
      </c>
      <c r="J5" s="4" t="s">
        <v>5</v>
      </c>
      <c r="K5" s="4" t="s">
        <v>673</v>
      </c>
      <c r="L5" s="307" t="s">
        <v>375</v>
      </c>
      <c r="M5" s="4" t="s">
        <v>679</v>
      </c>
      <c r="N5" s="4" t="s">
        <v>680</v>
      </c>
      <c r="O5" s="4" t="s">
        <v>376</v>
      </c>
      <c r="P5" s="4" t="s">
        <v>8</v>
      </c>
      <c r="Q5" s="4" t="s">
        <v>9</v>
      </c>
      <c r="R5" s="4" t="s">
        <v>10</v>
      </c>
      <c r="S5" s="4" t="s">
        <v>11</v>
      </c>
      <c r="T5" s="4" t="s">
        <v>12</v>
      </c>
      <c r="U5" s="4" t="s">
        <v>13</v>
      </c>
      <c r="V5" s="4" t="s">
        <v>18</v>
      </c>
      <c r="W5" s="4" t="s">
        <v>19</v>
      </c>
      <c r="X5" s="4" t="s">
        <v>20</v>
      </c>
      <c r="Y5" s="4" t="s">
        <v>355</v>
      </c>
      <c r="Z5" s="4" t="s">
        <v>356</v>
      </c>
      <c r="AA5" s="4" t="s">
        <v>252</v>
      </c>
      <c r="AB5" s="4" t="s">
        <v>543</v>
      </c>
      <c r="AC5" s="4" t="s">
        <v>544</v>
      </c>
      <c r="AD5" s="4" t="s">
        <v>253</v>
      </c>
      <c r="AE5" s="4" t="s">
        <v>545</v>
      </c>
      <c r="AF5" s="4" t="s">
        <v>546</v>
      </c>
      <c r="AG5" s="4" t="s">
        <v>254</v>
      </c>
      <c r="AH5" s="4" t="s">
        <v>547</v>
      </c>
      <c r="AI5" s="4" t="s">
        <v>548</v>
      </c>
      <c r="AJ5" s="4" t="s">
        <v>255</v>
      </c>
      <c r="AK5" s="4" t="s">
        <v>549</v>
      </c>
      <c r="AL5" s="4" t="s">
        <v>550</v>
      </c>
      <c r="AM5" s="4" t="s">
        <v>256</v>
      </c>
      <c r="AN5" s="4" t="s">
        <v>551</v>
      </c>
      <c r="AO5" s="4" t="s">
        <v>552</v>
      </c>
      <c r="AP5" s="4" t="s">
        <v>257</v>
      </c>
      <c r="AQ5" s="4" t="s">
        <v>553</v>
      </c>
      <c r="AR5" s="4" t="s">
        <v>554</v>
      </c>
      <c r="AS5" s="4" t="s">
        <v>285</v>
      </c>
      <c r="AT5" s="4" t="s">
        <v>688</v>
      </c>
      <c r="AU5" s="4" t="s">
        <v>689</v>
      </c>
      <c r="AV5" s="4" t="s">
        <v>509</v>
      </c>
    </row>
    <row r="6" spans="1:61" x14ac:dyDescent="0.25">
      <c r="M6" s="8"/>
    </row>
    <row r="7" spans="1:61" ht="15.75" x14ac:dyDescent="0.25">
      <c r="A7" s="49" t="s">
        <v>23</v>
      </c>
      <c r="B7" s="50" t="s">
        <v>24</v>
      </c>
      <c r="C7" s="2"/>
      <c r="D7" s="2"/>
      <c r="E7" s="2"/>
      <c r="F7" s="2"/>
      <c r="G7" s="1"/>
      <c r="H7" s="1"/>
      <c r="I7" s="1"/>
      <c r="J7" s="1"/>
      <c r="K7" s="1"/>
      <c r="L7" s="305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</row>
    <row r="8" spans="1:61" outlineLevel="1" x14ac:dyDescent="0.25">
      <c r="I8" s="18"/>
      <c r="M8" s="8"/>
    </row>
    <row r="9" spans="1:61" outlineLevel="1" x14ac:dyDescent="0.25">
      <c r="A9" s="9"/>
      <c r="B9" s="13" t="s">
        <v>25</v>
      </c>
      <c r="C9" s="194"/>
      <c r="D9" s="194"/>
      <c r="E9" s="194"/>
      <c r="F9" s="194"/>
      <c r="G9" s="195"/>
      <c r="H9" s="195"/>
      <c r="I9" s="195"/>
      <c r="J9" s="195"/>
      <c r="K9" s="195"/>
      <c r="L9" s="342"/>
      <c r="M9" s="195"/>
      <c r="N9" s="195"/>
      <c r="O9" s="195"/>
      <c r="P9" s="195"/>
      <c r="Q9" s="195"/>
      <c r="R9" s="195"/>
      <c r="S9" s="195"/>
      <c r="T9" s="195"/>
      <c r="U9" s="195"/>
      <c r="V9" s="195"/>
      <c r="W9" s="195"/>
      <c r="X9" s="195"/>
      <c r="Y9" s="195"/>
      <c r="Z9" s="195"/>
      <c r="AA9" s="195"/>
      <c r="AB9" s="195"/>
      <c r="AC9" s="195"/>
      <c r="AD9" s="195"/>
      <c r="AE9" s="195"/>
      <c r="AF9" s="195"/>
      <c r="AG9" s="195"/>
      <c r="AH9" s="195"/>
      <c r="AI9" s="195"/>
      <c r="AJ9" s="195"/>
      <c r="AK9" s="195"/>
      <c r="AL9" s="195"/>
      <c r="AM9" s="195"/>
      <c r="AN9" s="195"/>
      <c r="AO9" s="195"/>
      <c r="AP9" s="195"/>
      <c r="AQ9" s="195"/>
      <c r="AR9" s="195"/>
      <c r="AS9" s="195"/>
      <c r="AT9" s="195"/>
      <c r="AU9" s="195"/>
      <c r="AV9" s="195"/>
    </row>
    <row r="10" spans="1:61" outlineLevel="1" x14ac:dyDescent="0.25">
      <c r="B10" s="226" t="s">
        <v>58</v>
      </c>
      <c r="C10" s="227" t="s">
        <v>28</v>
      </c>
      <c r="D10" s="227"/>
      <c r="E10" s="227"/>
      <c r="F10" s="184">
        <v>535.4</v>
      </c>
      <c r="G10" s="184">
        <v>334.9</v>
      </c>
      <c r="H10" s="185">
        <f>I10-G10</f>
        <v>368</v>
      </c>
      <c r="I10" s="184">
        <v>702.9</v>
      </c>
      <c r="J10" s="184">
        <v>438.6</v>
      </c>
      <c r="K10" s="185">
        <f>L10-J10</f>
        <v>456</v>
      </c>
      <c r="L10" s="343">
        <v>894.6</v>
      </c>
      <c r="M10" s="439">
        <v>538.20000000000005</v>
      </c>
      <c r="N10" s="185">
        <f>O10-M10</f>
        <v>556.39999999999986</v>
      </c>
      <c r="O10" s="477">
        <v>1094.5999999999999</v>
      </c>
      <c r="P10" s="185">
        <f t="shared" ref="P10:U10" si="0">+P68+P89</f>
        <v>636.45454857142875</v>
      </c>
      <c r="Q10" s="185">
        <f t="shared" si="0"/>
        <v>678.15481410799691</v>
      </c>
      <c r="R10" s="185">
        <f t="shared" si="0"/>
        <v>1314.6093626794257</v>
      </c>
      <c r="S10" s="185">
        <f t="shared" si="0"/>
        <v>750.19698000000017</v>
      </c>
      <c r="T10" s="185">
        <f t="shared" si="0"/>
        <v>823.67022574162638</v>
      </c>
      <c r="U10" s="185">
        <f t="shared" si="0"/>
        <v>1573.8672057416265</v>
      </c>
      <c r="V10" s="185">
        <f t="shared" ref="V10:X10" si="1">+V68+V89</f>
        <v>895.52981700000009</v>
      </c>
      <c r="W10" s="185">
        <f t="shared" si="1"/>
        <v>983.49275252153086</v>
      </c>
      <c r="X10" s="185">
        <f t="shared" si="1"/>
        <v>1879.0225695215308</v>
      </c>
      <c r="Y10" s="185">
        <f t="shared" ref="Y10:AA10" si="2">+Y68+Y89</f>
        <v>1066.0997938500002</v>
      </c>
      <c r="Z10" s="185">
        <f t="shared" si="2"/>
        <v>1163.9388810854061</v>
      </c>
      <c r="AA10" s="185">
        <f t="shared" si="2"/>
        <v>2230.0386749354061</v>
      </c>
      <c r="AB10" s="185">
        <f t="shared" ref="AB10:AP10" si="3">+AB68+AB89</f>
        <v>1248.1858648350003</v>
      </c>
      <c r="AC10" s="185">
        <f t="shared" si="3"/>
        <v>1349.7770583426309</v>
      </c>
      <c r="AD10" s="185">
        <f t="shared" si="3"/>
        <v>2597.9629231776312</v>
      </c>
      <c r="AE10" s="185">
        <f t="shared" si="3"/>
        <v>1431.9465616023756</v>
      </c>
      <c r="AF10" s="185">
        <f t="shared" si="3"/>
        <v>1543.9018776738205</v>
      </c>
      <c r="AG10" s="185">
        <f t="shared" si="3"/>
        <v>2975.8484392761961</v>
      </c>
      <c r="AH10" s="185">
        <f t="shared" si="3"/>
        <v>1630.9628633844006</v>
      </c>
      <c r="AI10" s="185">
        <f t="shared" si="3"/>
        <v>1754.0647362922728</v>
      </c>
      <c r="AJ10" s="185">
        <f t="shared" si="3"/>
        <v>3385.0275996766732</v>
      </c>
      <c r="AK10" s="185">
        <f t="shared" si="3"/>
        <v>1846.3009289406223</v>
      </c>
      <c r="AL10" s="185">
        <f t="shared" si="3"/>
        <v>1981.3841260783856</v>
      </c>
      <c r="AM10" s="185">
        <f t="shared" si="3"/>
        <v>3827.6850550190079</v>
      </c>
      <c r="AN10" s="185">
        <f t="shared" si="3"/>
        <v>2035.556330580064</v>
      </c>
      <c r="AO10" s="185">
        <f t="shared" si="3"/>
        <v>2172.4756332733841</v>
      </c>
      <c r="AP10" s="185">
        <f t="shared" si="3"/>
        <v>4208.0319638534484</v>
      </c>
      <c r="AQ10" s="185">
        <f t="shared" ref="AQ10:AS10" si="4">+AQ68+AQ89</f>
        <v>2218.2839307777836</v>
      </c>
      <c r="AR10" s="185">
        <f t="shared" si="4"/>
        <v>2364.6088537179808</v>
      </c>
      <c r="AS10" s="185">
        <f t="shared" si="4"/>
        <v>4582.8927844957643</v>
      </c>
      <c r="AT10" s="185">
        <f t="shared" ref="AT10:AV10" si="5">+AT68+AT89</f>
        <v>2410.1431862898435</v>
      </c>
      <c r="AU10" s="185">
        <f t="shared" si="5"/>
        <v>2566.3148393193096</v>
      </c>
      <c r="AV10" s="185">
        <f t="shared" si="5"/>
        <v>4976.4580256091531</v>
      </c>
      <c r="BF10" s="91">
        <f>(AD10/O10)^(1/5)-1</f>
        <v>0.18870886348008575</v>
      </c>
    </row>
    <row r="11" spans="1:61" outlineLevel="1" x14ac:dyDescent="0.25">
      <c r="B11" s="226" t="s">
        <v>54</v>
      </c>
      <c r="C11" s="227" t="s">
        <v>28</v>
      </c>
      <c r="D11" s="227"/>
      <c r="E11" s="227"/>
      <c r="F11" s="184">
        <v>31.4</v>
      </c>
      <c r="G11" s="184">
        <v>21.5</v>
      </c>
      <c r="H11" s="185">
        <f>I11-G11</f>
        <v>21.6</v>
      </c>
      <c r="I11" s="184">
        <v>43.1</v>
      </c>
      <c r="J11" s="184">
        <v>22.2</v>
      </c>
      <c r="K11" s="185">
        <f>L11-J11</f>
        <v>24.2</v>
      </c>
      <c r="L11" s="343">
        <v>46.4</v>
      </c>
      <c r="M11" s="439">
        <v>30.2</v>
      </c>
      <c r="N11" s="185">
        <f>O11-M11</f>
        <v>34.5</v>
      </c>
      <c r="O11" s="477">
        <v>64.7</v>
      </c>
      <c r="P11" s="185">
        <f t="shared" ref="P11:Y11" si="6">+P104</f>
        <v>34.566756756756753</v>
      </c>
      <c r="Q11" s="185">
        <f t="shared" ref="Q11" si="7">+R11-P11</f>
        <v>40.178769559032723</v>
      </c>
      <c r="R11" s="185">
        <f t="shared" ref="R11" si="8">+R104</f>
        <v>74.745526315789476</v>
      </c>
      <c r="S11" s="185">
        <f t="shared" si="6"/>
        <v>39.04472297297297</v>
      </c>
      <c r="T11" s="185">
        <f t="shared" ref="T11" si="9">+U11-S11</f>
        <v>44.312787896592248</v>
      </c>
      <c r="U11" s="185">
        <f t="shared" ref="U11" si="10">+U104</f>
        <v>83.357510869565218</v>
      </c>
      <c r="V11" s="185">
        <f t="shared" si="6"/>
        <v>41.747230268945408</v>
      </c>
      <c r="W11" s="185">
        <f t="shared" ref="W11" si="11">+X11-V11</f>
        <v>47.317064037074651</v>
      </c>
      <c r="X11" s="185">
        <f t="shared" ref="X11" si="12">+X104</f>
        <v>89.064294306020059</v>
      </c>
      <c r="Y11" s="185">
        <f t="shared" si="6"/>
        <v>44.517728277702695</v>
      </c>
      <c r="Z11" s="185">
        <f t="shared" ref="Z11" si="13">+AA11-Y11</f>
        <v>50.399362511284387</v>
      </c>
      <c r="AA11" s="185">
        <f t="shared" ref="AA11:AB11" si="14">+AA104</f>
        <v>94.917090788987082</v>
      </c>
      <c r="AB11" s="185">
        <f t="shared" si="14"/>
        <v>47.362335660871153</v>
      </c>
      <c r="AC11" s="185">
        <f t="shared" ref="AC11:AC13" si="15">+AD11-AB11</f>
        <v>53.566170878085103</v>
      </c>
      <c r="AD11" s="185">
        <f t="shared" ref="AD11:AE11" si="16">+AD104</f>
        <v>100.92850653895626</v>
      </c>
      <c r="AE11" s="185">
        <f t="shared" si="16"/>
        <v>50.286771942153514</v>
      </c>
      <c r="AF11" s="185">
        <f t="shared" ref="AF11:AF13" si="17">+AG11-AE11</f>
        <v>56.823605622313814</v>
      </c>
      <c r="AG11" s="185">
        <f t="shared" ref="AG11:AH11" si="18">+AG104</f>
        <v>107.11037756446733</v>
      </c>
      <c r="AH11" s="185">
        <f t="shared" si="18"/>
        <v>53.296472770333146</v>
      </c>
      <c r="AI11" s="185">
        <f t="shared" ref="AI11:AI13" si="19">+AJ11-AH11</f>
        <v>60.17752134355252</v>
      </c>
      <c r="AJ11" s="185">
        <f t="shared" ref="AJ11:AK11" si="20">+AJ104</f>
        <v>113.47399411388567</v>
      </c>
      <c r="AK11" s="185">
        <f t="shared" si="20"/>
        <v>56.396676045565201</v>
      </c>
      <c r="AL11" s="185">
        <f t="shared" ref="AL11:AL13" si="21">+AM11-AK11</f>
        <v>63.633593283789409</v>
      </c>
      <c r="AM11" s="185">
        <f t="shared" ref="AM11:AN11" si="22">+AM104</f>
        <v>120.03026932935461</v>
      </c>
      <c r="AN11" s="185">
        <f t="shared" si="22"/>
        <v>59.59248768814723</v>
      </c>
      <c r="AO11" s="185">
        <f t="shared" ref="AO11:AO13" si="23">+AP11-AN11</f>
        <v>67.197381019228914</v>
      </c>
      <c r="AP11" s="185">
        <f t="shared" ref="AP11:AQ11" si="24">+AP104</f>
        <v>126.78986870737614</v>
      </c>
      <c r="AQ11" s="185">
        <f t="shared" si="24"/>
        <v>62.888932893175117</v>
      </c>
      <c r="AR11" s="185">
        <f t="shared" ref="AR11:AR13" si="25">+AS11-AQ11</f>
        <v>70.874378593106712</v>
      </c>
      <c r="AS11" s="185">
        <f t="shared" ref="AS11:AT11" si="26">+AS104</f>
        <v>133.76331148628182</v>
      </c>
      <c r="AT11" s="185">
        <f t="shared" si="26"/>
        <v>66.290996853299887</v>
      </c>
      <c r="AU11" s="185">
        <f t="shared" ref="AU11:AU13" si="27">+AV11-AT11</f>
        <v>74.670054727243766</v>
      </c>
      <c r="AV11" s="185">
        <f t="shared" ref="AV11" si="28">+AV104</f>
        <v>140.96105158054365</v>
      </c>
      <c r="BH11" s="437">
        <f>K14-234.2</f>
        <v>254.89999999999998</v>
      </c>
    </row>
    <row r="12" spans="1:61" outlineLevel="1" x14ac:dyDescent="0.25">
      <c r="B12" s="226" t="s">
        <v>45</v>
      </c>
      <c r="C12" s="227" t="s">
        <v>28</v>
      </c>
      <c r="D12" s="227"/>
      <c r="E12" s="227"/>
      <c r="F12" s="184">
        <v>5.8</v>
      </c>
      <c r="G12" s="184">
        <v>3.2</v>
      </c>
      <c r="H12" s="185">
        <f>I12-G12</f>
        <v>3.8</v>
      </c>
      <c r="I12" s="184">
        <v>7</v>
      </c>
      <c r="J12" s="184">
        <v>4.2</v>
      </c>
      <c r="K12" s="185">
        <f>L12-J12</f>
        <v>3.7</v>
      </c>
      <c r="L12" s="343">
        <v>7.9</v>
      </c>
      <c r="M12" s="439">
        <v>4.5999999999999996</v>
      </c>
      <c r="N12" s="185">
        <f>O12-M12</f>
        <v>4.5</v>
      </c>
      <c r="O12" s="477">
        <v>9.1</v>
      </c>
      <c r="P12" s="185">
        <f t="shared" ref="P12:Y12" si="29">+P128</f>
        <v>5.0599999999999996</v>
      </c>
      <c r="Q12" s="185">
        <f t="shared" ref="Q12" si="30">+R12-P12</f>
        <v>5.4049999999999985</v>
      </c>
      <c r="R12" s="185">
        <f t="shared" ref="R12" si="31">+R128</f>
        <v>10.464999999999998</v>
      </c>
      <c r="S12" s="185">
        <f t="shared" si="29"/>
        <v>6.2329999999999988</v>
      </c>
      <c r="T12" s="185">
        <f t="shared" ref="T12" si="32">+U12-S12</f>
        <v>6.4994166666666651</v>
      </c>
      <c r="U12" s="185">
        <f t="shared" ref="U12" si="33">+U128</f>
        <v>12.732416666666664</v>
      </c>
      <c r="V12" s="185">
        <f t="shared" si="29"/>
        <v>7.2510566666666652</v>
      </c>
      <c r="W12" s="185">
        <f t="shared" ref="W12" si="34">+X12-V12</f>
        <v>7.4548845833333317</v>
      </c>
      <c r="X12" s="185">
        <f t="shared" ref="X12" si="35">+X128</f>
        <v>14.705941249999997</v>
      </c>
      <c r="Y12" s="185">
        <f t="shared" si="29"/>
        <v>8.2318574894736827</v>
      </c>
      <c r="Z12" s="185">
        <f t="shared" ref="Z12" si="36">+AA12-Y12</f>
        <v>8.3858561230263113</v>
      </c>
      <c r="AA12" s="185">
        <f t="shared" ref="AA12:AB12" si="37">+AA128</f>
        <v>16.617713612499994</v>
      </c>
      <c r="AB12" s="185">
        <f t="shared" si="37"/>
        <v>9.194626908894735</v>
      </c>
      <c r="AC12" s="185">
        <f t="shared" si="15"/>
        <v>9.3064275796885898</v>
      </c>
      <c r="AD12" s="185">
        <f t="shared" ref="AD12:AE12" si="38">+AD128</f>
        <v>18.501054488583325</v>
      </c>
      <c r="AE12" s="185">
        <f t="shared" si="38"/>
        <v>10.151549190894519</v>
      </c>
      <c r="AF12" s="185">
        <f t="shared" si="17"/>
        <v>10.226040824387971</v>
      </c>
      <c r="AG12" s="185">
        <f t="shared" ref="AG12:AH12" si="39">+AG128</f>
        <v>20.37759001528249</v>
      </c>
      <c r="AH12" s="185">
        <f t="shared" si="39"/>
        <v>11.111034324098419</v>
      </c>
      <c r="AI12" s="185">
        <f t="shared" si="19"/>
        <v>11.151482767597702</v>
      </c>
      <c r="AJ12" s="185">
        <f t="shared" ref="AJ12:AK12" si="40">+AJ128</f>
        <v>22.262517091696122</v>
      </c>
      <c r="AK12" s="185">
        <f t="shared" si="40"/>
        <v>12.07928160091271</v>
      </c>
      <c r="AL12" s="185">
        <f t="shared" si="21"/>
        <v>12.087917508628527</v>
      </c>
      <c r="AM12" s="185">
        <f t="shared" ref="AM12:AN12" si="41">+AM128</f>
        <v>24.167199109541237</v>
      </c>
      <c r="AN12" s="185">
        <f t="shared" si="41"/>
        <v>13.061110387448435</v>
      </c>
      <c r="AO12" s="185">
        <f t="shared" si="23"/>
        <v>13.039464650856102</v>
      </c>
      <c r="AP12" s="185">
        <f t="shared" ref="AP12:AQ12" si="42">+AP128</f>
        <v>26.100575038304537</v>
      </c>
      <c r="AQ12" s="185">
        <f t="shared" si="42"/>
        <v>14.060437205464837</v>
      </c>
      <c r="AR12" s="185">
        <f t="shared" si="25"/>
        <v>14.009544858457225</v>
      </c>
      <c r="AS12" s="185">
        <f t="shared" ref="AS12:AT12" si="43">+AS128</f>
        <v>28.069982063922062</v>
      </c>
      <c r="AT12" s="185">
        <f t="shared" si="43"/>
        <v>15.08056679845707</v>
      </c>
      <c r="AU12" s="185">
        <f t="shared" si="27"/>
        <v>15.001097313379404</v>
      </c>
      <c r="AV12" s="185">
        <f t="shared" ref="AV12" si="44">+AV128</f>
        <v>30.081664111836474</v>
      </c>
    </row>
    <row r="13" spans="1:61" outlineLevel="1" x14ac:dyDescent="0.25">
      <c r="B13" s="8" t="s">
        <v>26</v>
      </c>
      <c r="C13" s="227" t="s">
        <v>28</v>
      </c>
      <c r="F13" s="184">
        <v>2.5</v>
      </c>
      <c r="G13" s="184">
        <v>1.5</v>
      </c>
      <c r="H13" s="185">
        <f>I13-G13</f>
        <v>4.5</v>
      </c>
      <c r="I13" s="184">
        <v>6</v>
      </c>
      <c r="J13" s="315">
        <v>5.6</v>
      </c>
      <c r="K13" s="185">
        <f>L13-J13</f>
        <v>5.2000000000000011</v>
      </c>
      <c r="L13" s="343">
        <v>10.8</v>
      </c>
      <c r="M13" s="452">
        <v>4.9000000000000004</v>
      </c>
      <c r="N13" s="185">
        <f>O13-M13</f>
        <v>7.2999999999999989</v>
      </c>
      <c r="O13" s="477">
        <v>12.2</v>
      </c>
      <c r="P13" s="185">
        <f t="shared" ref="P13" si="45">+P165</f>
        <v>8.0596875000000008</v>
      </c>
      <c r="Q13" s="185">
        <f t="shared" ref="Q13" si="46">+R13-P13</f>
        <v>8.9898124999999975</v>
      </c>
      <c r="R13" s="185">
        <f t="shared" ref="R13:S13" si="47">+R165</f>
        <v>17.049499999999998</v>
      </c>
      <c r="S13" s="185">
        <f t="shared" si="47"/>
        <v>11.753109374999999</v>
      </c>
      <c r="T13" s="185">
        <f t="shared" ref="T13" si="48">+U13-S13</f>
        <v>13.034240625000001</v>
      </c>
      <c r="U13" s="185">
        <f t="shared" ref="U13:V13" si="49">+U165</f>
        <v>24.78735</v>
      </c>
      <c r="V13" s="185">
        <f t="shared" si="49"/>
        <v>17.42225625</v>
      </c>
      <c r="W13" s="185">
        <f t="shared" ref="W13" si="50">+X13-V13</f>
        <v>17.280033750000005</v>
      </c>
      <c r="X13" s="185">
        <f t="shared" ref="X13:Y13" si="51">+X165</f>
        <v>34.702290000000005</v>
      </c>
      <c r="Y13" s="185">
        <f t="shared" si="51"/>
        <v>18.293369062500002</v>
      </c>
      <c r="Z13" s="185">
        <f t="shared" ref="Z13" si="52">+AA13-Y13</f>
        <v>18.144035437500005</v>
      </c>
      <c r="AA13" s="185">
        <f t="shared" ref="AA13:AB13" si="53">+AA165</f>
        <v>36.437404500000007</v>
      </c>
      <c r="AB13" s="185">
        <f t="shared" si="53"/>
        <v>19.208037515625005</v>
      </c>
      <c r="AC13" s="185">
        <f t="shared" si="15"/>
        <v>19.051237209375007</v>
      </c>
      <c r="AD13" s="185">
        <f t="shared" ref="AD13:AE13" si="54">+AD165</f>
        <v>38.259274725000012</v>
      </c>
      <c r="AE13" s="185">
        <f t="shared" si="54"/>
        <v>20.168439391406256</v>
      </c>
      <c r="AF13" s="185">
        <f t="shared" si="17"/>
        <v>20.003799069843755</v>
      </c>
      <c r="AG13" s="185">
        <f t="shared" ref="AG13:AH13" si="55">+AG165</f>
        <v>40.172238461250011</v>
      </c>
      <c r="AH13" s="185">
        <f t="shared" si="55"/>
        <v>21.176861360976567</v>
      </c>
      <c r="AI13" s="185">
        <f t="shared" si="19"/>
        <v>21.00398902333594</v>
      </c>
      <c r="AJ13" s="185">
        <f t="shared" ref="AJ13:AK13" si="56">+AJ165</f>
        <v>42.180850384312507</v>
      </c>
      <c r="AK13" s="185">
        <f t="shared" si="56"/>
        <v>22.235704429025397</v>
      </c>
      <c r="AL13" s="185">
        <f t="shared" si="21"/>
        <v>22.054188474502745</v>
      </c>
      <c r="AM13" s="185">
        <f t="shared" ref="AM13:AN13" si="57">+AM165</f>
        <v>44.289892903528141</v>
      </c>
      <c r="AN13" s="185">
        <f t="shared" si="57"/>
        <v>23.347489650476668</v>
      </c>
      <c r="AO13" s="185">
        <f t="shared" si="23"/>
        <v>23.156897898227875</v>
      </c>
      <c r="AP13" s="185">
        <f t="shared" ref="AP13:AQ13" si="58">+AP165</f>
        <v>46.504387548704543</v>
      </c>
      <c r="AQ13" s="185">
        <f t="shared" si="58"/>
        <v>24.514864133000504</v>
      </c>
      <c r="AR13" s="185">
        <f t="shared" si="25"/>
        <v>24.314742793139271</v>
      </c>
      <c r="AS13" s="185">
        <f t="shared" ref="AS13:AT13" si="59">+AS165</f>
        <v>48.829606926139775</v>
      </c>
      <c r="AT13" s="185">
        <f t="shared" si="59"/>
        <v>25.740607339650531</v>
      </c>
      <c r="AU13" s="185">
        <f t="shared" si="27"/>
        <v>25.530479932796247</v>
      </c>
      <c r="AV13" s="185">
        <f t="shared" ref="AV13" si="60">+AV165</f>
        <v>51.271087272446778</v>
      </c>
      <c r="BH13">
        <v>289</v>
      </c>
    </row>
    <row r="14" spans="1:61" outlineLevel="1" x14ac:dyDescent="0.25">
      <c r="A14" t="s">
        <v>631</v>
      </c>
      <c r="B14" s="228" t="s">
        <v>31</v>
      </c>
      <c r="C14" s="229" t="s">
        <v>28</v>
      </c>
      <c r="D14" s="229"/>
      <c r="E14" s="229"/>
      <c r="F14" s="186">
        <f>SUM(F10:F13)</f>
        <v>575.09999999999991</v>
      </c>
      <c r="G14" s="186">
        <f t="shared" ref="G14:U14" si="61">SUM(G10:G13)</f>
        <v>361.09999999999997</v>
      </c>
      <c r="H14" s="186">
        <f t="shared" si="61"/>
        <v>397.90000000000003</v>
      </c>
      <c r="I14" s="186">
        <f t="shared" si="61"/>
        <v>759</v>
      </c>
      <c r="J14" s="186">
        <f t="shared" si="61"/>
        <v>470.6</v>
      </c>
      <c r="K14" s="186">
        <f t="shared" ref="K14" si="62">SUM(K10:K13)</f>
        <v>489.09999999999997</v>
      </c>
      <c r="L14" s="344">
        <f t="shared" ref="L14:N14" si="63">SUM(L10:L13)</f>
        <v>959.69999999999993</v>
      </c>
      <c r="M14" s="186">
        <f t="shared" si="63"/>
        <v>577.90000000000009</v>
      </c>
      <c r="N14" s="186">
        <f t="shared" si="63"/>
        <v>602.69999999999982</v>
      </c>
      <c r="O14" s="186">
        <f t="shared" si="61"/>
        <v>1180.5999999999999</v>
      </c>
      <c r="P14" s="186">
        <f t="shared" si="61"/>
        <v>684.1409928281854</v>
      </c>
      <c r="Q14" s="186">
        <f t="shared" si="61"/>
        <v>732.72839616702959</v>
      </c>
      <c r="R14" s="186">
        <f t="shared" si="61"/>
        <v>1416.8693889952151</v>
      </c>
      <c r="S14" s="186">
        <f t="shared" si="61"/>
        <v>807.2278123479731</v>
      </c>
      <c r="T14" s="186">
        <f t="shared" si="61"/>
        <v>887.51667092988532</v>
      </c>
      <c r="U14" s="186">
        <f t="shared" si="61"/>
        <v>1694.7444832778585</v>
      </c>
      <c r="V14" s="186">
        <f t="shared" ref="V14:W14" si="64">SUM(V10:V13)</f>
        <v>961.95036018561211</v>
      </c>
      <c r="W14" s="186">
        <f t="shared" si="64"/>
        <v>1055.5447348919388</v>
      </c>
      <c r="X14" s="186">
        <f>SUM(X10:X13)</f>
        <v>2017.4950950775508</v>
      </c>
      <c r="Y14" s="186">
        <f t="shared" ref="Y14:Z14" si="65">SUM(Y10:Y13)</f>
        <v>1137.1427486796765</v>
      </c>
      <c r="Z14" s="186">
        <f t="shared" si="65"/>
        <v>1240.8681351572168</v>
      </c>
      <c r="AA14" s="186">
        <f>SUM(AA10:AA13)</f>
        <v>2378.0108838368933</v>
      </c>
      <c r="AB14" s="186">
        <f t="shared" ref="AB14:AP14" si="66">SUM(AB10:AB13)</f>
        <v>1323.950864920391</v>
      </c>
      <c r="AC14" s="186">
        <f t="shared" si="66"/>
        <v>1431.7008940097794</v>
      </c>
      <c r="AD14" s="186">
        <f t="shared" si="66"/>
        <v>2755.6517589301707</v>
      </c>
      <c r="AE14" s="186">
        <f t="shared" si="66"/>
        <v>1512.5533221268299</v>
      </c>
      <c r="AF14" s="186">
        <f t="shared" si="66"/>
        <v>1630.9553231903662</v>
      </c>
      <c r="AG14" s="186">
        <f t="shared" si="66"/>
        <v>3143.5086453171957</v>
      </c>
      <c r="AH14" s="186">
        <f t="shared" si="66"/>
        <v>1716.5472318398088</v>
      </c>
      <c r="AI14" s="186">
        <f t="shared" si="66"/>
        <v>1846.3977294267588</v>
      </c>
      <c r="AJ14" s="186">
        <f t="shared" si="66"/>
        <v>3562.9449612665676</v>
      </c>
      <c r="AK14" s="186">
        <f t="shared" si="66"/>
        <v>1937.0125910161257</v>
      </c>
      <c r="AL14" s="186">
        <f t="shared" si="66"/>
        <v>2079.1598253453062</v>
      </c>
      <c r="AM14" s="186">
        <f t="shared" si="66"/>
        <v>4016.1724163614322</v>
      </c>
      <c r="AN14" s="186">
        <f t="shared" si="66"/>
        <v>2131.5574183061367</v>
      </c>
      <c r="AO14" s="186">
        <f t="shared" si="66"/>
        <v>2275.869376841697</v>
      </c>
      <c r="AP14" s="186">
        <f t="shared" si="66"/>
        <v>4407.4267951478332</v>
      </c>
      <c r="AQ14" s="186">
        <f t="shared" ref="AQ14:AS14" si="67">SUM(AQ10:AQ13)</f>
        <v>2319.7481650094242</v>
      </c>
      <c r="AR14" s="186">
        <f t="shared" si="67"/>
        <v>2473.8075199626842</v>
      </c>
      <c r="AS14" s="186">
        <f t="shared" si="67"/>
        <v>4793.5556849721079</v>
      </c>
      <c r="AT14" s="186">
        <f t="shared" ref="AT14:AV14" si="68">SUM(AT10:AT13)</f>
        <v>2517.2553572812508</v>
      </c>
      <c r="AU14" s="186">
        <f t="shared" si="68"/>
        <v>2681.5164712927294</v>
      </c>
      <c r="AV14" s="186">
        <f t="shared" si="68"/>
        <v>5198.7718285739793</v>
      </c>
      <c r="BH14" s="437">
        <f>+N14-BH13</f>
        <v>313.69999999999982</v>
      </c>
      <c r="BI14">
        <f>+BH14/BH13-1</f>
        <v>8.5467128027681083E-2</v>
      </c>
    </row>
    <row r="15" spans="1:61" outlineLevel="1" x14ac:dyDescent="0.25">
      <c r="B15" s="25" t="s">
        <v>27</v>
      </c>
      <c r="C15" s="227" t="s">
        <v>29</v>
      </c>
      <c r="D15" s="227"/>
      <c r="E15" s="227"/>
      <c r="F15" s="187"/>
      <c r="G15" s="187"/>
      <c r="H15" s="187"/>
      <c r="I15" s="187"/>
      <c r="J15" s="187"/>
      <c r="K15" s="187"/>
      <c r="L15" s="345"/>
      <c r="M15" s="405">
        <f>+M14/J14-1</f>
        <v>0.22800679983000438</v>
      </c>
      <c r="N15" s="398">
        <f>+N14/K14-1</f>
        <v>0.23226334083009581</v>
      </c>
      <c r="O15" s="398">
        <f>+O14/L14-1</f>
        <v>0.23017609669688444</v>
      </c>
      <c r="P15" s="185"/>
      <c r="Q15" s="185"/>
      <c r="R15" s="185"/>
      <c r="S15" s="185"/>
      <c r="T15" s="185"/>
      <c r="U15" s="185"/>
      <c r="V15" s="185"/>
      <c r="W15" s="185"/>
      <c r="X15" s="185"/>
      <c r="Y15" s="185"/>
      <c r="Z15" s="185"/>
      <c r="AA15" s="185"/>
      <c r="AB15" s="185"/>
      <c r="AC15" s="185"/>
      <c r="AD15" s="185"/>
      <c r="AE15" s="185"/>
      <c r="AF15" s="185"/>
      <c r="AG15" s="185"/>
      <c r="AH15" s="185"/>
      <c r="AI15" s="185"/>
      <c r="AJ15" s="185"/>
      <c r="AK15" s="185"/>
      <c r="AL15" s="185"/>
      <c r="AM15" s="185"/>
      <c r="AN15" s="185"/>
      <c r="AO15" s="185"/>
      <c r="AP15" s="185"/>
      <c r="AQ15" s="185"/>
      <c r="AR15" s="185"/>
      <c r="AS15" s="185"/>
      <c r="AT15" s="185"/>
      <c r="AU15" s="185"/>
      <c r="AV15" s="185"/>
      <c r="BH15" s="91">
        <f>+BH14/BH11-1</f>
        <v>0.23067869752844183</v>
      </c>
    </row>
    <row r="16" spans="1:61" outlineLevel="1" x14ac:dyDescent="0.25">
      <c r="F16" s="58"/>
      <c r="G16" s="58"/>
      <c r="H16" s="58"/>
      <c r="I16" s="58"/>
      <c r="J16" s="58"/>
      <c r="K16" s="58"/>
      <c r="L16" s="346"/>
      <c r="M16" s="58"/>
      <c r="N16" s="222"/>
      <c r="O16" s="188"/>
      <c r="P16" s="188"/>
      <c r="Q16" s="188"/>
      <c r="R16" s="188"/>
      <c r="S16" s="188"/>
      <c r="T16" s="188"/>
      <c r="U16" s="188"/>
      <c r="V16" s="188"/>
      <c r="W16" s="188"/>
      <c r="X16" s="188"/>
      <c r="Y16" s="188"/>
      <c r="Z16" s="188"/>
      <c r="AA16" s="188"/>
      <c r="AB16" s="188"/>
      <c r="AC16" s="188"/>
      <c r="AD16" s="188"/>
      <c r="AE16" s="188"/>
      <c r="AF16" s="188"/>
      <c r="AG16" s="188"/>
      <c r="AH16" s="188"/>
      <c r="AI16" s="188"/>
      <c r="AJ16" s="188"/>
      <c r="AK16" s="188"/>
      <c r="AL16" s="188"/>
      <c r="AM16" s="188"/>
      <c r="AN16" s="188"/>
      <c r="AO16" s="188"/>
      <c r="AP16" s="188"/>
      <c r="AQ16" s="188"/>
      <c r="AR16" s="188"/>
      <c r="AS16" s="188"/>
      <c r="AT16" s="188"/>
      <c r="AU16" s="188"/>
      <c r="AV16" s="188"/>
    </row>
    <row r="17" spans="1:58" outlineLevel="1" x14ac:dyDescent="0.25">
      <c r="A17" s="9"/>
      <c r="B17" s="13" t="s">
        <v>46</v>
      </c>
      <c r="C17" s="194"/>
      <c r="D17" s="194"/>
      <c r="E17" s="194"/>
      <c r="F17" s="189"/>
      <c r="G17" s="189"/>
      <c r="H17" s="189"/>
      <c r="I17" s="189"/>
      <c r="J17" s="189"/>
      <c r="K17" s="190"/>
      <c r="L17" s="347"/>
      <c r="M17" s="189"/>
      <c r="N17" s="190"/>
      <c r="O17" s="190"/>
      <c r="P17" s="190"/>
      <c r="Q17" s="190"/>
      <c r="R17" s="190"/>
      <c r="S17" s="190"/>
      <c r="T17" s="190"/>
      <c r="U17" s="190"/>
      <c r="V17" s="190"/>
      <c r="W17" s="190"/>
      <c r="X17" s="190"/>
      <c r="Y17" s="190"/>
      <c r="Z17" s="190"/>
      <c r="AA17" s="190"/>
      <c r="AB17" s="190"/>
      <c r="AC17" s="190"/>
      <c r="AD17" s="190"/>
      <c r="AE17" s="190"/>
      <c r="AF17" s="190"/>
      <c r="AG17" s="190"/>
      <c r="AH17" s="190"/>
      <c r="AI17" s="190"/>
      <c r="AJ17" s="190"/>
      <c r="AK17" s="190"/>
      <c r="AL17" s="190"/>
      <c r="AM17" s="190"/>
      <c r="AN17" s="190"/>
      <c r="AO17" s="190"/>
      <c r="AP17" s="190"/>
      <c r="AQ17" s="190"/>
      <c r="AR17" s="190"/>
      <c r="AS17" s="190"/>
      <c r="AT17" s="190"/>
      <c r="AU17" s="190"/>
      <c r="AV17" s="190"/>
    </row>
    <row r="18" spans="1:58" outlineLevel="1" x14ac:dyDescent="0.25">
      <c r="A18" t="s">
        <v>302</v>
      </c>
      <c r="B18" s="226" t="s">
        <v>58</v>
      </c>
      <c r="C18" s="227" t="s">
        <v>28</v>
      </c>
      <c r="F18" s="191">
        <f>+F68+F92</f>
        <v>168.02699999999999</v>
      </c>
      <c r="G18" s="191">
        <f t="shared" ref="G18:U18" si="69">+G68+G92</f>
        <v>119.34399999999999</v>
      </c>
      <c r="H18" s="191">
        <f t="shared" si="69"/>
        <v>132.03750000000002</v>
      </c>
      <c r="I18" s="191">
        <f>+I68+I92</f>
        <v>251.38150000000002</v>
      </c>
      <c r="J18" s="191">
        <f>+J68+J92</f>
        <v>161.96799999999999</v>
      </c>
      <c r="K18" s="185">
        <f>+K68+K92</f>
        <v>167.57399999999998</v>
      </c>
      <c r="L18" s="345">
        <f t="shared" si="69"/>
        <v>329.54199999999997</v>
      </c>
      <c r="M18" s="191">
        <f>+M68+M92</f>
        <v>207.99199999999999</v>
      </c>
      <c r="N18" s="185">
        <f>+N68+N92</f>
        <v>216.56150000000002</v>
      </c>
      <c r="O18" s="185">
        <f>+O68+O92</f>
        <v>424.55349999999999</v>
      </c>
      <c r="P18" s="185">
        <f t="shared" si="69"/>
        <v>262.83515226679452</v>
      </c>
      <c r="Q18" s="185">
        <f>+Q68+Q92</f>
        <v>287.2256929739786</v>
      </c>
      <c r="R18" s="185">
        <f>+R68+R92</f>
        <v>550.06084524077312</v>
      </c>
      <c r="S18" s="185">
        <f t="shared" si="69"/>
        <v>316.33268939588362</v>
      </c>
      <c r="T18" s="185">
        <f t="shared" si="69"/>
        <v>348.9408066641945</v>
      </c>
      <c r="U18" s="185">
        <f t="shared" si="69"/>
        <v>665.27349606007817</v>
      </c>
      <c r="V18" s="185">
        <f t="shared" ref="V18:X18" si="70">+V68+V92</f>
        <v>386.77367511627915</v>
      </c>
      <c r="W18" s="185">
        <f t="shared" si="70"/>
        <v>417.73339039735271</v>
      </c>
      <c r="X18" s="185">
        <f t="shared" si="70"/>
        <v>804.5070655136318</v>
      </c>
      <c r="Y18" s="185">
        <f t="shared" ref="Y18:AA18" si="71">+Y68+Y92</f>
        <v>463.95662582797661</v>
      </c>
      <c r="Z18" s="185">
        <f t="shared" si="71"/>
        <v>501.8004282417877</v>
      </c>
      <c r="AA18" s="185">
        <f t="shared" si="71"/>
        <v>965.75705406976431</v>
      </c>
      <c r="AB18" s="185">
        <f t="shared" ref="AB18:AP18" si="72">+AB68+AB92</f>
        <v>543.69980187518047</v>
      </c>
      <c r="AC18" s="185">
        <f t="shared" si="72"/>
        <v>589.26058801684235</v>
      </c>
      <c r="AD18" s="185">
        <f t="shared" si="72"/>
        <v>1132.9603898920227</v>
      </c>
      <c r="AE18" s="185">
        <f t="shared" si="72"/>
        <v>627.1866671234684</v>
      </c>
      <c r="AF18" s="185">
        <f t="shared" si="72"/>
        <v>677.48037684420399</v>
      </c>
      <c r="AG18" s="185">
        <f t="shared" si="72"/>
        <v>1304.6670439676723</v>
      </c>
      <c r="AH18" s="185">
        <f t="shared" si="72"/>
        <v>717.74931778264261</v>
      </c>
      <c r="AI18" s="185">
        <f t="shared" si="72"/>
        <v>773.14119608333067</v>
      </c>
      <c r="AJ18" s="185">
        <f t="shared" si="72"/>
        <v>1490.8905138659734</v>
      </c>
      <c r="AK18" s="185">
        <f t="shared" si="72"/>
        <v>815.88334013508916</v>
      </c>
      <c r="AL18" s="185">
        <f t="shared" si="72"/>
        <v>876.76262492770002</v>
      </c>
      <c r="AM18" s="185">
        <f t="shared" si="72"/>
        <v>1692.6459650627892</v>
      </c>
      <c r="AN18" s="185">
        <f t="shared" si="72"/>
        <v>902.39843135189915</v>
      </c>
      <c r="AO18" s="185">
        <f t="shared" si="72"/>
        <v>964.07682967877167</v>
      </c>
      <c r="AP18" s="185">
        <f t="shared" si="72"/>
        <v>1866.4752610306709</v>
      </c>
      <c r="AQ18" s="185">
        <f t="shared" ref="AQ18:AS18" si="73">+AQ68+AQ92</f>
        <v>985.96392551235647</v>
      </c>
      <c r="AR18" s="185">
        <f t="shared" si="73"/>
        <v>1051.9548573921966</v>
      </c>
      <c r="AS18" s="185">
        <f t="shared" si="73"/>
        <v>2037.9187829045532</v>
      </c>
      <c r="AT18" s="185">
        <f t="shared" ref="AT18:AV18" si="74">+AT68+AT92</f>
        <v>1073.1680212237679</v>
      </c>
      <c r="AU18" s="185">
        <f t="shared" si="74"/>
        <v>1143.6384112882527</v>
      </c>
      <c r="AV18" s="185">
        <f t="shared" si="74"/>
        <v>2216.8064325120208</v>
      </c>
      <c r="BF18" s="91">
        <f>(AA18/L18)^(1/5)-1</f>
        <v>0.23991359881782337</v>
      </c>
    </row>
    <row r="19" spans="1:58" outlineLevel="1" x14ac:dyDescent="0.25">
      <c r="A19" t="s">
        <v>303</v>
      </c>
      <c r="B19" s="226" t="s">
        <v>54</v>
      </c>
      <c r="C19" s="227" t="s">
        <v>28</v>
      </c>
      <c r="F19" s="191">
        <f t="shared" ref="F19:O19" si="75">+F116</f>
        <v>1.099</v>
      </c>
      <c r="G19" s="191">
        <f t="shared" si="75"/>
        <v>0.75250000000000006</v>
      </c>
      <c r="H19" s="191">
        <f t="shared" si="75"/>
        <v>0.75600000000000012</v>
      </c>
      <c r="I19" s="191">
        <f t="shared" si="75"/>
        <v>1.5085000000000002</v>
      </c>
      <c r="J19" s="191">
        <f t="shared" si="75"/>
        <v>0.77700000000000002</v>
      </c>
      <c r="K19" s="185">
        <f t="shared" si="75"/>
        <v>0.84700000000000009</v>
      </c>
      <c r="L19" s="345">
        <f>+L116</f>
        <v>1.6240000000000001</v>
      </c>
      <c r="M19" s="191">
        <f t="shared" ref="M19" si="76">+M116</f>
        <v>1.0570000000000002</v>
      </c>
      <c r="N19" s="185">
        <f t="shared" si="75"/>
        <v>1.2075000000000002</v>
      </c>
      <c r="O19" s="185">
        <f t="shared" si="75"/>
        <v>2.2645000000000004</v>
      </c>
      <c r="P19" s="185">
        <f t="shared" ref="P19:U19" si="77">+P116</f>
        <v>1.2098364864864866</v>
      </c>
      <c r="Q19" s="185">
        <f t="shared" si="77"/>
        <v>1.4062569345661455</v>
      </c>
      <c r="R19" s="185">
        <f t="shared" si="77"/>
        <v>2.6160934210526321</v>
      </c>
      <c r="S19" s="185">
        <f t="shared" si="77"/>
        <v>1.3665653040540542</v>
      </c>
      <c r="T19" s="185">
        <f t="shared" si="77"/>
        <v>1.5509475763807286</v>
      </c>
      <c r="U19" s="185">
        <f t="shared" si="77"/>
        <v>2.9175128804347827</v>
      </c>
      <c r="V19" s="185">
        <f t="shared" ref="V19:X19" si="78">+V116</f>
        <v>1.4611530594130895</v>
      </c>
      <c r="W19" s="185">
        <f t="shared" si="78"/>
        <v>1.6560972412976129</v>
      </c>
      <c r="X19" s="185">
        <f t="shared" si="78"/>
        <v>3.1172503007107024</v>
      </c>
      <c r="Y19" s="185">
        <f t="shared" ref="Y19:AA19" si="79">+Y116</f>
        <v>1.5581204897195944</v>
      </c>
      <c r="Z19" s="185">
        <f t="shared" si="79"/>
        <v>1.763977687894954</v>
      </c>
      <c r="AA19" s="185">
        <f t="shared" si="79"/>
        <v>3.3220981776145484</v>
      </c>
      <c r="AB19" s="185">
        <f t="shared" ref="AB19:AP19" si="80">+AB116</f>
        <v>1.6576817481304906</v>
      </c>
      <c r="AC19" s="185">
        <f t="shared" si="80"/>
        <v>1.8748159807329787</v>
      </c>
      <c r="AD19" s="185">
        <f t="shared" si="80"/>
        <v>3.5324977288634694</v>
      </c>
      <c r="AE19" s="185">
        <f t="shared" si="80"/>
        <v>1.7600370179753733</v>
      </c>
      <c r="AF19" s="185">
        <f t="shared" si="80"/>
        <v>1.9888261967809835</v>
      </c>
      <c r="AG19" s="185">
        <f t="shared" si="80"/>
        <v>3.7488632147563568</v>
      </c>
      <c r="AH19" s="185">
        <f t="shared" si="80"/>
        <v>1.8653765469616603</v>
      </c>
      <c r="AI19" s="185">
        <f t="shared" si="80"/>
        <v>2.1062132470243382</v>
      </c>
      <c r="AJ19" s="185">
        <f t="shared" si="80"/>
        <v>3.9715897939859985</v>
      </c>
      <c r="AK19" s="185">
        <f t="shared" si="80"/>
        <v>1.9738836615947821</v>
      </c>
      <c r="AL19" s="185">
        <f t="shared" si="80"/>
        <v>2.2271757649326291</v>
      </c>
      <c r="AM19" s="185">
        <f t="shared" si="80"/>
        <v>4.2010594265274115</v>
      </c>
      <c r="AN19" s="185">
        <f t="shared" si="80"/>
        <v>2.0857370690851531</v>
      </c>
      <c r="AO19" s="185">
        <f t="shared" si="80"/>
        <v>2.3519083356730124</v>
      </c>
      <c r="AP19" s="185">
        <f t="shared" si="80"/>
        <v>4.4376454047581655</v>
      </c>
      <c r="AQ19" s="185">
        <f t="shared" ref="AQ19:AS19" si="81">+AQ116</f>
        <v>2.2011126512611292</v>
      </c>
      <c r="AR19" s="185">
        <f t="shared" si="81"/>
        <v>2.4806032507587354</v>
      </c>
      <c r="AS19" s="185">
        <f t="shared" si="81"/>
        <v>4.6817159020198647</v>
      </c>
      <c r="AT19" s="185">
        <f t="shared" ref="AT19:AV19" si="82">+AT116</f>
        <v>2.3201848898654962</v>
      </c>
      <c r="AU19" s="185">
        <f t="shared" si="82"/>
        <v>2.6134519154535321</v>
      </c>
      <c r="AV19" s="185">
        <f t="shared" si="82"/>
        <v>4.9336368053190283</v>
      </c>
    </row>
    <row r="20" spans="1:58" outlineLevel="1" x14ac:dyDescent="0.25">
      <c r="A20" t="s">
        <v>304</v>
      </c>
      <c r="B20" s="226" t="s">
        <v>45</v>
      </c>
      <c r="C20" s="227" t="s">
        <v>28</v>
      </c>
      <c r="F20" s="191">
        <f t="shared" ref="F20:O20" si="83">+F139</f>
        <v>0.17399999999999999</v>
      </c>
      <c r="G20" s="191">
        <f t="shared" si="83"/>
        <v>9.6000000000000002E-2</v>
      </c>
      <c r="H20" s="191">
        <f t="shared" si="83"/>
        <v>0.11399999999999999</v>
      </c>
      <c r="I20" s="191">
        <f t="shared" si="83"/>
        <v>0.21</v>
      </c>
      <c r="J20" s="191">
        <f t="shared" si="83"/>
        <v>0.126</v>
      </c>
      <c r="K20" s="185">
        <f t="shared" si="83"/>
        <v>0.11099999999999999</v>
      </c>
      <c r="L20" s="345">
        <f t="shared" si="83"/>
        <v>0.23699999999999999</v>
      </c>
      <c r="M20" s="191">
        <f t="shared" ref="M20" si="84">+M139</f>
        <v>0.13799999999999998</v>
      </c>
      <c r="N20" s="185">
        <f t="shared" si="83"/>
        <v>0.13499999999999998</v>
      </c>
      <c r="O20" s="185">
        <f t="shared" si="83"/>
        <v>0.27299999999999996</v>
      </c>
      <c r="P20" s="185">
        <f t="shared" ref="P20:U20" si="85">+P139</f>
        <v>0.15179999999999999</v>
      </c>
      <c r="Q20" s="185">
        <f t="shared" si="85"/>
        <v>0.16214999999999996</v>
      </c>
      <c r="R20" s="185">
        <f t="shared" si="85"/>
        <v>0.31394999999999995</v>
      </c>
      <c r="S20" s="185">
        <f t="shared" si="85"/>
        <v>0.18698999999999996</v>
      </c>
      <c r="T20" s="185">
        <f t="shared" si="85"/>
        <v>0.19498249999999992</v>
      </c>
      <c r="U20" s="185">
        <f t="shared" si="85"/>
        <v>0.38197249999999988</v>
      </c>
      <c r="V20" s="185">
        <f t="shared" ref="V20:X20" si="86">+V139</f>
        <v>0.21753169999999994</v>
      </c>
      <c r="W20" s="185">
        <f t="shared" si="86"/>
        <v>0.22364653749999996</v>
      </c>
      <c r="X20" s="185">
        <f t="shared" si="86"/>
        <v>0.4411782374999999</v>
      </c>
      <c r="Y20" s="185">
        <f t="shared" ref="Y20:AA20" si="87">+Y139</f>
        <v>0.24695572468421048</v>
      </c>
      <c r="Z20" s="185">
        <f t="shared" si="87"/>
        <v>0.25157568369078931</v>
      </c>
      <c r="AA20" s="185">
        <f t="shared" si="87"/>
        <v>0.49853140837499982</v>
      </c>
      <c r="AB20" s="185">
        <f t="shared" ref="AB20:AP20" si="88">+AB139</f>
        <v>0.27583880726684201</v>
      </c>
      <c r="AC20" s="185">
        <f t="shared" si="88"/>
        <v>0.27919282739065771</v>
      </c>
      <c r="AD20" s="185">
        <f t="shared" si="88"/>
        <v>0.55503163465749972</v>
      </c>
      <c r="AE20" s="185">
        <f t="shared" si="88"/>
        <v>0.30454647572683557</v>
      </c>
      <c r="AF20" s="185">
        <f t="shared" si="88"/>
        <v>0.30678122473163905</v>
      </c>
      <c r="AG20" s="185">
        <f t="shared" si="88"/>
        <v>0.61132770045847462</v>
      </c>
      <c r="AH20" s="185">
        <f t="shared" si="88"/>
        <v>0.33333102972295259</v>
      </c>
      <c r="AI20" s="185">
        <f t="shared" si="88"/>
        <v>0.33454448302793105</v>
      </c>
      <c r="AJ20" s="185">
        <f t="shared" si="88"/>
        <v>0.66787551275088364</v>
      </c>
      <c r="AK20" s="185">
        <f t="shared" si="88"/>
        <v>0.36237844802738128</v>
      </c>
      <c r="AL20" s="185">
        <f t="shared" si="88"/>
        <v>0.36263752525885584</v>
      </c>
      <c r="AM20" s="185">
        <f t="shared" si="88"/>
        <v>0.72501597328623713</v>
      </c>
      <c r="AN20" s="185">
        <f t="shared" si="88"/>
        <v>0.39183331162345303</v>
      </c>
      <c r="AO20" s="185">
        <f t="shared" si="88"/>
        <v>0.39118393952568309</v>
      </c>
      <c r="AP20" s="185">
        <f t="shared" si="88"/>
        <v>0.78301725114913612</v>
      </c>
      <c r="AQ20" s="185">
        <f t="shared" ref="AQ20:AS20" si="89">+AQ139</f>
        <v>0.42181311616394507</v>
      </c>
      <c r="AR20" s="185">
        <f t="shared" si="89"/>
        <v>0.42028634575371676</v>
      </c>
      <c r="AS20" s="185">
        <f t="shared" si="89"/>
        <v>0.84209946191766183</v>
      </c>
      <c r="AT20" s="185">
        <f t="shared" ref="AT20:AV20" si="90">+AT139</f>
        <v>0.45241700395371209</v>
      </c>
      <c r="AU20" s="185">
        <f t="shared" si="90"/>
        <v>0.45003291940138213</v>
      </c>
      <c r="AV20" s="185">
        <f t="shared" si="90"/>
        <v>0.90244992335509422</v>
      </c>
    </row>
    <row r="21" spans="1:58" outlineLevel="1" x14ac:dyDescent="0.25">
      <c r="A21" t="s">
        <v>305</v>
      </c>
      <c r="B21" s="8" t="s">
        <v>26</v>
      </c>
      <c r="C21" s="227" t="s">
        <v>28</v>
      </c>
      <c r="F21" s="191">
        <f>+F165</f>
        <v>2.5</v>
      </c>
      <c r="G21" s="191">
        <f>+G165</f>
        <v>1.5</v>
      </c>
      <c r="H21" s="191">
        <f>+H165</f>
        <v>4.5</v>
      </c>
      <c r="I21" s="191">
        <f>+I165</f>
        <v>6</v>
      </c>
      <c r="J21" s="191">
        <f>+J165</f>
        <v>5.6</v>
      </c>
      <c r="K21" s="188">
        <f t="shared" ref="K21:L21" si="91">+K165</f>
        <v>5.2000000000000011</v>
      </c>
      <c r="L21" s="346">
        <f t="shared" si="91"/>
        <v>10.8</v>
      </c>
      <c r="M21" s="191">
        <f>+M167+M173</f>
        <v>3.3360000000000003</v>
      </c>
      <c r="N21" s="191">
        <f t="shared" ref="N21:AV21" si="92">+N167+N173</f>
        <v>5.8639999999999999</v>
      </c>
      <c r="O21" s="191">
        <f t="shared" si="92"/>
        <v>9.2000000000000011</v>
      </c>
      <c r="P21" s="191">
        <f t="shared" si="92"/>
        <v>5.4134693877551028</v>
      </c>
      <c r="Q21" s="191">
        <f t="shared" si="92"/>
        <v>7.1694426369863011</v>
      </c>
      <c r="R21" s="191">
        <f t="shared" si="92"/>
        <v>12.73775</v>
      </c>
      <c r="S21" s="191">
        <f t="shared" si="92"/>
        <v>7.825499999999999</v>
      </c>
      <c r="T21" s="191">
        <f t="shared" si="92"/>
        <v>10.327420761986303</v>
      </c>
      <c r="U21" s="191">
        <f t="shared" si="92"/>
        <v>18.382575000000003</v>
      </c>
      <c r="V21" s="191">
        <f t="shared" si="92"/>
        <v>11.527799999999999</v>
      </c>
      <c r="W21" s="191">
        <f t="shared" si="92"/>
        <v>13.642629092465759</v>
      </c>
      <c r="X21" s="191">
        <f t="shared" si="92"/>
        <v>25.615605000000006</v>
      </c>
      <c r="Y21" s="191">
        <f t="shared" si="92"/>
        <v>12.096690000000001</v>
      </c>
      <c r="Z21" s="191">
        <f t="shared" si="92"/>
        <v>14.317260547089047</v>
      </c>
      <c r="AA21" s="191">
        <f t="shared" si="92"/>
        <v>26.881385250000008</v>
      </c>
      <c r="AB21" s="191">
        <f t="shared" si="92"/>
        <v>12.694024500000003</v>
      </c>
      <c r="AC21" s="191">
        <f t="shared" si="92"/>
        <v>15.0256235744435</v>
      </c>
      <c r="AD21" s="191">
        <f t="shared" si="92"/>
        <v>28.210454512500011</v>
      </c>
      <c r="AE21" s="191">
        <f t="shared" si="92"/>
        <v>13.321225725000003</v>
      </c>
      <c r="AF21" s="191">
        <f t="shared" si="92"/>
        <v>15.769404753165674</v>
      </c>
      <c r="AG21" s="191">
        <f t="shared" si="92"/>
        <v>29.605977238125011</v>
      </c>
      <c r="AH21" s="191">
        <f t="shared" si="92"/>
        <v>13.979787011250002</v>
      </c>
      <c r="AI21" s="191">
        <f t="shared" si="92"/>
        <v>16.550374990823954</v>
      </c>
      <c r="AJ21" s="191">
        <f t="shared" si="92"/>
        <v>31.071276100031255</v>
      </c>
      <c r="AK21" s="191">
        <f t="shared" si="92"/>
        <v>14.671276361812502</v>
      </c>
      <c r="AL21" s="191">
        <f t="shared" si="92"/>
        <v>17.370393740365159</v>
      </c>
      <c r="AM21" s="191">
        <f t="shared" si="92"/>
        <v>32.609839905032821</v>
      </c>
      <c r="AN21" s="191">
        <f t="shared" si="92"/>
        <v>15.397340179903129</v>
      </c>
      <c r="AO21" s="191">
        <f t="shared" si="92"/>
        <v>18.231413427383412</v>
      </c>
      <c r="AP21" s="191">
        <f t="shared" si="92"/>
        <v>34.225331900284459</v>
      </c>
      <c r="AQ21" s="191">
        <f t="shared" si="92"/>
        <v>16.159707188898285</v>
      </c>
      <c r="AR21" s="191">
        <f t="shared" si="92"/>
        <v>19.135484098752585</v>
      </c>
      <c r="AS21" s="191">
        <f t="shared" si="92"/>
        <v>35.921598495298689</v>
      </c>
      <c r="AT21" s="191">
        <f t="shared" si="92"/>
        <v>16.960192548343201</v>
      </c>
      <c r="AU21" s="191">
        <f t="shared" si="92"/>
        <v>20.084758303690226</v>
      </c>
      <c r="AV21" s="191">
        <f t="shared" si="92"/>
        <v>37.702678420063634</v>
      </c>
    </row>
    <row r="22" spans="1:58" outlineLevel="1" x14ac:dyDescent="0.25">
      <c r="A22" t="s">
        <v>686</v>
      </c>
      <c r="B22" s="228" t="s">
        <v>33</v>
      </c>
      <c r="C22" s="229" t="s">
        <v>28</v>
      </c>
      <c r="D22" s="229"/>
      <c r="E22" s="229"/>
      <c r="F22" s="186">
        <f t="shared" ref="F22:U22" si="93">SUM(F18:F21)</f>
        <v>171.79999999999998</v>
      </c>
      <c r="G22" s="186">
        <f>SUM(G18:G21)</f>
        <v>121.6925</v>
      </c>
      <c r="H22" s="186">
        <f t="shared" si="93"/>
        <v>137.40750000000003</v>
      </c>
      <c r="I22" s="186">
        <f t="shared" si="93"/>
        <v>259.10000000000002</v>
      </c>
      <c r="J22" s="186">
        <f>SUM(J18:J21)</f>
        <v>168.47099999999998</v>
      </c>
      <c r="K22" s="186">
        <f t="shared" si="93"/>
        <v>173.73199999999997</v>
      </c>
      <c r="L22" s="344">
        <f t="shared" si="93"/>
        <v>342.20300000000003</v>
      </c>
      <c r="M22" s="186">
        <f>SUM(M18:M21)</f>
        <v>212.523</v>
      </c>
      <c r="N22" s="186">
        <f t="shared" si="93"/>
        <v>223.76800000000003</v>
      </c>
      <c r="O22" s="186">
        <f t="shared" si="93"/>
        <v>436.291</v>
      </c>
      <c r="P22" s="186">
        <f t="shared" si="93"/>
        <v>269.61025814103613</v>
      </c>
      <c r="Q22" s="186">
        <f t="shared" si="93"/>
        <v>295.96354254553103</v>
      </c>
      <c r="R22" s="186">
        <f t="shared" si="93"/>
        <v>565.7286386618257</v>
      </c>
      <c r="S22" s="186">
        <f t="shared" si="93"/>
        <v>325.71174469993764</v>
      </c>
      <c r="T22" s="186">
        <f t="shared" si="93"/>
        <v>361.01415750256149</v>
      </c>
      <c r="U22" s="186">
        <f t="shared" si="93"/>
        <v>686.95555644051285</v>
      </c>
      <c r="V22" s="186">
        <f t="shared" ref="V22:X22" si="94">SUM(V18:V21)</f>
        <v>399.98015987569227</v>
      </c>
      <c r="W22" s="186">
        <f t="shared" si="94"/>
        <v>433.25576326861608</v>
      </c>
      <c r="X22" s="186">
        <f t="shared" si="94"/>
        <v>833.68109905184247</v>
      </c>
      <c r="Y22" s="186">
        <f t="shared" ref="Y22:Z22" si="95">SUM(Y18:Y21)</f>
        <v>477.85839204238044</v>
      </c>
      <c r="Z22" s="186">
        <f t="shared" si="95"/>
        <v>518.13324216046249</v>
      </c>
      <c r="AA22" s="186">
        <f>SUM(AA18:AA21)</f>
        <v>996.45906890575384</v>
      </c>
      <c r="AB22" s="186">
        <f t="shared" ref="AB22:AP22" si="96">SUM(AB18:AB21)</f>
        <v>558.32734693057773</v>
      </c>
      <c r="AC22" s="186">
        <f t="shared" si="96"/>
        <v>606.44022039940933</v>
      </c>
      <c r="AD22" s="186">
        <f t="shared" si="96"/>
        <v>1165.2583737680438</v>
      </c>
      <c r="AE22" s="186">
        <f t="shared" si="96"/>
        <v>642.5724763421706</v>
      </c>
      <c r="AF22" s="186">
        <f t="shared" si="96"/>
        <v>695.54538901888225</v>
      </c>
      <c r="AG22" s="186">
        <f t="shared" si="96"/>
        <v>1338.6332121210121</v>
      </c>
      <c r="AH22" s="186">
        <f t="shared" si="96"/>
        <v>733.92781237057716</v>
      </c>
      <c r="AI22" s="186">
        <f t="shared" si="96"/>
        <v>792.13232880420685</v>
      </c>
      <c r="AJ22" s="186">
        <f t="shared" si="96"/>
        <v>1526.6012552727416</v>
      </c>
      <c r="AK22" s="186">
        <f t="shared" si="96"/>
        <v>832.89087860652376</v>
      </c>
      <c r="AL22" s="186">
        <f t="shared" si="96"/>
        <v>896.72283195825662</v>
      </c>
      <c r="AM22" s="186">
        <f t="shared" si="96"/>
        <v>1730.1818803676356</v>
      </c>
      <c r="AN22" s="186">
        <f t="shared" si="96"/>
        <v>920.27334191251089</v>
      </c>
      <c r="AO22" s="186">
        <f t="shared" si="96"/>
        <v>985.05133538135374</v>
      </c>
      <c r="AP22" s="186">
        <f t="shared" si="96"/>
        <v>1905.9212555868626</v>
      </c>
      <c r="AQ22" s="186">
        <f t="shared" ref="AQ22:AS22" si="97">SUM(AQ18:AQ21)</f>
        <v>1004.7465584686798</v>
      </c>
      <c r="AR22" s="186">
        <f t="shared" si="97"/>
        <v>1073.9912310874618</v>
      </c>
      <c r="AS22" s="186">
        <f t="shared" si="97"/>
        <v>2079.3641967637896</v>
      </c>
      <c r="AT22" s="186">
        <f t="shared" ref="AT22:AV22" si="98">SUM(AT18:AT21)</f>
        <v>1092.9008156659304</v>
      </c>
      <c r="AU22" s="186">
        <f t="shared" si="98"/>
        <v>1166.7866544267977</v>
      </c>
      <c r="AV22" s="186">
        <f t="shared" si="98"/>
        <v>2260.3451976607585</v>
      </c>
    </row>
    <row r="23" spans="1:58" outlineLevel="1" x14ac:dyDescent="0.25">
      <c r="F23" s="58"/>
      <c r="G23" s="58"/>
      <c r="H23" s="58"/>
      <c r="I23" s="58"/>
      <c r="J23" s="58"/>
      <c r="K23" s="58"/>
      <c r="L23" s="348"/>
      <c r="M23" s="58"/>
      <c r="N23" s="58"/>
      <c r="O23" s="58"/>
      <c r="P23" s="58"/>
      <c r="Q23" s="58"/>
      <c r="R23" s="58"/>
      <c r="S23" s="58"/>
      <c r="T23" s="58"/>
      <c r="U23" s="222">
        <f>+(U18/L18)^(1/3)-1</f>
        <v>0.26385276501640065</v>
      </c>
      <c r="V23" s="58"/>
      <c r="Y23" s="58"/>
      <c r="AB23" s="58"/>
      <c r="AE23" s="58"/>
      <c r="AH23" s="58"/>
      <c r="AK23" s="58"/>
      <c r="AN23" s="58"/>
      <c r="AQ23" s="58"/>
      <c r="AT23" s="58"/>
    </row>
    <row r="24" spans="1:58" outlineLevel="1" x14ac:dyDescent="0.25">
      <c r="B24" s="8" t="s">
        <v>98</v>
      </c>
      <c r="C24" s="10" t="s">
        <v>28</v>
      </c>
      <c r="F24" s="184">
        <v>171.8</v>
      </c>
      <c r="G24" s="184">
        <v>121.2</v>
      </c>
      <c r="H24" s="182">
        <f>+I24-G24</f>
        <v>137.80000000000001</v>
      </c>
      <c r="I24" s="184">
        <v>259</v>
      </c>
      <c r="J24" s="184">
        <v>167.5</v>
      </c>
      <c r="K24" s="182">
        <f>+L24-J24</f>
        <v>174.7</v>
      </c>
      <c r="L24" s="343">
        <v>342.2</v>
      </c>
      <c r="M24" s="439">
        <v>212.4</v>
      </c>
      <c r="N24" s="182">
        <f>O24-M24</f>
        <v>223.58200000000002</v>
      </c>
      <c r="O24" s="184">
        <v>435.98200000000003</v>
      </c>
      <c r="P24" s="183"/>
      <c r="Q24" s="183"/>
      <c r="R24" s="183"/>
      <c r="S24" s="183"/>
      <c r="T24" s="183"/>
      <c r="U24" s="183"/>
      <c r="V24" s="183"/>
      <c r="W24" s="160"/>
      <c r="X24" s="160"/>
      <c r="Y24" s="183"/>
      <c r="Z24" s="160"/>
      <c r="AA24" s="160"/>
      <c r="AB24" s="183"/>
      <c r="AC24" s="160"/>
      <c r="AD24" s="160"/>
      <c r="AE24" s="183"/>
      <c r="AF24" s="160"/>
      <c r="AG24" s="160"/>
      <c r="AH24" s="183"/>
      <c r="AI24" s="160"/>
      <c r="AJ24" s="160"/>
      <c r="AK24" s="183"/>
      <c r="AL24" s="160"/>
      <c r="AM24" s="160"/>
      <c r="AN24" s="183"/>
      <c r="AO24" s="160"/>
      <c r="AP24" s="160"/>
      <c r="AQ24" s="183"/>
      <c r="AR24" s="160"/>
      <c r="AS24" s="160"/>
      <c r="AT24" s="183"/>
      <c r="AU24" s="160"/>
      <c r="AV24" s="160"/>
    </row>
    <row r="25" spans="1:58" outlineLevel="1" x14ac:dyDescent="0.25">
      <c r="M25" s="8"/>
    </row>
    <row r="26" spans="1:58" outlineLevel="1" x14ac:dyDescent="0.25">
      <c r="M26" s="8"/>
    </row>
    <row r="27" spans="1:58" ht="15.75" x14ac:dyDescent="0.25">
      <c r="A27" s="49" t="s">
        <v>23</v>
      </c>
      <c r="B27" s="50" t="s">
        <v>87</v>
      </c>
      <c r="C27" s="2"/>
      <c r="D27" s="2"/>
      <c r="E27" s="2"/>
      <c r="F27" s="2"/>
      <c r="G27" s="1"/>
      <c r="H27" s="1"/>
      <c r="I27" s="1"/>
      <c r="J27" s="1"/>
      <c r="K27" s="1"/>
      <c r="L27" s="305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</row>
    <row r="28" spans="1:58" outlineLevel="1" x14ac:dyDescent="0.25">
      <c r="M28" s="8"/>
    </row>
    <row r="29" spans="1:58" outlineLevel="1" x14ac:dyDescent="0.25">
      <c r="B29" s="8" t="s">
        <v>522</v>
      </c>
      <c r="M29" s="8"/>
    </row>
    <row r="30" spans="1:58" outlineLevel="1" x14ac:dyDescent="0.25">
      <c r="B30" s="8" t="s">
        <v>40</v>
      </c>
      <c r="C30" s="22" t="s">
        <v>274</v>
      </c>
      <c r="G30" s="21">
        <f>+F33</f>
        <v>150</v>
      </c>
      <c r="H30" s="21">
        <f>+G33</f>
        <v>157</v>
      </c>
      <c r="I30" s="21">
        <f>+F33</f>
        <v>150</v>
      </c>
      <c r="J30" s="21">
        <f>+I33</f>
        <v>171</v>
      </c>
      <c r="K30" s="21">
        <f>+J33</f>
        <v>183</v>
      </c>
      <c r="L30" s="308">
        <f>+I33</f>
        <v>171</v>
      </c>
      <c r="M30" s="267">
        <f>+L33</f>
        <v>194</v>
      </c>
      <c r="N30" s="21">
        <f>+M33</f>
        <v>210</v>
      </c>
      <c r="O30" s="308">
        <f>+L33</f>
        <v>194</v>
      </c>
      <c r="P30" s="21">
        <f>+O33</f>
        <v>224</v>
      </c>
      <c r="Q30" s="21">
        <f>+P33</f>
        <v>236</v>
      </c>
      <c r="R30" s="21">
        <f>+O33</f>
        <v>224</v>
      </c>
      <c r="S30" s="21">
        <f>+R33</f>
        <v>256</v>
      </c>
      <c r="T30" s="21">
        <f>+S33</f>
        <v>273.5</v>
      </c>
      <c r="U30" s="21">
        <f>+R33</f>
        <v>256</v>
      </c>
      <c r="V30" s="21">
        <f>+U33</f>
        <v>291</v>
      </c>
      <c r="W30" s="21">
        <f>+V33</f>
        <v>311</v>
      </c>
      <c r="X30" s="21">
        <f>+U33</f>
        <v>291</v>
      </c>
      <c r="Y30" s="21">
        <f>+X33</f>
        <v>331</v>
      </c>
      <c r="Z30" s="21">
        <f>+Y33</f>
        <v>351</v>
      </c>
      <c r="AA30" s="21">
        <f>+X33</f>
        <v>331</v>
      </c>
      <c r="AB30" s="21">
        <f t="shared" ref="AB30:AC30" si="99">+AA33</f>
        <v>371</v>
      </c>
      <c r="AC30" s="21">
        <f t="shared" si="99"/>
        <v>388.5</v>
      </c>
      <c r="AD30" s="21">
        <f t="shared" ref="AD30" si="100">+AA33</f>
        <v>371</v>
      </c>
      <c r="AE30" s="21">
        <f t="shared" ref="AE30:AF30" si="101">+AD33</f>
        <v>406</v>
      </c>
      <c r="AF30" s="21">
        <f t="shared" si="101"/>
        <v>423.5</v>
      </c>
      <c r="AG30" s="21">
        <f t="shared" ref="AG30" si="102">+AD33</f>
        <v>406</v>
      </c>
      <c r="AH30" s="21">
        <f t="shared" ref="AH30:AI30" si="103">+AG33</f>
        <v>441</v>
      </c>
      <c r="AI30" s="21">
        <f t="shared" si="103"/>
        <v>458.5</v>
      </c>
      <c r="AJ30" s="21">
        <f t="shared" ref="AJ30" si="104">+AG33</f>
        <v>441</v>
      </c>
      <c r="AK30" s="21">
        <f t="shared" ref="AK30:AL30" si="105">+AJ33</f>
        <v>476</v>
      </c>
      <c r="AL30" s="21">
        <f t="shared" si="105"/>
        <v>493.5</v>
      </c>
      <c r="AM30" s="21">
        <f t="shared" ref="AM30" si="106">+AJ33</f>
        <v>476</v>
      </c>
      <c r="AN30" s="21">
        <f t="shared" ref="AN30:AO30" si="107">+AM33</f>
        <v>511</v>
      </c>
      <c r="AO30" s="21">
        <f t="shared" si="107"/>
        <v>526</v>
      </c>
      <c r="AP30" s="21">
        <f t="shared" ref="AP30" si="108">+AM33</f>
        <v>511</v>
      </c>
      <c r="AQ30" s="21">
        <f t="shared" ref="AQ30:AR30" si="109">+AP33</f>
        <v>541</v>
      </c>
      <c r="AR30" s="21">
        <f t="shared" si="109"/>
        <v>556</v>
      </c>
      <c r="AS30" s="21">
        <f>+AP33</f>
        <v>541</v>
      </c>
      <c r="AT30" s="21">
        <f t="shared" ref="AT30" si="110">+AS33</f>
        <v>571</v>
      </c>
      <c r="AU30" s="21">
        <f t="shared" ref="AU30" si="111">+AT33</f>
        <v>586</v>
      </c>
      <c r="AV30" s="21">
        <f t="shared" ref="AV30" si="112">+AS33</f>
        <v>571</v>
      </c>
    </row>
    <row r="31" spans="1:58" outlineLevel="1" x14ac:dyDescent="0.25">
      <c r="B31" s="25" t="s">
        <v>35</v>
      </c>
      <c r="C31" s="22" t="s">
        <v>274</v>
      </c>
      <c r="G31" s="21">
        <v>0</v>
      </c>
      <c r="H31" s="21">
        <v>0</v>
      </c>
      <c r="I31" s="21">
        <f>+I61</f>
        <v>0</v>
      </c>
      <c r="J31" s="21">
        <f t="shared" ref="J31:U31" si="113">+J61</f>
        <v>0</v>
      </c>
      <c r="K31" s="21">
        <f t="shared" si="113"/>
        <v>0</v>
      </c>
      <c r="L31" s="308">
        <f t="shared" si="113"/>
        <v>0</v>
      </c>
      <c r="M31" s="267">
        <f t="shared" si="113"/>
        <v>0</v>
      </c>
      <c r="N31" s="21">
        <f t="shared" ref="N31:O31" si="114">+N61</f>
        <v>0</v>
      </c>
      <c r="O31" s="308">
        <f t="shared" si="114"/>
        <v>0</v>
      </c>
      <c r="P31" s="21">
        <f t="shared" si="113"/>
        <v>0</v>
      </c>
      <c r="Q31" s="21">
        <f t="shared" si="113"/>
        <v>0</v>
      </c>
      <c r="R31" s="21">
        <f t="shared" si="113"/>
        <v>0</v>
      </c>
      <c r="S31" s="21">
        <f t="shared" si="113"/>
        <v>0</v>
      </c>
      <c r="T31" s="21">
        <f t="shared" si="113"/>
        <v>0</v>
      </c>
      <c r="U31" s="21">
        <f t="shared" si="113"/>
        <v>0</v>
      </c>
      <c r="V31" s="21">
        <f t="shared" ref="V31:AA31" si="115">+V61</f>
        <v>0</v>
      </c>
      <c r="W31" s="21">
        <f t="shared" si="115"/>
        <v>0</v>
      </c>
      <c r="X31" s="21">
        <f t="shared" si="115"/>
        <v>0</v>
      </c>
      <c r="Y31" s="21">
        <f t="shared" si="115"/>
        <v>0</v>
      </c>
      <c r="Z31" s="21">
        <f t="shared" si="115"/>
        <v>0</v>
      </c>
      <c r="AA31" s="21">
        <f t="shared" si="115"/>
        <v>0</v>
      </c>
      <c r="AB31" s="21">
        <f t="shared" ref="AB31:AP31" si="116">+AB61</f>
        <v>0</v>
      </c>
      <c r="AC31" s="21">
        <f t="shared" si="116"/>
        <v>0</v>
      </c>
      <c r="AD31" s="21">
        <f t="shared" si="116"/>
        <v>0</v>
      </c>
      <c r="AE31" s="21">
        <f t="shared" si="116"/>
        <v>0</v>
      </c>
      <c r="AF31" s="21">
        <f t="shared" si="116"/>
        <v>0</v>
      </c>
      <c r="AG31" s="21">
        <f t="shared" si="116"/>
        <v>0</v>
      </c>
      <c r="AH31" s="21">
        <f t="shared" si="116"/>
        <v>0</v>
      </c>
      <c r="AI31" s="21">
        <f t="shared" si="116"/>
        <v>0</v>
      </c>
      <c r="AJ31" s="21">
        <f t="shared" si="116"/>
        <v>0</v>
      </c>
      <c r="AK31" s="21">
        <f t="shared" si="116"/>
        <v>0</v>
      </c>
      <c r="AL31" s="21">
        <f t="shared" si="116"/>
        <v>0</v>
      </c>
      <c r="AM31" s="21">
        <f t="shared" si="116"/>
        <v>0</v>
      </c>
      <c r="AN31" s="21">
        <f t="shared" si="116"/>
        <v>0</v>
      </c>
      <c r="AO31" s="21">
        <f t="shared" si="116"/>
        <v>0</v>
      </c>
      <c r="AP31" s="21">
        <f t="shared" si="116"/>
        <v>0</v>
      </c>
      <c r="AQ31" s="21">
        <f t="shared" ref="AQ31:AS31" si="117">+AQ61</f>
        <v>0</v>
      </c>
      <c r="AR31" s="21">
        <f t="shared" si="117"/>
        <v>0</v>
      </c>
      <c r="AS31" s="21">
        <f t="shared" si="117"/>
        <v>0</v>
      </c>
      <c r="AT31" s="21">
        <f t="shared" ref="AT31:AV31" si="118">+AT61</f>
        <v>0</v>
      </c>
      <c r="AU31" s="21">
        <f t="shared" si="118"/>
        <v>0</v>
      </c>
      <c r="AV31" s="21">
        <f t="shared" si="118"/>
        <v>0</v>
      </c>
    </row>
    <row r="32" spans="1:58" outlineLevel="1" x14ac:dyDescent="0.25">
      <c r="A32" t="s">
        <v>556</v>
      </c>
      <c r="B32" s="8" t="s">
        <v>36</v>
      </c>
      <c r="C32" s="22" t="s">
        <v>274</v>
      </c>
      <c r="G32" s="21">
        <v>7</v>
      </c>
      <c r="H32" s="21">
        <v>14</v>
      </c>
      <c r="I32" s="21">
        <f>+I62+I83</f>
        <v>21</v>
      </c>
      <c r="J32" s="21">
        <f t="shared" ref="J32:X32" si="119">+J62+J83</f>
        <v>12</v>
      </c>
      <c r="K32" s="21">
        <f t="shared" si="119"/>
        <v>11</v>
      </c>
      <c r="L32" s="308">
        <f>+L62+L83</f>
        <v>23</v>
      </c>
      <c r="M32" s="267">
        <f>+M62+M83</f>
        <v>16</v>
      </c>
      <c r="N32" s="21">
        <f t="shared" ref="N32" si="120">+N62+N83</f>
        <v>14</v>
      </c>
      <c r="O32" s="308">
        <f>+O62+O83</f>
        <v>30</v>
      </c>
      <c r="P32" s="21">
        <f>+P62+P83</f>
        <v>12</v>
      </c>
      <c r="Q32" s="21">
        <f t="shared" si="119"/>
        <v>20</v>
      </c>
      <c r="R32" s="21">
        <f>+R62+R83</f>
        <v>32</v>
      </c>
      <c r="S32" s="21">
        <f t="shared" si="119"/>
        <v>17.5</v>
      </c>
      <c r="T32" s="21">
        <f t="shared" si="119"/>
        <v>17.5</v>
      </c>
      <c r="U32" s="21">
        <f>+U62+U83</f>
        <v>35</v>
      </c>
      <c r="V32" s="21">
        <f t="shared" si="119"/>
        <v>20</v>
      </c>
      <c r="W32" s="21">
        <f t="shared" si="119"/>
        <v>20</v>
      </c>
      <c r="X32" s="21">
        <f t="shared" si="119"/>
        <v>40</v>
      </c>
      <c r="Y32" s="21">
        <f t="shared" ref="Y32:AA32" si="121">+Y62+Y83</f>
        <v>20</v>
      </c>
      <c r="Z32" s="21">
        <f t="shared" si="121"/>
        <v>20</v>
      </c>
      <c r="AA32" s="21">
        <f t="shared" si="121"/>
        <v>40</v>
      </c>
      <c r="AB32" s="21">
        <f t="shared" ref="AB32:AP32" si="122">+AB62+AB83</f>
        <v>17.5</v>
      </c>
      <c r="AC32" s="21">
        <f t="shared" si="122"/>
        <v>17.5</v>
      </c>
      <c r="AD32" s="21">
        <f t="shared" si="122"/>
        <v>35</v>
      </c>
      <c r="AE32" s="21">
        <f t="shared" si="122"/>
        <v>17.5</v>
      </c>
      <c r="AF32" s="21">
        <f t="shared" si="122"/>
        <v>17.5</v>
      </c>
      <c r="AG32" s="21">
        <f t="shared" si="122"/>
        <v>35</v>
      </c>
      <c r="AH32" s="21">
        <f t="shared" si="122"/>
        <v>17.5</v>
      </c>
      <c r="AI32" s="21">
        <f t="shared" si="122"/>
        <v>17.5</v>
      </c>
      <c r="AJ32" s="21">
        <f t="shared" si="122"/>
        <v>35</v>
      </c>
      <c r="AK32" s="21">
        <f t="shared" si="122"/>
        <v>17.5</v>
      </c>
      <c r="AL32" s="21">
        <f t="shared" si="122"/>
        <v>17.5</v>
      </c>
      <c r="AM32" s="21">
        <f t="shared" si="122"/>
        <v>35</v>
      </c>
      <c r="AN32" s="21">
        <f t="shared" si="122"/>
        <v>15</v>
      </c>
      <c r="AO32" s="21">
        <f t="shared" si="122"/>
        <v>15</v>
      </c>
      <c r="AP32" s="21">
        <f t="shared" si="122"/>
        <v>30</v>
      </c>
      <c r="AQ32" s="21">
        <f t="shared" ref="AQ32:AS32" si="123">+AQ62+AQ83</f>
        <v>15</v>
      </c>
      <c r="AR32" s="21">
        <f t="shared" si="123"/>
        <v>15</v>
      </c>
      <c r="AS32" s="21">
        <f t="shared" si="123"/>
        <v>30</v>
      </c>
      <c r="AT32" s="21">
        <f t="shared" ref="AT32:AV32" si="124">+AT62+AT83</f>
        <v>15</v>
      </c>
      <c r="AU32" s="21">
        <f t="shared" si="124"/>
        <v>15</v>
      </c>
      <c r="AV32" s="21">
        <f t="shared" si="124"/>
        <v>30</v>
      </c>
    </row>
    <row r="33" spans="1:61" outlineLevel="1" x14ac:dyDescent="0.25">
      <c r="A33" t="s">
        <v>451</v>
      </c>
      <c r="B33" s="12" t="s">
        <v>37</v>
      </c>
      <c r="C33" s="22" t="s">
        <v>274</v>
      </c>
      <c r="F33" s="20">
        <f>+F63+F84</f>
        <v>150</v>
      </c>
      <c r="G33" s="21">
        <f>+G63+G84</f>
        <v>157</v>
      </c>
      <c r="H33" s="21">
        <f>+H63+H84</f>
        <v>171</v>
      </c>
      <c r="I33" s="21">
        <f>+I63+I84</f>
        <v>171</v>
      </c>
      <c r="J33" s="21">
        <f>+J63+J84</f>
        <v>183</v>
      </c>
      <c r="K33" s="21">
        <f>+K30+K31+K32</f>
        <v>194</v>
      </c>
      <c r="L33" s="308">
        <f t="shared" ref="L33:U33" si="125">+L30+L31+L32</f>
        <v>194</v>
      </c>
      <c r="M33" s="267">
        <f>+M30+M31+M32</f>
        <v>210</v>
      </c>
      <c r="N33" s="21">
        <f>+N30+N31+N32</f>
        <v>224</v>
      </c>
      <c r="O33" s="308">
        <f t="shared" ref="O33" si="126">+O30+O31+O32</f>
        <v>224</v>
      </c>
      <c r="P33" s="21">
        <f t="shared" si="125"/>
        <v>236</v>
      </c>
      <c r="Q33" s="21">
        <f t="shared" si="125"/>
        <v>256</v>
      </c>
      <c r="R33" s="21">
        <f t="shared" si="125"/>
        <v>256</v>
      </c>
      <c r="S33" s="21">
        <f t="shared" si="125"/>
        <v>273.5</v>
      </c>
      <c r="T33" s="21">
        <f t="shared" si="125"/>
        <v>291</v>
      </c>
      <c r="U33" s="21">
        <f t="shared" si="125"/>
        <v>291</v>
      </c>
      <c r="V33" s="21">
        <f t="shared" ref="V33:AA33" si="127">+V30+V31+V32</f>
        <v>311</v>
      </c>
      <c r="W33" s="21">
        <f t="shared" si="127"/>
        <v>331</v>
      </c>
      <c r="X33" s="21">
        <f t="shared" si="127"/>
        <v>331</v>
      </c>
      <c r="Y33" s="21">
        <f t="shared" si="127"/>
        <v>351</v>
      </c>
      <c r="Z33" s="21">
        <f t="shared" si="127"/>
        <v>371</v>
      </c>
      <c r="AA33" s="21">
        <f t="shared" si="127"/>
        <v>371</v>
      </c>
      <c r="AB33" s="21">
        <f t="shared" ref="AB33:AP33" si="128">+AB30+AB31+AB32</f>
        <v>388.5</v>
      </c>
      <c r="AC33" s="21">
        <f t="shared" si="128"/>
        <v>406</v>
      </c>
      <c r="AD33" s="21">
        <f t="shared" si="128"/>
        <v>406</v>
      </c>
      <c r="AE33" s="21">
        <f t="shared" si="128"/>
        <v>423.5</v>
      </c>
      <c r="AF33" s="21">
        <f t="shared" si="128"/>
        <v>441</v>
      </c>
      <c r="AG33" s="21">
        <f t="shared" si="128"/>
        <v>441</v>
      </c>
      <c r="AH33" s="21">
        <f t="shared" si="128"/>
        <v>458.5</v>
      </c>
      <c r="AI33" s="21">
        <f t="shared" si="128"/>
        <v>476</v>
      </c>
      <c r="AJ33" s="21">
        <f t="shared" si="128"/>
        <v>476</v>
      </c>
      <c r="AK33" s="21">
        <f t="shared" si="128"/>
        <v>493.5</v>
      </c>
      <c r="AL33" s="21">
        <f t="shared" si="128"/>
        <v>511</v>
      </c>
      <c r="AM33" s="21">
        <f t="shared" si="128"/>
        <v>511</v>
      </c>
      <c r="AN33" s="21">
        <f t="shared" si="128"/>
        <v>526</v>
      </c>
      <c r="AO33" s="21">
        <f t="shared" si="128"/>
        <v>541</v>
      </c>
      <c r="AP33" s="21">
        <f t="shared" si="128"/>
        <v>541</v>
      </c>
      <c r="AQ33" s="21">
        <f t="shared" ref="AQ33:AS33" si="129">+AQ30+AQ31+AQ32</f>
        <v>556</v>
      </c>
      <c r="AR33" s="21">
        <f t="shared" si="129"/>
        <v>571</v>
      </c>
      <c r="AS33" s="21">
        <f t="shared" si="129"/>
        <v>571</v>
      </c>
      <c r="AT33" s="21">
        <f t="shared" ref="AT33:AV33" si="130">+AT30+AT31+AT32</f>
        <v>586</v>
      </c>
      <c r="AU33" s="21">
        <f t="shared" si="130"/>
        <v>601</v>
      </c>
      <c r="AV33" s="21">
        <f t="shared" si="130"/>
        <v>601</v>
      </c>
      <c r="BF33" s="91">
        <f>(AD33/O33)^(1/5)-1</f>
        <v>0.12630393921616268</v>
      </c>
      <c r="BI33">
        <f>704/305-1</f>
        <v>1.3081967213114756</v>
      </c>
    </row>
    <row r="34" spans="1:61" outlineLevel="1" x14ac:dyDescent="0.25">
      <c r="A34" t="s">
        <v>462</v>
      </c>
      <c r="B34" s="8" t="s">
        <v>461</v>
      </c>
      <c r="C34" s="22" t="s">
        <v>29</v>
      </c>
      <c r="F34" s="20"/>
      <c r="G34" s="20"/>
      <c r="H34" s="20"/>
      <c r="I34" s="14">
        <f>+I33/F33-1</f>
        <v>0.1399999999999999</v>
      </c>
      <c r="J34" s="254">
        <f t="shared" ref="J34:AA34" si="131">+J33/G33-1</f>
        <v>0.16560509554140124</v>
      </c>
      <c r="K34" s="28">
        <f t="shared" si="131"/>
        <v>0.13450292397660824</v>
      </c>
      <c r="L34" s="310">
        <f t="shared" si="131"/>
        <v>0.13450292397660824</v>
      </c>
      <c r="M34" s="328">
        <f t="shared" si="131"/>
        <v>0.14754098360655732</v>
      </c>
      <c r="N34" s="28">
        <f t="shared" ref="N34" si="132">+N33/K33-1</f>
        <v>0.15463917525773185</v>
      </c>
      <c r="O34" s="310">
        <f>+O33/L33-1</f>
        <v>0.15463917525773185</v>
      </c>
      <c r="P34" s="14">
        <f t="shared" si="131"/>
        <v>0.12380952380952381</v>
      </c>
      <c r="Q34" s="14">
        <f t="shared" si="131"/>
        <v>0.14285714285714279</v>
      </c>
      <c r="R34" s="14">
        <f t="shared" si="131"/>
        <v>0.14285714285714279</v>
      </c>
      <c r="S34" s="14">
        <f t="shared" si="131"/>
        <v>0.15889830508474567</v>
      </c>
      <c r="T34" s="14">
        <f t="shared" si="131"/>
        <v>0.13671875</v>
      </c>
      <c r="U34" s="14">
        <f t="shared" si="131"/>
        <v>0.13671875</v>
      </c>
      <c r="V34" s="14">
        <f t="shared" si="131"/>
        <v>0.13711151736745886</v>
      </c>
      <c r="W34" s="14">
        <f t="shared" si="131"/>
        <v>0.13745704467353947</v>
      </c>
      <c r="X34" s="14">
        <f t="shared" si="131"/>
        <v>0.13745704467353947</v>
      </c>
      <c r="Y34" s="14">
        <f t="shared" si="131"/>
        <v>0.12861736334405149</v>
      </c>
      <c r="Z34" s="14">
        <f t="shared" si="131"/>
        <v>0.12084592145015116</v>
      </c>
      <c r="AA34" s="14">
        <f t="shared" si="131"/>
        <v>0.12084592145015116</v>
      </c>
      <c r="AB34" s="14">
        <f t="shared" ref="AB34" si="133">+AB33/Y33-1</f>
        <v>0.1068376068376069</v>
      </c>
      <c r="AC34" s="14">
        <f t="shared" ref="AC34" si="134">+AC33/Z33-1</f>
        <v>9.4339622641509413E-2</v>
      </c>
      <c r="AD34" s="14">
        <f t="shared" ref="AD34" si="135">+AD33/AA33-1</f>
        <v>9.4339622641509413E-2</v>
      </c>
      <c r="AE34" s="14">
        <f t="shared" ref="AE34" si="136">+AE33/AB33-1</f>
        <v>9.0090090090090058E-2</v>
      </c>
      <c r="AF34" s="14">
        <f t="shared" ref="AF34" si="137">+AF33/AC33-1</f>
        <v>8.6206896551724199E-2</v>
      </c>
      <c r="AG34" s="14">
        <f t="shared" ref="AG34" si="138">+AG33/AD33-1</f>
        <v>8.6206896551724199E-2</v>
      </c>
      <c r="AH34" s="14">
        <f t="shared" ref="AH34" si="139">+AH33/AE33-1</f>
        <v>8.2644628099173501E-2</v>
      </c>
      <c r="AI34" s="14">
        <f t="shared" ref="AI34" si="140">+AI33/AF33-1</f>
        <v>7.9365079365079305E-2</v>
      </c>
      <c r="AJ34" s="14">
        <f t="shared" ref="AJ34" si="141">+AJ33/AG33-1</f>
        <v>7.9365079365079305E-2</v>
      </c>
      <c r="AK34" s="14">
        <f t="shared" ref="AK34" si="142">+AK33/AH33-1</f>
        <v>7.6335877862595325E-2</v>
      </c>
      <c r="AL34" s="14">
        <f t="shared" ref="AL34" si="143">+AL33/AI33-1</f>
        <v>7.3529411764705843E-2</v>
      </c>
      <c r="AM34" s="14">
        <f t="shared" ref="AM34" si="144">+AM33/AJ33-1</f>
        <v>7.3529411764705843E-2</v>
      </c>
      <c r="AN34" s="14">
        <f t="shared" ref="AN34" si="145">+AN33/AK33-1</f>
        <v>6.5856129685917031E-2</v>
      </c>
      <c r="AO34" s="14">
        <f t="shared" ref="AO34" si="146">+AO33/AL33-1</f>
        <v>5.8708414872798542E-2</v>
      </c>
      <c r="AP34" s="14">
        <f t="shared" ref="AP34" si="147">+AP33/AM33-1</f>
        <v>5.8708414872798542E-2</v>
      </c>
      <c r="AQ34" s="14">
        <f t="shared" ref="AQ34" si="148">+AQ33/AN33-1</f>
        <v>5.7034220532319324E-2</v>
      </c>
      <c r="AR34" s="14">
        <f t="shared" ref="AR34" si="149">+AR33/AO33-1</f>
        <v>5.5452865064695045E-2</v>
      </c>
      <c r="AS34" s="14">
        <f t="shared" ref="AS34" si="150">+AS33/AP33-1</f>
        <v>5.5452865064695045E-2</v>
      </c>
      <c r="AT34" s="14">
        <f t="shared" ref="AT34" si="151">+AT33/AQ33-1</f>
        <v>5.3956834532374209E-2</v>
      </c>
      <c r="AU34" s="14">
        <f t="shared" ref="AU34" si="152">+AU33/AR33-1</f>
        <v>5.2539404553415103E-2</v>
      </c>
      <c r="AV34" s="14">
        <f t="shared" ref="AV34" si="153">+AV33/AS33-1</f>
        <v>5.2539404553415103E-2</v>
      </c>
    </row>
    <row r="35" spans="1:61" outlineLevel="1" x14ac:dyDescent="0.25">
      <c r="B35" s="8" t="s">
        <v>38</v>
      </c>
      <c r="C35" s="22" t="s">
        <v>274</v>
      </c>
      <c r="G35" s="21">
        <f>(G33+F33)/2</f>
        <v>153.5</v>
      </c>
      <c r="H35" s="21">
        <f>(H33+G33)/2</f>
        <v>164</v>
      </c>
      <c r="I35" s="21">
        <f>+(I33+F33)/2</f>
        <v>160.5</v>
      </c>
      <c r="J35" s="21">
        <f>(J33+I33)/2</f>
        <v>177</v>
      </c>
      <c r="K35" s="21">
        <f>(K33+J33)/2</f>
        <v>188.5</v>
      </c>
      <c r="L35" s="308">
        <f>+(L33+I33)/2</f>
        <v>182.5</v>
      </c>
      <c r="M35" s="267">
        <f>(M33+K33)/2</f>
        <v>202</v>
      </c>
      <c r="N35" s="21">
        <f>(N33+M33)/2</f>
        <v>217</v>
      </c>
      <c r="O35" s="308">
        <f>+(O33+L33)/2</f>
        <v>209</v>
      </c>
      <c r="P35" s="21">
        <f>(P33+N33)/2</f>
        <v>230</v>
      </c>
      <c r="Q35" s="21">
        <f>(Q33+P33)/2</f>
        <v>246</v>
      </c>
      <c r="R35" s="21">
        <f>+(R33+O33)/2</f>
        <v>240</v>
      </c>
      <c r="S35" s="21">
        <f t="shared" ref="S35" si="154">(S33+Q33)/2</f>
        <v>264.75</v>
      </c>
      <c r="T35" s="21">
        <f t="shared" ref="T35" si="155">(T33+S33)/2</f>
        <v>282.25</v>
      </c>
      <c r="U35" s="21">
        <f t="shared" ref="U35" si="156">+(U33+R33)/2</f>
        <v>273.5</v>
      </c>
      <c r="V35" s="21">
        <f t="shared" ref="V35" si="157">(V33+T33)/2</f>
        <v>301</v>
      </c>
      <c r="W35" s="21">
        <f t="shared" ref="W35" si="158">(W33+V33)/2</f>
        <v>321</v>
      </c>
      <c r="X35" s="21">
        <f t="shared" ref="X35" si="159">+(X33+U33)/2</f>
        <v>311</v>
      </c>
      <c r="Y35" s="21">
        <f>(Y33+W33)/2</f>
        <v>341</v>
      </c>
      <c r="Z35" s="21">
        <f>(Z33+Y33)/2</f>
        <v>361</v>
      </c>
      <c r="AA35" s="21">
        <f>+(AA33+X33)/2</f>
        <v>351</v>
      </c>
      <c r="AB35" s="21">
        <f t="shared" ref="AB35" si="160">(AB33+Z33)/2</f>
        <v>379.75</v>
      </c>
      <c r="AC35" s="21">
        <f t="shared" ref="AC35" si="161">(AC33+AB33)/2</f>
        <v>397.25</v>
      </c>
      <c r="AD35" s="21">
        <f t="shared" ref="AD35" si="162">+(AD33+AA33)/2</f>
        <v>388.5</v>
      </c>
      <c r="AE35" s="21">
        <f t="shared" ref="AE35" si="163">(AE33+AC33)/2</f>
        <v>414.75</v>
      </c>
      <c r="AF35" s="21">
        <f t="shared" ref="AF35" si="164">(AF33+AE33)/2</f>
        <v>432.25</v>
      </c>
      <c r="AG35" s="21">
        <f t="shared" ref="AG35" si="165">+(AG33+AD33)/2</f>
        <v>423.5</v>
      </c>
      <c r="AH35" s="21">
        <f t="shared" ref="AH35" si="166">(AH33+AF33)/2</f>
        <v>449.75</v>
      </c>
      <c r="AI35" s="21">
        <f t="shared" ref="AI35" si="167">(AI33+AH33)/2</f>
        <v>467.25</v>
      </c>
      <c r="AJ35" s="21">
        <f t="shared" ref="AJ35" si="168">+(AJ33+AG33)/2</f>
        <v>458.5</v>
      </c>
      <c r="AK35" s="21">
        <f t="shared" ref="AK35" si="169">(AK33+AI33)/2</f>
        <v>484.75</v>
      </c>
      <c r="AL35" s="21">
        <f t="shared" ref="AL35" si="170">(AL33+AK33)/2</f>
        <v>502.25</v>
      </c>
      <c r="AM35" s="21">
        <f t="shared" ref="AM35" si="171">+(AM33+AJ33)/2</f>
        <v>493.5</v>
      </c>
      <c r="AN35" s="21">
        <f t="shared" ref="AN35" si="172">(AN33+AL33)/2</f>
        <v>518.5</v>
      </c>
      <c r="AO35" s="21">
        <f t="shared" ref="AO35" si="173">(AO33+AN33)/2</f>
        <v>533.5</v>
      </c>
      <c r="AP35" s="21">
        <f t="shared" ref="AP35" si="174">+(AP33+AM33)/2</f>
        <v>526</v>
      </c>
      <c r="AQ35" s="21">
        <f t="shared" ref="AQ35" si="175">(AQ33+AO33)/2</f>
        <v>548.5</v>
      </c>
      <c r="AR35" s="21">
        <f t="shared" ref="AR35" si="176">(AR33+AQ33)/2</f>
        <v>563.5</v>
      </c>
      <c r="AS35" s="21">
        <f t="shared" ref="AS35" si="177">+(AS33+AP33)/2</f>
        <v>556</v>
      </c>
      <c r="AT35" s="21">
        <f t="shared" ref="AT35" si="178">(AT33+AR33)/2</f>
        <v>578.5</v>
      </c>
      <c r="AU35" s="21">
        <f t="shared" ref="AU35" si="179">(AU33+AT33)/2</f>
        <v>593.5</v>
      </c>
      <c r="AV35" s="21">
        <f t="shared" ref="AV35" si="180">+(AV33+AS33)/2</f>
        <v>586</v>
      </c>
    </row>
    <row r="36" spans="1:61" outlineLevel="1" x14ac:dyDescent="0.25">
      <c r="B36" s="8" t="s">
        <v>460</v>
      </c>
      <c r="C36" s="22" t="s">
        <v>29</v>
      </c>
      <c r="J36" s="254">
        <f>+J35/G35-1</f>
        <v>0.15309446254071668</v>
      </c>
      <c r="K36" s="28">
        <f>+K35/H35-1</f>
        <v>0.14939024390243905</v>
      </c>
      <c r="L36" s="310">
        <f>+L35/I35-1</f>
        <v>0.13707165109034269</v>
      </c>
      <c r="M36" s="328">
        <f>+M35/L35-1</f>
        <v>0.10684931506849304</v>
      </c>
      <c r="N36" s="28">
        <f>+N35/K35-1</f>
        <v>0.1511936339522546</v>
      </c>
      <c r="O36" s="310">
        <f>+O35/L35-1</f>
        <v>0.14520547945205475</v>
      </c>
      <c r="P36" s="14">
        <f>+P35/O35-1</f>
        <v>0.1004784688995215</v>
      </c>
      <c r="Q36" s="14">
        <f>+Q35/P35-1</f>
        <v>6.956521739130439E-2</v>
      </c>
      <c r="R36" s="14">
        <f>+R35/O35-1</f>
        <v>0.14832535885167464</v>
      </c>
      <c r="S36" s="14">
        <f>+S35/R35-1</f>
        <v>0.10312499999999991</v>
      </c>
      <c r="T36" s="14">
        <f>+T35/S35-1</f>
        <v>6.6100094428706235E-2</v>
      </c>
      <c r="U36" s="14">
        <f>+U35/R35-1</f>
        <v>0.13958333333333339</v>
      </c>
      <c r="V36" s="14">
        <f>+V35/U35-1</f>
        <v>0.10054844606946989</v>
      </c>
      <c r="W36" s="14">
        <f>+W35/V35-1</f>
        <v>6.6445182724252483E-2</v>
      </c>
      <c r="X36" s="14">
        <f>+X35/U35-1</f>
        <v>0.13711151736745886</v>
      </c>
      <c r="Y36" s="14">
        <f>+Y35/X35-1</f>
        <v>9.646302250803851E-2</v>
      </c>
      <c r="Z36" s="14">
        <f>+Z35/Y35-1</f>
        <v>5.8651026392961825E-2</v>
      </c>
      <c r="AA36" s="14">
        <f>+AA35/X35-1</f>
        <v>0.12861736334405149</v>
      </c>
      <c r="AB36" s="14">
        <f t="shared" ref="AB36:AC36" si="181">+AB35/AA35-1</f>
        <v>8.1908831908831914E-2</v>
      </c>
      <c r="AC36" s="14">
        <f t="shared" si="181"/>
        <v>4.6082949308755783E-2</v>
      </c>
      <c r="AD36" s="14">
        <f t="shared" ref="AD36" si="182">+AD35/AA35-1</f>
        <v>0.1068376068376069</v>
      </c>
      <c r="AE36" s="14">
        <f t="shared" ref="AE36:AF36" si="183">+AE35/AD35-1</f>
        <v>6.7567567567567544E-2</v>
      </c>
      <c r="AF36" s="14">
        <f t="shared" si="183"/>
        <v>4.2194092827004148E-2</v>
      </c>
      <c r="AG36" s="14">
        <f t="shared" ref="AG36" si="184">+AG35/AD35-1</f>
        <v>9.0090090090090058E-2</v>
      </c>
      <c r="AH36" s="14">
        <f t="shared" ref="AH36:AI36" si="185">+AH35/AG35-1</f>
        <v>6.198347107438007E-2</v>
      </c>
      <c r="AI36" s="14">
        <f t="shared" si="185"/>
        <v>3.8910505836575959E-2</v>
      </c>
      <c r="AJ36" s="14">
        <f t="shared" ref="AJ36" si="186">+AJ35/AG35-1</f>
        <v>8.2644628099173501E-2</v>
      </c>
      <c r="AK36" s="14">
        <f t="shared" ref="AK36:AL36" si="187">+AK35/AJ35-1</f>
        <v>5.7251908396946494E-2</v>
      </c>
      <c r="AL36" s="14">
        <f t="shared" si="187"/>
        <v>3.6101083032491044E-2</v>
      </c>
      <c r="AM36" s="14">
        <f t="shared" ref="AM36" si="188">+AM35/AJ35-1</f>
        <v>7.6335877862595325E-2</v>
      </c>
      <c r="AN36" s="14">
        <f t="shared" ref="AN36:AO36" si="189">+AN35/AM35-1</f>
        <v>5.0658561296859084E-2</v>
      </c>
      <c r="AO36" s="14">
        <f t="shared" si="189"/>
        <v>2.8929604628736838E-2</v>
      </c>
      <c r="AP36" s="14">
        <f t="shared" ref="AP36" si="190">+AP35/AM35-1</f>
        <v>6.5856129685917031E-2</v>
      </c>
      <c r="AQ36" s="14">
        <f t="shared" ref="AQ36" si="191">+AQ35/AP35-1</f>
        <v>4.2775665399239493E-2</v>
      </c>
      <c r="AR36" s="14">
        <f t="shared" ref="AR36" si="192">+AR35/AQ35-1</f>
        <v>2.7347310847766648E-2</v>
      </c>
      <c r="AS36" s="14">
        <f t="shared" ref="AS36" si="193">+AS35/AP35-1</f>
        <v>5.7034220532319324E-2</v>
      </c>
      <c r="AT36" s="14">
        <f t="shared" ref="AT36" si="194">+AT35/AS35-1</f>
        <v>4.0467625899280657E-2</v>
      </c>
      <c r="AU36" s="14">
        <f t="shared" ref="AU36" si="195">+AU35/AT35-1</f>
        <v>2.5929127052722656E-2</v>
      </c>
      <c r="AV36" s="14">
        <f t="shared" ref="AV36" si="196">+AV35/AS35-1</f>
        <v>5.3956834532374209E-2</v>
      </c>
    </row>
    <row r="37" spans="1:61" outlineLevel="1" x14ac:dyDescent="0.25">
      <c r="I37" s="20"/>
      <c r="L37" s="310"/>
      <c r="M37" s="328"/>
      <c r="O37" s="310"/>
      <c r="P37" s="20"/>
    </row>
    <row r="38" spans="1:61" outlineLevel="1" x14ac:dyDescent="0.25">
      <c r="B38" s="12" t="s">
        <v>441</v>
      </c>
      <c r="C38" s="22" t="s">
        <v>28</v>
      </c>
      <c r="F38" s="19">
        <f>+F46/F33</f>
        <v>3.5693333333333332</v>
      </c>
      <c r="G38" s="19">
        <f>+G46/G33</f>
        <v>2.1331210191082799</v>
      </c>
      <c r="H38" s="19">
        <f>+H46/H33</f>
        <v>2.1520467836257309</v>
      </c>
      <c r="I38" s="19">
        <f>+I46/I35</f>
        <v>4.3794392523364483</v>
      </c>
      <c r="J38" s="19">
        <f>+J46/J33</f>
        <v>2.3967213114754098</v>
      </c>
      <c r="K38" s="19">
        <f>+K46/K33</f>
        <v>2.3505154639175259</v>
      </c>
      <c r="L38" s="309">
        <f>+L46/L35</f>
        <v>4.9019178082191779</v>
      </c>
      <c r="M38" s="19">
        <f>+M46/M33</f>
        <v>2.5628571428571432</v>
      </c>
      <c r="N38" s="19">
        <f>+N46/N33</f>
        <v>2.4839285714285708</v>
      </c>
      <c r="O38" s="309">
        <f>+O46/O35</f>
        <v>5.2373205741626787</v>
      </c>
      <c r="P38" s="19">
        <f t="shared" ref="P38:AA38" si="197">+M38*(1+P44)</f>
        <v>2.7166285714285721</v>
      </c>
      <c r="Q38" s="19">
        <f t="shared" si="197"/>
        <v>2.632964285714285</v>
      </c>
      <c r="R38" s="133">
        <f t="shared" si="197"/>
        <v>5.5515598086124394</v>
      </c>
      <c r="S38" s="19">
        <f t="shared" si="197"/>
        <v>2.8524600000000007</v>
      </c>
      <c r="T38" s="19">
        <f t="shared" si="197"/>
        <v>2.7646124999999993</v>
      </c>
      <c r="U38" s="19">
        <f t="shared" si="197"/>
        <v>5.8291377990430613</v>
      </c>
      <c r="V38" s="19">
        <f t="shared" si="197"/>
        <v>2.9950830000000006</v>
      </c>
      <c r="W38" s="19">
        <f t="shared" si="197"/>
        <v>2.9028431249999995</v>
      </c>
      <c r="X38" s="19">
        <f t="shared" si="197"/>
        <v>6.1205946889952143</v>
      </c>
      <c r="Y38" s="19">
        <f t="shared" si="197"/>
        <v>3.1448371500000007</v>
      </c>
      <c r="Z38" s="19">
        <f t="shared" si="197"/>
        <v>3.0479852812499995</v>
      </c>
      <c r="AA38" s="19">
        <f t="shared" si="197"/>
        <v>6.4266244234449754</v>
      </c>
      <c r="AB38" s="19">
        <f t="shared" ref="AB38" si="198">+Y38*(1+AB44)</f>
        <v>3.3020790075000011</v>
      </c>
      <c r="AC38" s="19">
        <f t="shared" ref="AC38" si="199">+Z38*(1+AC44)</f>
        <v>3.2003845453124997</v>
      </c>
      <c r="AD38" s="19">
        <f t="shared" ref="AD38" si="200">+AA38*(1+AD44)</f>
        <v>6.7479556446172246</v>
      </c>
      <c r="AE38" s="19">
        <f t="shared" ref="AE38" si="201">+AB38*(1+AE44)</f>
        <v>3.4671829578750013</v>
      </c>
      <c r="AF38" s="19">
        <f t="shared" ref="AF38" si="202">+AC38*(1+AF44)</f>
        <v>3.3604037725781248</v>
      </c>
      <c r="AG38" s="19">
        <f t="shared" ref="AG38" si="203">+AD38*(1+AG44)</f>
        <v>7.0853534268480862</v>
      </c>
      <c r="AH38" s="19">
        <f t="shared" ref="AH38" si="204">+AE38*(1+AH44)</f>
        <v>3.6405421057687515</v>
      </c>
      <c r="AI38" s="19">
        <f t="shared" ref="AI38" si="205">+AF38*(1+AI44)</f>
        <v>3.5284239612070314</v>
      </c>
      <c r="AJ38" s="19">
        <f t="shared" ref="AJ38" si="206">+AG38*(1+AJ44)</f>
        <v>7.4396210981904911</v>
      </c>
      <c r="AK38" s="19">
        <f t="shared" ref="AK38" si="207">+AH38*(1+AK44)</f>
        <v>3.8225692110571892</v>
      </c>
      <c r="AL38" s="19">
        <f t="shared" ref="AL38" si="208">+AI38*(1+AL44)</f>
        <v>3.704845159267383</v>
      </c>
      <c r="AM38" s="19">
        <f t="shared" ref="AM38" si="209">+AJ38*(1+AM44)</f>
        <v>7.8116021531000159</v>
      </c>
      <c r="AN38" s="19">
        <f t="shared" ref="AN38" si="210">+AK38*(1+AN44)</f>
        <v>3.9372462873889051</v>
      </c>
      <c r="AO38" s="19">
        <f t="shared" ref="AO38" si="211">+AL38*(1+AO44)</f>
        <v>3.8159905140454047</v>
      </c>
      <c r="AP38" s="19">
        <f t="shared" ref="AP38" si="212">+AM38*(1+AP44)</f>
        <v>8.0459502176930169</v>
      </c>
      <c r="AQ38" s="19">
        <f t="shared" ref="AQ38" si="213">+AN38*(1+AQ44)</f>
        <v>4.0553636760105727</v>
      </c>
      <c r="AR38" s="19">
        <f t="shared" ref="AR38" si="214">+AO38*(1+AR44)</f>
        <v>3.9304702294667671</v>
      </c>
      <c r="AS38" s="19">
        <f t="shared" ref="AS38" si="215">+AP38*(1+AS44)</f>
        <v>8.2873287242238067</v>
      </c>
      <c r="AT38" s="19">
        <f t="shared" ref="AT38" si="216">+AQ38*(1+AT44)</f>
        <v>4.1770245862908899</v>
      </c>
      <c r="AU38" s="19">
        <f t="shared" ref="AU38" si="217">+AR38*(1+AU44)</f>
        <v>4.0483843363507699</v>
      </c>
      <c r="AV38" s="19">
        <f t="shared" ref="AV38" si="218">+AS38*(1+AV44)</f>
        <v>8.5359485859505213</v>
      </c>
    </row>
    <row r="39" spans="1:61" outlineLevel="1" x14ac:dyDescent="0.25">
      <c r="B39" s="11"/>
      <c r="M39" s="8"/>
      <c r="O39" s="313"/>
      <c r="P39" s="31"/>
      <c r="S39" s="31"/>
      <c r="V39" s="31"/>
      <c r="Y39" s="31"/>
      <c r="AB39" s="31"/>
      <c r="AE39" s="31"/>
      <c r="AH39" s="31"/>
      <c r="AK39" s="31"/>
      <c r="AN39" s="31"/>
      <c r="AQ39" s="31"/>
      <c r="AT39" s="31"/>
    </row>
    <row r="40" spans="1:61" outlineLevel="1" x14ac:dyDescent="0.25">
      <c r="M40" s="8"/>
    </row>
    <row r="41" spans="1:61" outlineLevel="1" x14ac:dyDescent="0.25">
      <c r="B41" s="12" t="s">
        <v>42</v>
      </c>
      <c r="C41" s="22" t="s">
        <v>28</v>
      </c>
      <c r="F41" s="19">
        <f>+(F42*F38)</f>
        <v>2.677</v>
      </c>
      <c r="G41" s="19">
        <f t="shared" ref="G41:AS41" si="219">+(G42*G38)</f>
        <v>1.5998407643312098</v>
      </c>
      <c r="H41" s="19">
        <f t="shared" si="219"/>
        <v>1.6140350877192982</v>
      </c>
      <c r="I41" s="19">
        <f t="shared" si="219"/>
        <v>3.2845794392523362</v>
      </c>
      <c r="J41" s="41">
        <f t="shared" ref="J41:O41" si="220">+(J42*J38)</f>
        <v>1.7975409836065572</v>
      </c>
      <c r="K41" s="19">
        <f t="shared" si="220"/>
        <v>1.7628865979381443</v>
      </c>
      <c r="L41" s="309">
        <f t="shared" si="220"/>
        <v>3.6764383561643834</v>
      </c>
      <c r="M41" s="19">
        <f t="shared" si="220"/>
        <v>1.4095714285714289</v>
      </c>
      <c r="N41" s="19">
        <f t="shared" si="220"/>
        <v>0.74517857142857125</v>
      </c>
      <c r="O41" s="19">
        <f t="shared" si="220"/>
        <v>2.2258612440191383</v>
      </c>
      <c r="P41" s="19">
        <f t="shared" si="219"/>
        <v>1.4941457142857149</v>
      </c>
      <c r="Q41" s="19">
        <f>R41-P41</f>
        <v>0.72647820915926098</v>
      </c>
      <c r="R41" s="19">
        <f t="shared" si="219"/>
        <v>2.2206239234449758</v>
      </c>
      <c r="S41" s="19">
        <f t="shared" si="219"/>
        <v>1.1409840000000002</v>
      </c>
      <c r="T41" s="19">
        <f t="shared" si="219"/>
        <v>1.1058449999999997</v>
      </c>
      <c r="U41" s="19">
        <f>+(U42*U38)</f>
        <v>2.3316551196172246</v>
      </c>
      <c r="V41" s="19">
        <f t="shared" si="219"/>
        <v>1.1980332000000002</v>
      </c>
      <c r="W41" s="19">
        <f t="shared" si="219"/>
        <v>1.1611372499999999</v>
      </c>
      <c r="X41" s="19">
        <f t="shared" si="219"/>
        <v>2.4482378755980858</v>
      </c>
      <c r="Y41" s="19">
        <f t="shared" si="219"/>
        <v>1.2579348600000004</v>
      </c>
      <c r="Z41" s="19">
        <f t="shared" si="219"/>
        <v>1.2191941124999999</v>
      </c>
      <c r="AA41" s="19">
        <f t="shared" si="219"/>
        <v>2.5706497693779902</v>
      </c>
      <c r="AB41" s="19">
        <f t="shared" si="219"/>
        <v>1.3208316030000005</v>
      </c>
      <c r="AC41" s="19">
        <f t="shared" si="219"/>
        <v>1.2801538181250001</v>
      </c>
      <c r="AD41" s="19">
        <f t="shared" si="219"/>
        <v>2.69918225784689</v>
      </c>
      <c r="AE41" s="19">
        <f t="shared" si="219"/>
        <v>1.3868731831500005</v>
      </c>
      <c r="AF41" s="19">
        <f t="shared" si="219"/>
        <v>1.34416150903125</v>
      </c>
      <c r="AG41" s="19">
        <f t="shared" si="219"/>
        <v>2.8341413707392347</v>
      </c>
      <c r="AH41" s="19">
        <f t="shared" si="219"/>
        <v>1.4562168423075006</v>
      </c>
      <c r="AI41" s="19">
        <f t="shared" si="219"/>
        <v>1.4113695844828127</v>
      </c>
      <c r="AJ41" s="19">
        <f t="shared" si="219"/>
        <v>2.9758484392761968</v>
      </c>
      <c r="AK41" s="19">
        <f t="shared" si="219"/>
        <v>1.5290276844228758</v>
      </c>
      <c r="AL41" s="19">
        <f t="shared" si="219"/>
        <v>1.4819380637069532</v>
      </c>
      <c r="AM41" s="19">
        <f t="shared" si="219"/>
        <v>3.1246408612400067</v>
      </c>
      <c r="AN41" s="19">
        <f t="shared" si="219"/>
        <v>1.5748985149555621</v>
      </c>
      <c r="AO41" s="19">
        <f t="shared" si="219"/>
        <v>1.5263962056181619</v>
      </c>
      <c r="AP41" s="19">
        <f t="shared" si="219"/>
        <v>3.218380087077207</v>
      </c>
      <c r="AQ41" s="19">
        <f t="shared" si="219"/>
        <v>1.6221454704042291</v>
      </c>
      <c r="AR41" s="19">
        <f t="shared" si="219"/>
        <v>1.5721880917867068</v>
      </c>
      <c r="AS41" s="19">
        <f t="shared" si="219"/>
        <v>3.3149314896895228</v>
      </c>
      <c r="AT41" s="19">
        <f t="shared" ref="AT41:AV41" si="221">+(AT42*AT38)</f>
        <v>1.670809834516356</v>
      </c>
      <c r="AU41" s="19">
        <f t="shared" si="221"/>
        <v>1.619353734540308</v>
      </c>
      <c r="AV41" s="19">
        <f t="shared" si="221"/>
        <v>3.4143794343802085</v>
      </c>
    </row>
    <row r="42" spans="1:61" outlineLevel="1" x14ac:dyDescent="0.25">
      <c r="B42" s="11" t="s">
        <v>363</v>
      </c>
      <c r="C42" s="22" t="s">
        <v>29</v>
      </c>
      <c r="F42" s="24">
        <v>0.75</v>
      </c>
      <c r="G42" s="24">
        <f>+F42</f>
        <v>0.75</v>
      </c>
      <c r="H42" s="24">
        <f>+G42</f>
        <v>0.75</v>
      </c>
      <c r="I42" s="24">
        <f>+H42</f>
        <v>0.75</v>
      </c>
      <c r="J42" s="24">
        <f t="shared" ref="J42:L42" si="222">+I42</f>
        <v>0.75</v>
      </c>
      <c r="K42" s="24">
        <f t="shared" si="222"/>
        <v>0.75</v>
      </c>
      <c r="L42" s="349">
        <f t="shared" si="222"/>
        <v>0.75</v>
      </c>
      <c r="M42" s="401">
        <v>0.55000000000000004</v>
      </c>
      <c r="N42" s="208">
        <v>0.3</v>
      </c>
      <c r="O42" s="208">
        <v>0.42499999999999999</v>
      </c>
      <c r="P42" s="208">
        <v>0.55000000000000004</v>
      </c>
      <c r="Q42" s="208">
        <f>Q41/Q38</f>
        <v>0.27591646916782164</v>
      </c>
      <c r="R42" s="208">
        <v>0.4</v>
      </c>
      <c r="S42" s="208">
        <v>0.4</v>
      </c>
      <c r="T42" s="208">
        <f t="shared" ref="T42" si="223">+S42</f>
        <v>0.4</v>
      </c>
      <c r="U42" s="208">
        <f t="shared" ref="U42" si="224">+T42</f>
        <v>0.4</v>
      </c>
      <c r="V42" s="208">
        <f t="shared" ref="V42" si="225">+U42</f>
        <v>0.4</v>
      </c>
      <c r="W42" s="208">
        <f t="shared" ref="W42" si="226">+V42</f>
        <v>0.4</v>
      </c>
      <c r="X42" s="208">
        <f t="shared" ref="X42" si="227">+W42</f>
        <v>0.4</v>
      </c>
      <c r="Y42" s="208">
        <f t="shared" ref="Y42" si="228">+X42</f>
        <v>0.4</v>
      </c>
      <c r="Z42" s="208">
        <f t="shared" ref="Z42" si="229">+Y42</f>
        <v>0.4</v>
      </c>
      <c r="AA42" s="208">
        <f t="shared" ref="AA42" si="230">+Z42</f>
        <v>0.4</v>
      </c>
      <c r="AB42" s="208">
        <f t="shared" ref="AB42" si="231">+AA42</f>
        <v>0.4</v>
      </c>
      <c r="AC42" s="208">
        <f t="shared" ref="AC42" si="232">+AB42</f>
        <v>0.4</v>
      </c>
      <c r="AD42" s="208">
        <f t="shared" ref="AD42" si="233">+AC42</f>
        <v>0.4</v>
      </c>
      <c r="AE42" s="208">
        <f t="shared" ref="AE42" si="234">+AD42</f>
        <v>0.4</v>
      </c>
      <c r="AF42" s="208">
        <f t="shared" ref="AF42" si="235">+AE42</f>
        <v>0.4</v>
      </c>
      <c r="AG42" s="208">
        <f t="shared" ref="AG42" si="236">+AF42</f>
        <v>0.4</v>
      </c>
      <c r="AH42" s="208">
        <f t="shared" ref="AH42" si="237">+AG42</f>
        <v>0.4</v>
      </c>
      <c r="AI42" s="208">
        <f t="shared" ref="AI42" si="238">+AH42</f>
        <v>0.4</v>
      </c>
      <c r="AJ42" s="208">
        <f t="shared" ref="AJ42" si="239">+AI42</f>
        <v>0.4</v>
      </c>
      <c r="AK42" s="208">
        <f t="shared" ref="AK42" si="240">+AJ42</f>
        <v>0.4</v>
      </c>
      <c r="AL42" s="208">
        <f t="shared" ref="AL42" si="241">+AK42</f>
        <v>0.4</v>
      </c>
      <c r="AM42" s="208">
        <f t="shared" ref="AM42" si="242">+AL42</f>
        <v>0.4</v>
      </c>
      <c r="AN42" s="208">
        <f t="shared" ref="AN42" si="243">+AM42</f>
        <v>0.4</v>
      </c>
      <c r="AO42" s="208">
        <f t="shared" ref="AO42" si="244">+AN42</f>
        <v>0.4</v>
      </c>
      <c r="AP42" s="208">
        <f t="shared" ref="AP42" si="245">+AO42</f>
        <v>0.4</v>
      </c>
      <c r="AQ42" s="208">
        <f t="shared" ref="AQ42" si="246">+AP42</f>
        <v>0.4</v>
      </c>
      <c r="AR42" s="208">
        <f t="shared" ref="AR42" si="247">+AQ42</f>
        <v>0.4</v>
      </c>
      <c r="AS42" s="208">
        <f t="shared" ref="AS42" si="248">+AR42</f>
        <v>0.4</v>
      </c>
      <c r="AT42" s="208">
        <f t="shared" ref="AT42" si="249">+AS42</f>
        <v>0.4</v>
      </c>
      <c r="AU42" s="208">
        <f t="shared" ref="AU42" si="250">+AT42</f>
        <v>0.4</v>
      </c>
      <c r="AV42" s="208">
        <f t="shared" ref="AV42" si="251">+AU42</f>
        <v>0.4</v>
      </c>
    </row>
    <row r="43" spans="1:61" outlineLevel="1" x14ac:dyDescent="0.25">
      <c r="M43" s="8"/>
    </row>
    <row r="44" spans="1:61" outlineLevel="1" x14ac:dyDescent="0.25">
      <c r="A44" t="s">
        <v>454</v>
      </c>
      <c r="B44" s="12" t="s">
        <v>30</v>
      </c>
      <c r="C44" s="22" t="s">
        <v>29</v>
      </c>
      <c r="F44" s="192">
        <v>0.182</v>
      </c>
      <c r="G44" s="192">
        <v>0.16900000000000001</v>
      </c>
      <c r="H44" s="193">
        <f>(2*I44)-G44</f>
        <v>0.13099999999999998</v>
      </c>
      <c r="I44" s="192">
        <v>0.15</v>
      </c>
      <c r="J44" s="316">
        <v>0.10100000000000001</v>
      </c>
      <c r="K44" s="29">
        <f>(2*L44)-J44</f>
        <v>6.0999999999999999E-2</v>
      </c>
      <c r="L44" s="350">
        <v>8.1000000000000003E-2</v>
      </c>
      <c r="M44" s="440">
        <v>9.4E-2</v>
      </c>
      <c r="N44" s="29">
        <f>+O44*2-M44</f>
        <v>9.8000000000000004E-2</v>
      </c>
      <c r="O44" s="453">
        <v>9.6000000000000002E-2</v>
      </c>
      <c r="P44" s="208">
        <v>0.06</v>
      </c>
      <c r="Q44" s="209">
        <f>+R44*2-P44</f>
        <v>0.06</v>
      </c>
      <c r="R44" s="208">
        <v>0.06</v>
      </c>
      <c r="S44" s="208">
        <f>+U44</f>
        <v>0.05</v>
      </c>
      <c r="T44" s="209">
        <f>+U44*2-S44</f>
        <v>0.05</v>
      </c>
      <c r="U44" s="208">
        <v>0.05</v>
      </c>
      <c r="V44" s="208">
        <f>+X44</f>
        <v>0.05</v>
      </c>
      <c r="W44" s="209">
        <f>+X44*2-V44</f>
        <v>0.05</v>
      </c>
      <c r="X44" s="208">
        <v>0.05</v>
      </c>
      <c r="Y44" s="208">
        <f>+AA44</f>
        <v>0.05</v>
      </c>
      <c r="Z44" s="209">
        <f>+AA44*2-Y44</f>
        <v>0.05</v>
      </c>
      <c r="AA44" s="208">
        <v>0.05</v>
      </c>
      <c r="AB44" s="208">
        <v>0.05</v>
      </c>
      <c r="AC44" s="209">
        <f t="shared" ref="AC44" si="252">+AD44*2-AB44</f>
        <v>0.05</v>
      </c>
      <c r="AD44" s="208">
        <v>0.05</v>
      </c>
      <c r="AE44" s="208">
        <v>0.05</v>
      </c>
      <c r="AF44" s="209">
        <f t="shared" ref="AF44" si="253">+AG44*2-AE44</f>
        <v>0.05</v>
      </c>
      <c r="AG44" s="208">
        <v>0.05</v>
      </c>
      <c r="AH44" s="208">
        <v>0.05</v>
      </c>
      <c r="AI44" s="209">
        <f t="shared" ref="AI44" si="254">+AJ44*2-AH44</f>
        <v>0.05</v>
      </c>
      <c r="AJ44" s="208">
        <v>0.05</v>
      </c>
      <c r="AK44" s="208">
        <v>0.05</v>
      </c>
      <c r="AL44" s="209">
        <f t="shared" ref="AL44" si="255">+AM44*2-AK44</f>
        <v>0.05</v>
      </c>
      <c r="AM44" s="208">
        <v>0.05</v>
      </c>
      <c r="AN44" s="208">
        <f t="shared" ref="AN44" si="256">+AP44</f>
        <v>0.03</v>
      </c>
      <c r="AO44" s="209">
        <f t="shared" ref="AO44" si="257">+AP44*2-AN44</f>
        <v>0.03</v>
      </c>
      <c r="AP44" s="208">
        <v>0.03</v>
      </c>
      <c r="AQ44" s="208">
        <f t="shared" ref="AQ44" si="258">+AS44</f>
        <v>0.03</v>
      </c>
      <c r="AR44" s="209">
        <f t="shared" ref="AR44" si="259">+AS44*2-AQ44</f>
        <v>0.03</v>
      </c>
      <c r="AS44" s="208">
        <v>0.03</v>
      </c>
      <c r="AT44" s="208">
        <f t="shared" ref="AT44" si="260">+AV44</f>
        <v>0.03</v>
      </c>
      <c r="AU44" s="209">
        <f t="shared" ref="AU44" si="261">+AV44*2-AT44</f>
        <v>0.03</v>
      </c>
      <c r="AV44" s="208">
        <v>0.03</v>
      </c>
    </row>
    <row r="45" spans="1:61" outlineLevel="1" x14ac:dyDescent="0.25">
      <c r="M45" s="8"/>
      <c r="N45" s="18"/>
      <c r="O45" s="18"/>
      <c r="P45" s="18"/>
      <c r="Q45" s="18"/>
      <c r="R45" s="18"/>
      <c r="S45" s="18"/>
      <c r="T45" s="18"/>
      <c r="W45" s="18"/>
      <c r="Z45" s="18"/>
      <c r="AC45" s="18"/>
      <c r="AF45" s="18"/>
      <c r="AI45" s="18"/>
      <c r="AL45" s="18"/>
      <c r="AO45" s="18"/>
      <c r="AR45" s="18"/>
      <c r="AU45" s="18"/>
    </row>
    <row r="46" spans="1:61" outlineLevel="1" x14ac:dyDescent="0.25">
      <c r="A46" t="s">
        <v>447</v>
      </c>
      <c r="B46" s="12" t="s">
        <v>31</v>
      </c>
      <c r="C46" s="230" t="s">
        <v>28</v>
      </c>
      <c r="D46" s="12"/>
      <c r="E46" s="12"/>
      <c r="F46" s="112">
        <f t="shared" ref="F46:O46" si="262">+F10</f>
        <v>535.4</v>
      </c>
      <c r="G46" s="112">
        <f t="shared" si="262"/>
        <v>334.9</v>
      </c>
      <c r="H46" s="112">
        <f t="shared" si="262"/>
        <v>368</v>
      </c>
      <c r="I46" s="112">
        <f t="shared" si="262"/>
        <v>702.9</v>
      </c>
      <c r="J46" s="112">
        <f t="shared" si="262"/>
        <v>438.6</v>
      </c>
      <c r="K46" s="112">
        <f t="shared" si="262"/>
        <v>456</v>
      </c>
      <c r="L46" s="351">
        <f t="shared" si="262"/>
        <v>894.6</v>
      </c>
      <c r="M46" s="112">
        <f>+M10</f>
        <v>538.20000000000005</v>
      </c>
      <c r="N46" s="112">
        <f t="shared" si="262"/>
        <v>556.39999999999986</v>
      </c>
      <c r="O46" s="351">
        <f t="shared" si="262"/>
        <v>1094.5999999999999</v>
      </c>
      <c r="P46" s="112">
        <f>+P38*P30+P32*P41+10</f>
        <v>636.45454857142875</v>
      </c>
      <c r="Q46" s="112">
        <f t="shared" ref="Q46" si="263">+R46-P46</f>
        <v>678.15481410799691</v>
      </c>
      <c r="R46" s="112">
        <f>+R38*R30+R32*R41</f>
        <v>1314.6093626794257</v>
      </c>
      <c r="S46" s="112">
        <f>+S38*S30+S32*S41</f>
        <v>750.19698000000017</v>
      </c>
      <c r="T46" s="112">
        <f t="shared" ref="T46" si="264">+U46-S46</f>
        <v>823.67022574162638</v>
      </c>
      <c r="U46" s="112">
        <f>+U38*U30+U32*U41</f>
        <v>1573.8672057416265</v>
      </c>
      <c r="V46" s="112">
        <f>+V38*V30+V32*V41</f>
        <v>895.52981700000009</v>
      </c>
      <c r="W46" s="112">
        <f t="shared" ref="W46" si="265">+X46-V46</f>
        <v>983.49275252153075</v>
      </c>
      <c r="X46" s="112">
        <f>+X38*X30+X32*X41</f>
        <v>1879.0225695215308</v>
      </c>
      <c r="Y46" s="112">
        <f>+Y38*Y30+Y32*Y41</f>
        <v>1066.0997938500002</v>
      </c>
      <c r="Z46" s="112">
        <f t="shared" ref="Z46" si="266">+AA46-Y46</f>
        <v>1163.9388810854059</v>
      </c>
      <c r="AA46" s="112">
        <f>+AA38*AA30+AA32*AA41</f>
        <v>2230.0386749354061</v>
      </c>
      <c r="AB46" s="112">
        <f t="shared" ref="AB46" si="267">+AB38*AB30+AB32*AB41</f>
        <v>1248.1858648350003</v>
      </c>
      <c r="AC46" s="112">
        <f t="shared" ref="AC46" si="268">+AD46-AB46</f>
        <v>1349.7770583426309</v>
      </c>
      <c r="AD46" s="112">
        <f t="shared" ref="AD46:AE46" si="269">+AD38*AD30+AD32*AD41</f>
        <v>2597.9629231776312</v>
      </c>
      <c r="AE46" s="112">
        <f t="shared" si="269"/>
        <v>1431.9465616023756</v>
      </c>
      <c r="AF46" s="112">
        <f t="shared" ref="AF46" si="270">+AG46-AE46</f>
        <v>1543.9018776738205</v>
      </c>
      <c r="AG46" s="112">
        <f t="shared" ref="AG46:AH46" si="271">+AG38*AG30+AG32*AG41</f>
        <v>2975.8484392761961</v>
      </c>
      <c r="AH46" s="112">
        <f t="shared" si="271"/>
        <v>1630.9628633844006</v>
      </c>
      <c r="AI46" s="112">
        <f t="shared" ref="AI46" si="272">+AJ46-AH46</f>
        <v>1754.064736292273</v>
      </c>
      <c r="AJ46" s="112">
        <f t="shared" ref="AJ46:AK46" si="273">+AJ38*AJ30+AJ32*AJ41</f>
        <v>3385.0275996766736</v>
      </c>
      <c r="AK46" s="112">
        <f t="shared" si="273"/>
        <v>1846.3009289406223</v>
      </c>
      <c r="AL46" s="112">
        <f t="shared" ref="AL46" si="274">+AM46-AK46</f>
        <v>1981.3841260783856</v>
      </c>
      <c r="AM46" s="112">
        <f t="shared" ref="AM46:AN46" si="275">+AM38*AM30+AM32*AM41</f>
        <v>3827.6850550190079</v>
      </c>
      <c r="AN46" s="112">
        <f t="shared" si="275"/>
        <v>2035.556330580064</v>
      </c>
      <c r="AO46" s="112">
        <f t="shared" ref="AO46" si="276">+AP46-AN46</f>
        <v>2172.4756332733841</v>
      </c>
      <c r="AP46" s="112">
        <f t="shared" ref="AP46" si="277">+AP38*AP30+AP32*AP41</f>
        <v>4208.0319638534484</v>
      </c>
      <c r="AQ46" s="112">
        <f>+AQ38*AQ30+AQ32*AQ41</f>
        <v>2218.2839307777836</v>
      </c>
      <c r="AR46" s="112">
        <f t="shared" ref="AR46" si="278">+AS46-AQ46</f>
        <v>2364.6088537179808</v>
      </c>
      <c r="AS46" s="112">
        <f>+AS38*AS30+AS32*AS41</f>
        <v>4582.8927844957643</v>
      </c>
      <c r="AT46" s="112">
        <f>+AT38*AT30+AT32*AT41</f>
        <v>2410.1431862898435</v>
      </c>
      <c r="AU46" s="112">
        <f t="shared" ref="AU46" si="279">+AV46-AT46</f>
        <v>2566.3148393193096</v>
      </c>
      <c r="AV46" s="112">
        <f t="shared" ref="AV46" si="280">+AV38*AV30+AV32*AV41</f>
        <v>4976.4580256091531</v>
      </c>
    </row>
    <row r="47" spans="1:61" outlineLevel="1" x14ac:dyDescent="0.25">
      <c r="A47" t="s">
        <v>459</v>
      </c>
      <c r="B47" s="11" t="s">
        <v>39</v>
      </c>
      <c r="I47" s="18">
        <f t="shared" ref="I47:W47" si="281">+I46/F46-1</f>
        <v>0.31285020545386621</v>
      </c>
      <c r="J47" s="18">
        <f t="shared" ref="J47" si="282">+J46/G46-1</f>
        <v>0.30964467005076157</v>
      </c>
      <c r="K47" s="18">
        <f t="shared" ref="K47" si="283">+K46/H46-1</f>
        <v>0.23913043478260865</v>
      </c>
      <c r="L47" s="314">
        <f t="shared" ref="L47:M47" si="284">+L46/I46-1</f>
        <v>0.27272727272727271</v>
      </c>
      <c r="M47" s="18">
        <f t="shared" si="284"/>
        <v>0.22708618331053354</v>
      </c>
      <c r="N47" s="18">
        <f>+N46/K46-1</f>
        <v>0.22017543859649091</v>
      </c>
      <c r="O47" s="18">
        <f t="shared" si="281"/>
        <v>0.22356360384529395</v>
      </c>
      <c r="P47" s="18">
        <f t="shared" si="281"/>
        <v>0.18256140574401458</v>
      </c>
      <c r="Q47" s="18">
        <f t="shared" si="281"/>
        <v>0.21882604979870068</v>
      </c>
      <c r="R47" s="18">
        <f>+R46/O46-1</f>
        <v>0.20099521531100462</v>
      </c>
      <c r="S47" s="18">
        <f t="shared" si="281"/>
        <v>0.17871257528738704</v>
      </c>
      <c r="T47" s="18">
        <f t="shared" si="281"/>
        <v>0.21457550489416111</v>
      </c>
      <c r="U47" s="18">
        <f>+U46/R46-1</f>
        <v>0.19721283783783772</v>
      </c>
      <c r="V47" s="18">
        <f t="shared" si="281"/>
        <v>0.19372623574144465</v>
      </c>
      <c r="W47" s="18">
        <f t="shared" si="281"/>
        <v>0.19403703300796304</v>
      </c>
      <c r="X47" s="18">
        <f>+X46/U46-1</f>
        <v>0.193888888888889</v>
      </c>
      <c r="Y47" s="18">
        <f t="shared" ref="Y47" si="285">+Y46/V46-1</f>
        <v>0.19046822742474934</v>
      </c>
      <c r="Z47" s="18">
        <f t="shared" ref="Z47" si="286">+Z46/W46-1</f>
        <v>0.18347479236754705</v>
      </c>
      <c r="AA47" s="18">
        <f>+AA46/X46-1</f>
        <v>0.18680781758957643</v>
      </c>
      <c r="AB47" s="18">
        <f t="shared" ref="AB47" si="287">+AB46/Y46-1</f>
        <v>0.17079646017699113</v>
      </c>
      <c r="AC47" s="18">
        <f t="shared" ref="AC47" si="288">+AC46/Z46-1</f>
        <v>0.15966317499757854</v>
      </c>
      <c r="AD47" s="18">
        <f t="shared" ref="AD47" si="289">+AD46/AA46-1</f>
        <v>0.16498559077809816</v>
      </c>
      <c r="AE47" s="18">
        <f t="shared" ref="AE47" si="290">+AE46/AB46-1</f>
        <v>0.14722222222222237</v>
      </c>
      <c r="AF47" s="18">
        <f t="shared" ref="AF47" si="291">+AF46/AC46-1</f>
        <v>0.14381991317110709</v>
      </c>
      <c r="AG47" s="18">
        <f t="shared" ref="AG47" si="292">+AG46/AD46-1</f>
        <v>0.1454545454545455</v>
      </c>
      <c r="AH47" s="18">
        <f t="shared" ref="AH47" si="293">+AH46/AE46-1</f>
        <v>0.13898305084745766</v>
      </c>
      <c r="AI47" s="18">
        <f t="shared" ref="AI47" si="294">+AI46/AF46-1</f>
        <v>0.13612449188487452</v>
      </c>
      <c r="AJ47" s="18">
        <f t="shared" ref="AJ47" si="295">+AJ46/AG46-1</f>
        <v>0.13750000000000018</v>
      </c>
      <c r="AK47" s="18">
        <f t="shared" ref="AK47" si="296">+AK46/AH46-1</f>
        <v>0.13203125000000004</v>
      </c>
      <c r="AL47" s="18">
        <f t="shared" ref="AL47" si="297">+AL46/AI46-1</f>
        <v>0.12959578120623894</v>
      </c>
      <c r="AM47" s="18">
        <f t="shared" ref="AM47" si="298">+AM46/AJ46-1</f>
        <v>0.13076923076923075</v>
      </c>
      <c r="AN47" s="18">
        <f t="shared" ref="AN47" si="299">+AN46/AK46-1</f>
        <v>0.102505175983437</v>
      </c>
      <c r="AO47" s="18">
        <f t="shared" ref="AO47" si="300">+AO46/AL46-1</f>
        <v>9.6443443086027258E-2</v>
      </c>
      <c r="AP47" s="18">
        <f t="shared" ref="AP47" si="301">+AP46/AM46-1</f>
        <v>9.9367346938775691E-2</v>
      </c>
      <c r="AQ47" s="18">
        <f t="shared" ref="AQ47" si="302">+AQ46/AN46-1</f>
        <v>8.9767891682785539E-2</v>
      </c>
      <c r="AR47" s="18">
        <f t="shared" ref="AR47" si="303">+AR46/AO46-1</f>
        <v>8.8439758541779101E-2</v>
      </c>
      <c r="AS47" s="18">
        <f t="shared" ref="AS47" si="304">+AS46/AP46-1</f>
        <v>8.9082217973230904E-2</v>
      </c>
      <c r="AT47" s="18">
        <f t="shared" ref="AT47" si="305">+AT46/AQ46-1</f>
        <v>8.6489945155392878E-2</v>
      </c>
      <c r="AU47" s="18">
        <f t="shared" ref="AU47" si="306">+AU46/AR46-1</f>
        <v>8.5302051239543264E-2</v>
      </c>
      <c r="AV47" s="18">
        <f t="shared" ref="AV47" si="307">+AV46/AS46-1</f>
        <v>8.5877034358047055E-2</v>
      </c>
    </row>
    <row r="48" spans="1:61" outlineLevel="1" x14ac:dyDescent="0.25">
      <c r="M48" s="8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>
        <f t="shared" ref="Y48:Z48" si="308">+Y47-Y44-Y34</f>
        <v>1.1850864080697854E-2</v>
      </c>
      <c r="Z48" s="15">
        <f t="shared" si="308"/>
        <v>1.2628870917395896E-2</v>
      </c>
    </row>
    <row r="49" spans="1:136" outlineLevel="1" x14ac:dyDescent="0.25">
      <c r="A49" t="s">
        <v>566</v>
      </c>
      <c r="B49" s="51" t="s">
        <v>442</v>
      </c>
      <c r="C49" s="22" t="s">
        <v>274</v>
      </c>
      <c r="J49" s="169">
        <f t="shared" ref="J49:N49" si="309">+J62+J83</f>
        <v>12</v>
      </c>
      <c r="K49" s="169">
        <f t="shared" ref="K49:M49" si="310">+K62+K83</f>
        <v>11</v>
      </c>
      <c r="L49" s="352">
        <f t="shared" si="310"/>
        <v>23</v>
      </c>
      <c r="M49" s="169">
        <f t="shared" si="310"/>
        <v>16</v>
      </c>
      <c r="N49" s="169">
        <f t="shared" si="309"/>
        <v>14</v>
      </c>
      <c r="O49" s="169">
        <f>+O62+O83</f>
        <v>30</v>
      </c>
      <c r="P49" s="27">
        <v>12</v>
      </c>
      <c r="Q49" s="169">
        <f>+R49-P49</f>
        <v>20</v>
      </c>
      <c r="R49" s="169">
        <f>VLOOKUP($A$49,'GYG network model'!$B$1:$AI$32,MATCH(Assumptions!R$5,'GYG network model'!$B$1:$AM$1,0),FALSE)</f>
        <v>32</v>
      </c>
      <c r="S49" s="169">
        <f>+U49*50%</f>
        <v>17.5</v>
      </c>
      <c r="T49" s="169">
        <f>+U49-S49</f>
        <v>17.5</v>
      </c>
      <c r="U49" s="169">
        <f>VLOOKUP($A$49,'GYG network model'!$B$1:$AI$32,MATCH(Assumptions!U$5,'GYG network model'!$B$1:$AM$1,0),FALSE)</f>
        <v>35</v>
      </c>
      <c r="V49" s="169">
        <f>+X49*50%</f>
        <v>20</v>
      </c>
      <c r="W49" s="169">
        <f>+X49-V49</f>
        <v>20</v>
      </c>
      <c r="X49" s="169">
        <f>VLOOKUP($A$49,'GYG network model'!$B$1:$AI$32,MATCH(Assumptions!X$5,'GYG network model'!$B$1:$AM$1,0),FALSE)</f>
        <v>40</v>
      </c>
      <c r="Y49" s="169">
        <f>+AA49*50%</f>
        <v>20</v>
      </c>
      <c r="Z49" s="169">
        <f>+AA49-Y49</f>
        <v>20</v>
      </c>
      <c r="AA49" s="169">
        <f>VLOOKUP($A$49,'GYG network model'!$B$1:$AI$32,MATCH(Assumptions!AA$5,'GYG network model'!$B$1:$AM$1,0),FALSE)</f>
        <v>40</v>
      </c>
      <c r="AB49" s="169">
        <f t="shared" ref="AB49" si="311">+AD49*50%</f>
        <v>17.5</v>
      </c>
      <c r="AC49" s="169">
        <f t="shared" ref="AC49" si="312">+AD49-AB49</f>
        <v>17.5</v>
      </c>
      <c r="AD49" s="169">
        <f>VLOOKUP($A$49,'GYG network model'!$B$1:$AI$32,MATCH(Assumptions!AD$5,'GYG network model'!$B$1:$AM$1,0),FALSE)</f>
        <v>35</v>
      </c>
      <c r="AE49" s="169">
        <f t="shared" ref="AE49" si="313">+AG49*50%</f>
        <v>17.5</v>
      </c>
      <c r="AF49" s="169">
        <f t="shared" ref="AF49" si="314">+AG49-AE49</f>
        <v>17.5</v>
      </c>
      <c r="AG49" s="169">
        <f>VLOOKUP($A$49,'GYG network model'!$B$1:$AI$32,MATCH(Assumptions!AG$5,'GYG network model'!$B$1:$AM$1,0),FALSE)</f>
        <v>35</v>
      </c>
      <c r="AH49" s="169">
        <f t="shared" ref="AH49" si="315">+AJ49*50%</f>
        <v>17.5</v>
      </c>
      <c r="AI49" s="169">
        <f t="shared" ref="AI49" si="316">+AJ49-AH49</f>
        <v>17.5</v>
      </c>
      <c r="AJ49" s="169">
        <f>VLOOKUP($A$49,'GYG network model'!$B$1:$AI$32,MATCH(Assumptions!AJ$5,'GYG network model'!$B$1:$AM$1,0),FALSE)</f>
        <v>35</v>
      </c>
      <c r="AK49" s="169">
        <f t="shared" ref="AK49" si="317">+AM49*50%</f>
        <v>17.5</v>
      </c>
      <c r="AL49" s="169">
        <f t="shared" ref="AL49" si="318">+AM49-AK49</f>
        <v>17.5</v>
      </c>
      <c r="AM49" s="169">
        <f>VLOOKUP($A$49,'GYG network model'!$B$1:$AI$32,MATCH(Assumptions!AM$5,'GYG network model'!$B$1:$AM$1,0),FALSE)</f>
        <v>35</v>
      </c>
      <c r="AN49" s="169">
        <f t="shared" ref="AN49" si="319">+AP49*50%</f>
        <v>15</v>
      </c>
      <c r="AO49" s="169">
        <f t="shared" ref="AO49" si="320">+AP49-AN49</f>
        <v>15</v>
      </c>
      <c r="AP49" s="169">
        <f>VLOOKUP($A$49,'GYG network model'!$B$1:$AI$32,MATCH(Assumptions!AP$5,'GYG network model'!$B$1:$AM$1,0),FALSE)</f>
        <v>30</v>
      </c>
      <c r="AQ49" s="169">
        <f t="shared" ref="AQ49" si="321">+AS49*50%</f>
        <v>15</v>
      </c>
      <c r="AR49" s="169">
        <f t="shared" ref="AR49" si="322">+AS49-AQ49</f>
        <v>15</v>
      </c>
      <c r="AS49" s="169">
        <f>VLOOKUP($A$49,'GYG network model'!$B$1:$AI$32,MATCH(Assumptions!AS$5,'GYG network model'!$B$1:$AM$1,0),FALSE)</f>
        <v>30</v>
      </c>
      <c r="AT49" s="169">
        <f t="shared" ref="AT49" si="323">+AV49*50%</f>
        <v>15</v>
      </c>
      <c r="AU49" s="169">
        <f t="shared" ref="AU49" si="324">+AV49-AT49</f>
        <v>15</v>
      </c>
      <c r="AV49" s="169">
        <f>VLOOKUP($A$49,'GYG network model'!$B$1:$AI$32,MATCH(Assumptions!AV$5,'GYG network model'!$B$1:$AM$1,0),FALSE)</f>
        <v>30</v>
      </c>
    </row>
    <row r="50" spans="1:136" outlineLevel="1" x14ac:dyDescent="0.25">
      <c r="B50" s="51" t="s">
        <v>362</v>
      </c>
      <c r="C50" s="56" t="s">
        <v>29</v>
      </c>
      <c r="D50" s="12"/>
      <c r="E50" s="12"/>
      <c r="F50" s="110">
        <f t="shared" ref="F50:AA50" si="325">F63/F33</f>
        <v>0.30666666666666664</v>
      </c>
      <c r="G50" s="110">
        <f t="shared" si="325"/>
        <v>0.32484076433121017</v>
      </c>
      <c r="H50" s="110">
        <f t="shared" si="325"/>
        <v>0.32163742690058478</v>
      </c>
      <c r="I50" s="110">
        <f t="shared" si="325"/>
        <v>0.32163742690058478</v>
      </c>
      <c r="J50" s="317">
        <f t="shared" si="325"/>
        <v>0.33879781420765026</v>
      </c>
      <c r="K50" s="317">
        <f t="shared" ref="K50:M50" si="326">K63/K33</f>
        <v>0.32989690721649484</v>
      </c>
      <c r="L50" s="353">
        <f t="shared" si="326"/>
        <v>0.32989690721649484</v>
      </c>
      <c r="M50" s="317">
        <f t="shared" si="326"/>
        <v>0.35238095238095241</v>
      </c>
      <c r="N50" s="111">
        <f t="shared" si="325"/>
        <v>0.36160714285714285</v>
      </c>
      <c r="O50" s="111">
        <f t="shared" si="325"/>
        <v>0.36160714285714285</v>
      </c>
      <c r="P50" s="111">
        <f t="shared" si="325"/>
        <v>0.35169491525423729</v>
      </c>
      <c r="Q50" s="111">
        <f t="shared" si="325"/>
        <v>0.36328125</v>
      </c>
      <c r="R50" s="111">
        <f t="shared" si="325"/>
        <v>0.36328125</v>
      </c>
      <c r="S50" s="111">
        <f t="shared" si="325"/>
        <v>0.3656307129798903</v>
      </c>
      <c r="T50" s="111">
        <f t="shared" si="325"/>
        <v>0.36769759450171824</v>
      </c>
      <c r="U50" s="111">
        <f t="shared" si="325"/>
        <v>0.36769759450171824</v>
      </c>
      <c r="V50" s="111">
        <f t="shared" si="325"/>
        <v>0.36977491961414793</v>
      </c>
      <c r="W50" s="111">
        <f t="shared" si="325"/>
        <v>0.37160120845921452</v>
      </c>
      <c r="X50" s="111">
        <f t="shared" si="325"/>
        <v>0.37160120845921452</v>
      </c>
      <c r="Y50" s="111">
        <f t="shared" si="325"/>
        <v>0.37321937321937321</v>
      </c>
      <c r="Z50" s="111">
        <f t="shared" si="325"/>
        <v>0.3746630727762803</v>
      </c>
      <c r="AA50" s="111">
        <f t="shared" si="325"/>
        <v>0.3746630727762803</v>
      </c>
      <c r="AB50" s="111">
        <f t="shared" ref="AB50:AP50" si="327">AB63/AB33</f>
        <v>0.37580437580437581</v>
      </c>
      <c r="AC50" s="111">
        <f t="shared" si="327"/>
        <v>0.37684729064039407</v>
      </c>
      <c r="AD50" s="111">
        <f t="shared" si="327"/>
        <v>0.37684729064039407</v>
      </c>
      <c r="AE50" s="111">
        <f t="shared" si="327"/>
        <v>0.37780401416765053</v>
      </c>
      <c r="AF50" s="111">
        <f t="shared" si="327"/>
        <v>0.37868480725623582</v>
      </c>
      <c r="AG50" s="111">
        <f t="shared" si="327"/>
        <v>0.37868480725623582</v>
      </c>
      <c r="AH50" s="111">
        <f t="shared" si="327"/>
        <v>0.37949836423118866</v>
      </c>
      <c r="AI50" s="111">
        <f t="shared" si="327"/>
        <v>0.38025210084033612</v>
      </c>
      <c r="AJ50" s="111">
        <f t="shared" si="327"/>
        <v>0.38025210084033612</v>
      </c>
      <c r="AK50" s="111">
        <f t="shared" si="327"/>
        <v>0.38095238095238093</v>
      </c>
      <c r="AL50" s="111">
        <f t="shared" si="327"/>
        <v>0.3816046966731898</v>
      </c>
      <c r="AM50" s="111">
        <f t="shared" si="327"/>
        <v>0.3816046966731898</v>
      </c>
      <c r="AN50" s="111">
        <f t="shared" si="327"/>
        <v>0.38212927756653992</v>
      </c>
      <c r="AO50" s="111">
        <f t="shared" si="327"/>
        <v>0.38262476894639558</v>
      </c>
      <c r="AP50" s="111">
        <f t="shared" si="327"/>
        <v>0.38262476894639558</v>
      </c>
      <c r="AQ50" s="111">
        <f t="shared" ref="AQ50:AS50" si="328">AQ63/AQ33</f>
        <v>0.38309352517985612</v>
      </c>
      <c r="AR50" s="111">
        <f t="shared" si="328"/>
        <v>0.38353765323992994</v>
      </c>
      <c r="AS50" s="111">
        <f t="shared" si="328"/>
        <v>0.38353765323992994</v>
      </c>
      <c r="AT50" s="111">
        <f t="shared" ref="AT50:AV50" si="329">AT63/AT33</f>
        <v>0.38395904436860068</v>
      </c>
      <c r="AU50" s="111">
        <f t="shared" si="329"/>
        <v>0.3843594009983361</v>
      </c>
      <c r="AV50" s="111">
        <f t="shared" si="329"/>
        <v>0.3843594009983361</v>
      </c>
    </row>
    <row r="51" spans="1:136" outlineLevel="1" x14ac:dyDescent="0.25">
      <c r="B51" s="33"/>
      <c r="M51" s="8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2"/>
      <c r="AU51" s="32"/>
      <c r="AV51" s="32"/>
    </row>
    <row r="52" spans="1:136" outlineLevel="1" x14ac:dyDescent="0.25">
      <c r="A52" s="9"/>
      <c r="B52" s="13" t="s">
        <v>489</v>
      </c>
      <c r="C52" s="194"/>
      <c r="D52" s="194"/>
      <c r="E52" s="194"/>
      <c r="F52" s="194"/>
      <c r="G52" s="195"/>
      <c r="H52" s="195"/>
      <c r="I52" s="195"/>
      <c r="J52" s="195"/>
      <c r="K52" s="195"/>
      <c r="L52" s="342"/>
      <c r="M52" s="195"/>
      <c r="N52" s="195"/>
      <c r="O52" s="195"/>
      <c r="P52" s="195"/>
      <c r="Q52" s="195"/>
      <c r="R52" s="195"/>
      <c r="S52" s="195"/>
      <c r="T52" s="195"/>
      <c r="U52" s="195"/>
      <c r="V52" s="60"/>
      <c r="W52" s="13"/>
      <c r="X52" s="194"/>
      <c r="Y52" s="60"/>
      <c r="Z52" s="13"/>
      <c r="AA52" s="194"/>
      <c r="AB52" s="60"/>
      <c r="AC52" s="13"/>
      <c r="AD52" s="194"/>
      <c r="AE52" s="60"/>
      <c r="AF52" s="13"/>
      <c r="AG52" s="194"/>
      <c r="AH52" s="60"/>
      <c r="AI52" s="13"/>
      <c r="AJ52" s="194"/>
      <c r="AK52" s="60"/>
      <c r="AL52" s="13"/>
      <c r="AM52" s="194"/>
      <c r="AN52" s="60"/>
      <c r="AO52" s="13"/>
      <c r="AP52" s="194"/>
      <c r="AQ52" s="60"/>
      <c r="AR52" s="13"/>
      <c r="AS52" s="194"/>
      <c r="AT52" s="60"/>
      <c r="AU52" s="13"/>
      <c r="AV52" s="194"/>
      <c r="AW52" s="10"/>
      <c r="BD52" s="7"/>
      <c r="BE52" s="7"/>
      <c r="BF52" s="7"/>
      <c r="BG52" s="7"/>
      <c r="BH52" s="7"/>
      <c r="BI52" s="7"/>
      <c r="BJ52" s="7"/>
      <c r="BK52" s="7"/>
      <c r="BL52" s="7"/>
      <c r="BN52" s="89"/>
      <c r="BO52" s="10"/>
      <c r="BP52" s="10"/>
      <c r="BQ52" s="10"/>
      <c r="BR52" s="10"/>
      <c r="BS52" s="7"/>
      <c r="BT52" s="7"/>
      <c r="BU52" s="7"/>
      <c r="BV52" s="7"/>
      <c r="BW52" s="7"/>
      <c r="BX52" s="7"/>
      <c r="BY52" s="7"/>
      <c r="BZ52" s="7"/>
      <c r="CA52" s="7"/>
      <c r="CB52" s="7"/>
      <c r="CC52" s="7"/>
      <c r="CD52" s="7"/>
      <c r="CE52" s="7"/>
      <c r="CF52" s="7"/>
      <c r="CG52" s="7"/>
      <c r="CI52" s="89"/>
      <c r="CJ52" s="10"/>
      <c r="CK52" s="10"/>
      <c r="CL52" s="10"/>
      <c r="CM52" s="10"/>
      <c r="CN52" s="7"/>
      <c r="CO52" s="7"/>
      <c r="CP52" s="7"/>
      <c r="CQ52" s="7"/>
      <c r="CR52" s="7"/>
      <c r="CS52" s="7"/>
      <c r="CT52" s="7"/>
      <c r="CU52" s="7"/>
      <c r="CV52" s="7"/>
      <c r="CW52" s="7"/>
      <c r="CX52" s="7"/>
      <c r="CY52" s="7"/>
      <c r="CZ52" s="7"/>
      <c r="DA52" s="7"/>
      <c r="DB52" s="7"/>
      <c r="DD52" s="89"/>
      <c r="DE52" s="10"/>
      <c r="DF52" s="10"/>
      <c r="DG52" s="10"/>
      <c r="DH52" s="10"/>
      <c r="DI52" s="7"/>
      <c r="DJ52" s="7"/>
      <c r="DK52" s="7"/>
      <c r="DL52" s="7"/>
      <c r="DM52" s="7"/>
      <c r="DN52" s="7"/>
      <c r="DO52" s="7"/>
      <c r="DP52" s="7"/>
      <c r="DQ52" s="7"/>
      <c r="DR52" s="7"/>
      <c r="DS52" s="7"/>
      <c r="DT52" s="7"/>
      <c r="DU52" s="7"/>
      <c r="DV52" s="7"/>
      <c r="DW52" s="7"/>
      <c r="DY52" s="89"/>
      <c r="DZ52" s="10"/>
      <c r="EA52" s="10"/>
      <c r="EB52" s="10"/>
      <c r="EC52" s="10"/>
      <c r="ED52" s="7"/>
      <c r="EE52" s="7"/>
      <c r="EF52" s="7"/>
    </row>
    <row r="53" spans="1:136" outlineLevel="1" x14ac:dyDescent="0.25">
      <c r="B53" s="48" t="s">
        <v>488</v>
      </c>
      <c r="C53" s="22" t="s">
        <v>28</v>
      </c>
      <c r="F53" s="21">
        <f t="shared" ref="F53:AV53" si="330">+F92+F116+F139</f>
        <v>30.1</v>
      </c>
      <c r="G53" s="21">
        <f t="shared" si="330"/>
        <v>19.592500000000001</v>
      </c>
      <c r="H53" s="21">
        <f t="shared" si="330"/>
        <v>21.507500000000004</v>
      </c>
      <c r="I53" s="21">
        <f t="shared" si="330"/>
        <v>41.1</v>
      </c>
      <c r="J53" s="21">
        <f t="shared" si="330"/>
        <v>26.271000000000004</v>
      </c>
      <c r="K53" s="21">
        <f t="shared" si="330"/>
        <v>26.231999999999996</v>
      </c>
      <c r="L53" s="309">
        <f t="shared" si="330"/>
        <v>52.503</v>
      </c>
      <c r="M53" s="21">
        <f t="shared" si="330"/>
        <v>33.135999999999989</v>
      </c>
      <c r="N53" s="21">
        <f t="shared" si="330"/>
        <v>34.25500000000001</v>
      </c>
      <c r="O53" s="309">
        <f t="shared" si="330"/>
        <v>67.390999999999991</v>
      </c>
      <c r="P53" s="21">
        <f t="shared" si="330"/>
        <v>37.286906219119437</v>
      </c>
      <c r="Q53" s="21">
        <f t="shared" si="330"/>
        <v>39.158088471414523</v>
      </c>
      <c r="R53" s="21">
        <f t="shared" si="330"/>
        <v>76.444994690533974</v>
      </c>
      <c r="S53" s="21">
        <f t="shared" si="330"/>
        <v>44.443341697104785</v>
      </c>
      <c r="T53" s="21">
        <f t="shared" si="330"/>
        <v>48.675451172429476</v>
      </c>
      <c r="U53" s="21">
        <f t="shared" si="330"/>
        <v>93.118792869534261</v>
      </c>
      <c r="V53" s="21">
        <f t="shared" si="330"/>
        <v>58.207144968715426</v>
      </c>
      <c r="W53" s="21">
        <f t="shared" si="330"/>
        <v>55.042929485133321</v>
      </c>
      <c r="X53" s="21">
        <f t="shared" si="330"/>
        <v>113.25007445384874</v>
      </c>
      <c r="Y53" s="21">
        <f t="shared" si="330"/>
        <v>68.709872661295321</v>
      </c>
      <c r="Z53" s="21">
        <f t="shared" si="330"/>
        <v>68.574174480104702</v>
      </c>
      <c r="AA53" s="21">
        <f t="shared" si="330"/>
        <v>137.28404714140001</v>
      </c>
      <c r="AB53" s="21">
        <f t="shared" si="330"/>
        <v>77.255479799932502</v>
      </c>
      <c r="AC53" s="21">
        <f t="shared" si="330"/>
        <v>83.466604747929964</v>
      </c>
      <c r="AD53" s="21">
        <f t="shared" si="330"/>
        <v>160.72208454786247</v>
      </c>
      <c r="AE53" s="21">
        <f t="shared" si="330"/>
        <v>88.926628819046925</v>
      </c>
      <c r="AF53" s="21">
        <f t="shared" si="330"/>
        <v>95.813120150755466</v>
      </c>
      <c r="AG53" s="21">
        <f t="shared" si="330"/>
        <v>184.73974896980241</v>
      </c>
      <c r="AH53" s="21">
        <f t="shared" si="330"/>
        <v>101.65081978502982</v>
      </c>
      <c r="AI53" s="21">
        <f t="shared" si="330"/>
        <v>109.26672243295597</v>
      </c>
      <c r="AJ53" s="21">
        <f t="shared" si="330"/>
        <v>210.91754221798581</v>
      </c>
      <c r="AK53" s="21">
        <f t="shared" si="330"/>
        <v>115.50166229722322</v>
      </c>
      <c r="AL53" s="21">
        <f t="shared" si="330"/>
        <v>123.90464292004329</v>
      </c>
      <c r="AM53" s="21">
        <f t="shared" si="330"/>
        <v>239.40630521726652</v>
      </c>
      <c r="AN53" s="21">
        <f t="shared" si="330"/>
        <v>127.55651580232296</v>
      </c>
      <c r="AO53" s="21">
        <f t="shared" si="330"/>
        <v>136.12719356002864</v>
      </c>
      <c r="AP53" s="21">
        <f t="shared" si="330"/>
        <v>263.68370936235158</v>
      </c>
      <c r="AQ53" s="21">
        <f t="shared" si="330"/>
        <v>139.28944842958188</v>
      </c>
      <c r="AR53" s="21">
        <f t="shared" si="330"/>
        <v>148.47659750509968</v>
      </c>
      <c r="AS53" s="21">
        <f t="shared" si="330"/>
        <v>287.76604593468153</v>
      </c>
      <c r="AT53" s="21">
        <f t="shared" si="330"/>
        <v>151.04557150765581</v>
      </c>
      <c r="AU53" s="21">
        <f t="shared" si="330"/>
        <v>160.84087987969508</v>
      </c>
      <c r="AV53" s="21">
        <f t="shared" si="330"/>
        <v>311.88645138735092</v>
      </c>
    </row>
    <row r="54" spans="1:136" outlineLevel="1" x14ac:dyDescent="0.25">
      <c r="A54" t="s">
        <v>641</v>
      </c>
      <c r="B54" s="11" t="s">
        <v>485</v>
      </c>
      <c r="C54" s="22" t="s">
        <v>28</v>
      </c>
      <c r="F54" s="19">
        <f>+F55-F53</f>
        <v>3.2999999999999972</v>
      </c>
      <c r="G54" s="19">
        <f>+G55-G53</f>
        <v>1.4074999999999989</v>
      </c>
      <c r="H54" s="19">
        <f>+I54-G54</f>
        <v>4.2924999999999969</v>
      </c>
      <c r="I54" s="19">
        <f>+I55-I53</f>
        <v>5.6999999999999957</v>
      </c>
      <c r="J54" s="19">
        <f>+J55-J53</f>
        <v>3.2289999999999957</v>
      </c>
      <c r="K54" s="19">
        <f>+L54-J54</f>
        <v>4.9680000000000071</v>
      </c>
      <c r="L54" s="309">
        <f>+L55-L53</f>
        <v>8.1970000000000027</v>
      </c>
      <c r="M54" s="19">
        <f>+M55-M53</f>
        <v>5.0640000000000143</v>
      </c>
      <c r="N54" s="19">
        <f>+O54-M54</f>
        <v>6.4690000000000012</v>
      </c>
      <c r="O54" s="309">
        <f>+O55-O53</f>
        <v>11.533000000000015</v>
      </c>
      <c r="P54" s="19">
        <f>+R54*50%</f>
        <v>4.1348214700854751</v>
      </c>
      <c r="Q54" s="19">
        <f t="shared" ref="Q54" si="331">+R54-P54</f>
        <v>4.1348214700854751</v>
      </c>
      <c r="R54" s="19">
        <f>+O54/O187*R187</f>
        <v>8.2696429401709501</v>
      </c>
      <c r="S54" s="19">
        <f t="shared" ref="S54" si="332">+U54*50%</f>
        <v>5.0217180124755778</v>
      </c>
      <c r="T54" s="19">
        <f t="shared" ref="T54" si="333">+U54-S54</f>
        <v>5.0217180124755778</v>
      </c>
      <c r="U54" s="19">
        <f>+R54/R187*U187</f>
        <v>10.043436024951156</v>
      </c>
      <c r="V54" s="19">
        <f t="shared" ref="V54" si="334">+X54*50%</f>
        <v>6.1726497618076568</v>
      </c>
      <c r="W54" s="19">
        <f t="shared" ref="W54" si="335">+X54-V54</f>
        <v>6.1726497618076568</v>
      </c>
      <c r="X54" s="19">
        <f>+U54/U187*X187</f>
        <v>12.345299523615314</v>
      </c>
      <c r="Y54" s="19">
        <f t="shared" ref="Y54" si="336">+AA54*50%</f>
        <v>7.4041952004395268</v>
      </c>
      <c r="Z54" s="19">
        <f t="shared" ref="Z54" si="337">+AA54-Y54</f>
        <v>7.4041952004395268</v>
      </c>
      <c r="AA54" s="19">
        <f>+X54/X187*AA187</f>
        <v>14.808390400879054</v>
      </c>
      <c r="AB54" s="19">
        <f t="shared" ref="AB54" si="338">+AD54*50%</f>
        <v>8.6509570866531185</v>
      </c>
      <c r="AC54" s="19">
        <f t="shared" ref="AC54" si="339">+AD54-AB54</f>
        <v>8.6509570866531185</v>
      </c>
      <c r="AD54" s="19">
        <f>+AA54/AA187*AD187</f>
        <v>17.301914173306237</v>
      </c>
      <c r="AE54" s="19">
        <f t="shared" ref="AE54" si="340">+AG54*50%</f>
        <v>10.150406333954082</v>
      </c>
      <c r="AF54" s="19">
        <f t="shared" ref="AF54" si="341">+AG54-AE54</f>
        <v>10.150406333954082</v>
      </c>
      <c r="AG54" s="19">
        <f>+AD54/AD187*AG187</f>
        <v>20.300812667908165</v>
      </c>
      <c r="AH54" s="19">
        <f t="shared" ref="AH54" si="342">+AJ54*50%</f>
        <v>11.847551369629558</v>
      </c>
      <c r="AI54" s="19">
        <f t="shared" ref="AI54" si="343">+AJ54-AH54</f>
        <v>11.847551369629558</v>
      </c>
      <c r="AJ54" s="19">
        <f>+AG54/AG187*AJ187</f>
        <v>23.695102739259116</v>
      </c>
      <c r="AK54" s="19">
        <f t="shared" ref="AK54" si="344">+AM54*50%</f>
        <v>13.761775894098168</v>
      </c>
      <c r="AL54" s="19">
        <f t="shared" ref="AL54" si="345">+AM54-AK54</f>
        <v>13.761775894098168</v>
      </c>
      <c r="AM54" s="19">
        <f>+AJ54/AJ187*AM187</f>
        <v>27.523551788196336</v>
      </c>
      <c r="AN54" s="19">
        <f t="shared" ref="AN54" si="346">+AP54*50%</f>
        <v>15.447406794215821</v>
      </c>
      <c r="AO54" s="19">
        <f t="shared" ref="AO54" si="347">+AP54-AN54</f>
        <v>15.447406794215821</v>
      </c>
      <c r="AP54" s="19">
        <f>+AM54/AM187*AP187</f>
        <v>30.894813588431642</v>
      </c>
      <c r="AQ54" s="19">
        <f t="shared" ref="AQ54" si="348">+AS54*50%</f>
        <v>17.33900049342472</v>
      </c>
      <c r="AR54" s="19">
        <f t="shared" ref="AR54:AR55" si="349">+AS54-AQ54</f>
        <v>17.33900049342472</v>
      </c>
      <c r="AS54" s="19">
        <f>+AP54/AP187*AS187</f>
        <v>34.67800098684944</v>
      </c>
      <c r="AT54" s="19">
        <f t="shared" ref="AT54" si="350">+AV54*50%</f>
        <v>19.396940902936858</v>
      </c>
      <c r="AU54" s="19">
        <f t="shared" ref="AU54:AU55" si="351">+AV54-AT54</f>
        <v>19.396940902936858</v>
      </c>
      <c r="AV54" s="19">
        <f>+AS54/AS187*AV187</f>
        <v>38.793881805873717</v>
      </c>
    </row>
    <row r="55" spans="1:136" outlineLevel="1" x14ac:dyDescent="0.25">
      <c r="B55" s="12" t="s">
        <v>360</v>
      </c>
      <c r="C55" s="22" t="s">
        <v>28</v>
      </c>
      <c r="F55" s="45">
        <v>33.4</v>
      </c>
      <c r="G55" s="45">
        <v>21</v>
      </c>
      <c r="H55" s="19">
        <f>+I55-G55</f>
        <v>25.799999999999997</v>
      </c>
      <c r="I55" s="45">
        <v>46.8</v>
      </c>
      <c r="J55" s="45">
        <v>29.5</v>
      </c>
      <c r="K55" s="19">
        <f>+L55-J55</f>
        <v>31.200000000000003</v>
      </c>
      <c r="L55" s="354">
        <v>60.7</v>
      </c>
      <c r="M55" s="441">
        <v>38.200000000000003</v>
      </c>
      <c r="N55" s="19">
        <f>+O55-M55</f>
        <v>40.724000000000004</v>
      </c>
      <c r="O55" s="354">
        <v>78.924000000000007</v>
      </c>
      <c r="P55" s="19">
        <f t="shared" ref="P55" si="352">+P53+P54</f>
        <v>41.421727689204914</v>
      </c>
      <c r="Q55" s="19">
        <f t="shared" ref="Q55" si="353">+R55-P55</f>
        <v>43.292909941500014</v>
      </c>
      <c r="R55" s="19">
        <f>+R53+R54</f>
        <v>84.714637630704928</v>
      </c>
      <c r="S55" s="19">
        <f t="shared" ref="S55" si="354">+S53+S54</f>
        <v>49.465059709580359</v>
      </c>
      <c r="T55" s="19">
        <f t="shared" ref="T55" si="355">+U55-S55</f>
        <v>53.697169184905064</v>
      </c>
      <c r="U55" s="19">
        <f t="shared" ref="U55:V55" si="356">+U53+U54</f>
        <v>103.16222889448542</v>
      </c>
      <c r="V55" s="19">
        <f t="shared" si="356"/>
        <v>64.379794730523088</v>
      </c>
      <c r="W55" s="19">
        <f t="shared" ref="W55" si="357">+X55-V55</f>
        <v>61.215579246940962</v>
      </c>
      <c r="X55" s="19">
        <f t="shared" ref="X55:Y55" si="358">+X53+X54</f>
        <v>125.59537397746405</v>
      </c>
      <c r="Y55" s="19">
        <f t="shared" si="358"/>
        <v>76.114067861734853</v>
      </c>
      <c r="Z55" s="19">
        <f t="shared" ref="Z55" si="359">+AA55-Y55</f>
        <v>75.978369680544219</v>
      </c>
      <c r="AA55" s="19">
        <f t="shared" ref="AA55:AB55" si="360">+AA53+AA54</f>
        <v>152.09243754227907</v>
      </c>
      <c r="AB55" s="19">
        <f t="shared" si="360"/>
        <v>85.906436886585624</v>
      </c>
      <c r="AC55" s="19">
        <f t="shared" ref="AC55" si="361">+AD55-AB55</f>
        <v>92.117561834583086</v>
      </c>
      <c r="AD55" s="19">
        <f t="shared" ref="AD55:AE55" si="362">+AD53+AD54</f>
        <v>178.02399872116871</v>
      </c>
      <c r="AE55" s="19">
        <f t="shared" si="362"/>
        <v>99.077035153001006</v>
      </c>
      <c r="AF55" s="19">
        <f t="shared" ref="AF55" si="363">+AG55-AE55</f>
        <v>105.96352648470956</v>
      </c>
      <c r="AG55" s="19">
        <f t="shared" ref="AG55:AH55" si="364">+AG53+AG54</f>
        <v>205.04056163771057</v>
      </c>
      <c r="AH55" s="19">
        <f t="shared" si="364"/>
        <v>113.49837115465938</v>
      </c>
      <c r="AI55" s="19">
        <f t="shared" ref="AI55" si="365">+AJ55-AH55</f>
        <v>121.11427380258554</v>
      </c>
      <c r="AJ55" s="19">
        <f t="shared" ref="AJ55:AK55" si="366">+AJ53+AJ54</f>
        <v>234.61264495724492</v>
      </c>
      <c r="AK55" s="19">
        <f t="shared" si="366"/>
        <v>129.2634381913214</v>
      </c>
      <c r="AL55" s="19">
        <f t="shared" ref="AL55" si="367">+AM55-AK55</f>
        <v>137.66641881414145</v>
      </c>
      <c r="AM55" s="19">
        <f t="shared" ref="AM55:AN55" si="368">+AM53+AM54</f>
        <v>266.92985700546285</v>
      </c>
      <c r="AN55" s="19">
        <f t="shared" si="368"/>
        <v>143.00392259653879</v>
      </c>
      <c r="AO55" s="19">
        <f t="shared" ref="AO55" si="369">+AP55-AN55</f>
        <v>151.57460035424444</v>
      </c>
      <c r="AP55" s="19">
        <f t="shared" ref="AP55:AQ55" si="370">+AP53+AP54</f>
        <v>294.57852295078322</v>
      </c>
      <c r="AQ55" s="19">
        <f t="shared" si="370"/>
        <v>156.6284489230066</v>
      </c>
      <c r="AR55" s="19">
        <f t="shared" si="349"/>
        <v>165.81559799852437</v>
      </c>
      <c r="AS55" s="19">
        <f t="shared" ref="AS55:AT55" si="371">+AS53+AS54</f>
        <v>322.44404692153097</v>
      </c>
      <c r="AT55" s="19">
        <f t="shared" si="371"/>
        <v>170.44251241059266</v>
      </c>
      <c r="AU55" s="19">
        <f t="shared" si="351"/>
        <v>180.23782078263196</v>
      </c>
      <c r="AV55" s="19">
        <f t="shared" ref="AV55" si="372">+AV53+AV54</f>
        <v>350.68033319322461</v>
      </c>
    </row>
    <row r="56" spans="1:136" outlineLevel="1" x14ac:dyDescent="0.25">
      <c r="L56" s="355"/>
      <c r="M56" s="328"/>
      <c r="O56" s="30"/>
      <c r="AA56" s="19"/>
      <c r="AD56" s="19"/>
      <c r="AG56" s="19"/>
      <c r="AJ56" s="19"/>
      <c r="AM56" s="19"/>
      <c r="AP56" s="19"/>
      <c r="AS56" s="19"/>
      <c r="AV56" s="19"/>
    </row>
    <row r="57" spans="1:136" outlineLevel="1" x14ac:dyDescent="0.25">
      <c r="L57" s="356"/>
      <c r="M57" s="406"/>
    </row>
    <row r="58" spans="1:136" outlineLevel="1" x14ac:dyDescent="0.25">
      <c r="A58" s="9" t="s">
        <v>32</v>
      </c>
      <c r="B58" s="13" t="s">
        <v>53</v>
      </c>
      <c r="C58" s="194"/>
      <c r="D58" s="194"/>
      <c r="E58" s="194"/>
      <c r="F58" s="194"/>
      <c r="G58" s="195"/>
      <c r="H58" s="195"/>
      <c r="I58" s="195"/>
      <c r="J58" s="195"/>
      <c r="K58" s="195"/>
      <c r="L58" s="342"/>
      <c r="M58" s="195"/>
      <c r="N58" s="195"/>
      <c r="O58" s="195"/>
      <c r="P58" s="195"/>
      <c r="Q58" s="195"/>
      <c r="R58" s="195"/>
      <c r="S58" s="195"/>
      <c r="T58" s="195"/>
      <c r="U58" s="195"/>
      <c r="V58" s="60"/>
      <c r="W58" s="13"/>
      <c r="X58" s="194"/>
      <c r="Y58" s="60"/>
      <c r="Z58" s="13"/>
      <c r="AA58" s="194"/>
      <c r="AB58" s="60"/>
      <c r="AC58" s="13"/>
      <c r="AD58" s="194"/>
      <c r="AE58" s="60"/>
      <c r="AF58" s="13"/>
      <c r="AG58" s="194"/>
      <c r="AH58" s="60"/>
      <c r="AI58" s="13"/>
      <c r="AJ58" s="194"/>
      <c r="AK58" s="60"/>
      <c r="AL58" s="13"/>
      <c r="AM58" s="194"/>
      <c r="AN58" s="60"/>
      <c r="AO58" s="13"/>
      <c r="AP58" s="194"/>
      <c r="AQ58" s="60"/>
      <c r="AR58" s="13"/>
      <c r="AS58" s="194"/>
      <c r="AT58" s="60"/>
      <c r="AU58" s="13"/>
      <c r="AV58" s="194"/>
      <c r="AW58" s="10"/>
      <c r="BD58" s="7"/>
      <c r="BE58" s="7"/>
      <c r="BF58" s="7"/>
      <c r="BG58" s="7"/>
      <c r="BH58" s="7"/>
      <c r="BI58" s="7"/>
      <c r="BJ58" s="7"/>
      <c r="BK58" s="7"/>
      <c r="BL58" s="7"/>
      <c r="BN58" s="89"/>
      <c r="BO58" s="10"/>
      <c r="BP58" s="10"/>
      <c r="BQ58" s="10"/>
      <c r="BR58" s="10"/>
      <c r="BS58" s="7"/>
      <c r="BT58" s="7"/>
      <c r="BU58" s="7"/>
      <c r="BV58" s="7"/>
      <c r="BW58" s="7"/>
      <c r="BX58" s="7"/>
      <c r="BY58" s="7"/>
      <c r="BZ58" s="7"/>
      <c r="CA58" s="7"/>
      <c r="CB58" s="7"/>
      <c r="CC58" s="7"/>
      <c r="CD58" s="7"/>
      <c r="CE58" s="7"/>
      <c r="CF58" s="7"/>
      <c r="CG58" s="7"/>
      <c r="CI58" s="89"/>
      <c r="CJ58" s="10"/>
      <c r="CK58" s="10"/>
      <c r="CL58" s="10"/>
      <c r="CM58" s="10"/>
      <c r="CN58" s="7"/>
      <c r="CO58" s="7"/>
      <c r="CP58" s="7"/>
      <c r="CQ58" s="7"/>
      <c r="CR58" s="7"/>
      <c r="CS58" s="7"/>
      <c r="CT58" s="7"/>
      <c r="CU58" s="7"/>
      <c r="CV58" s="7"/>
      <c r="CW58" s="7"/>
      <c r="CX58" s="7"/>
      <c r="CY58" s="7"/>
      <c r="CZ58" s="7"/>
      <c r="DA58" s="7"/>
      <c r="DB58" s="7"/>
      <c r="DD58" s="89"/>
      <c r="DE58" s="10"/>
      <c r="DF58" s="10"/>
      <c r="DG58" s="10"/>
      <c r="DH58" s="10"/>
      <c r="DI58" s="7"/>
      <c r="DJ58" s="7"/>
      <c r="DK58" s="7"/>
      <c r="DL58" s="7"/>
      <c r="DM58" s="7"/>
      <c r="DN58" s="7"/>
      <c r="DO58" s="7"/>
      <c r="DP58" s="7"/>
      <c r="DQ58" s="7"/>
      <c r="DR58" s="7"/>
      <c r="DS58" s="7"/>
      <c r="DT58" s="7"/>
      <c r="DU58" s="7"/>
      <c r="DV58" s="7"/>
      <c r="DW58" s="7"/>
      <c r="DY58" s="89"/>
      <c r="DZ58" s="10"/>
      <c r="EA58" s="10"/>
      <c r="EB58" s="10"/>
      <c r="EC58" s="10"/>
      <c r="ED58" s="7"/>
      <c r="EE58" s="7"/>
      <c r="EF58" s="7"/>
    </row>
    <row r="59" spans="1:136" outlineLevel="1" x14ac:dyDescent="0.25">
      <c r="C59" s="227"/>
    </row>
    <row r="60" spans="1:136" outlineLevel="1" x14ac:dyDescent="0.25">
      <c r="B60" s="8" t="s">
        <v>34</v>
      </c>
      <c r="C60" s="22" t="s">
        <v>274</v>
      </c>
      <c r="F60" s="21"/>
      <c r="G60" s="21">
        <f>+F63</f>
        <v>46</v>
      </c>
      <c r="H60" s="21">
        <f>+G63</f>
        <v>51</v>
      </c>
      <c r="I60" s="21">
        <f>+F63</f>
        <v>46</v>
      </c>
      <c r="J60" s="21">
        <f>+I63</f>
        <v>55</v>
      </c>
      <c r="K60" s="21">
        <f>+J63</f>
        <v>62</v>
      </c>
      <c r="L60" s="308">
        <f>+I63</f>
        <v>55</v>
      </c>
      <c r="M60" s="21">
        <f>+L63</f>
        <v>64</v>
      </c>
      <c r="N60" s="21">
        <f>+M63</f>
        <v>74</v>
      </c>
      <c r="O60" s="308">
        <f>+L63</f>
        <v>64</v>
      </c>
      <c r="P60" s="21">
        <f t="shared" ref="P60:W60" si="373">+O63</f>
        <v>81</v>
      </c>
      <c r="Q60" s="21">
        <f t="shared" si="373"/>
        <v>83</v>
      </c>
      <c r="R60" s="21">
        <f>+O63</f>
        <v>81</v>
      </c>
      <c r="S60" s="21">
        <f t="shared" si="373"/>
        <v>93</v>
      </c>
      <c r="T60" s="21">
        <f t="shared" si="373"/>
        <v>100</v>
      </c>
      <c r="U60" s="21">
        <f>+R63</f>
        <v>93</v>
      </c>
      <c r="V60" s="21">
        <f t="shared" si="373"/>
        <v>107</v>
      </c>
      <c r="W60" s="21">
        <f t="shared" si="373"/>
        <v>115</v>
      </c>
      <c r="X60" s="21">
        <f>+U63</f>
        <v>107</v>
      </c>
      <c r="Y60" s="21">
        <f t="shared" ref="Y60" si="374">+X63</f>
        <v>123</v>
      </c>
      <c r="Z60" s="21">
        <f t="shared" ref="Z60" si="375">+Y63</f>
        <v>131</v>
      </c>
      <c r="AA60" s="21">
        <f>+X63</f>
        <v>123</v>
      </c>
      <c r="AB60" s="21">
        <f t="shared" ref="AB60" si="376">+AA63</f>
        <v>139</v>
      </c>
      <c r="AC60" s="21">
        <f t="shared" ref="AC60" si="377">+AB63</f>
        <v>146</v>
      </c>
      <c r="AD60" s="21">
        <f t="shared" ref="AD60" si="378">+AA63</f>
        <v>139</v>
      </c>
      <c r="AE60" s="21">
        <f t="shared" ref="AE60" si="379">+AD63</f>
        <v>153</v>
      </c>
      <c r="AF60" s="21">
        <f t="shared" ref="AF60" si="380">+AE63</f>
        <v>160</v>
      </c>
      <c r="AG60" s="21">
        <f t="shared" ref="AG60" si="381">+AD63</f>
        <v>153</v>
      </c>
      <c r="AH60" s="21">
        <f t="shared" ref="AH60" si="382">+AG63</f>
        <v>167</v>
      </c>
      <c r="AI60" s="21">
        <f t="shared" ref="AI60" si="383">+AH63</f>
        <v>174</v>
      </c>
      <c r="AJ60" s="21">
        <f t="shared" ref="AJ60" si="384">+AG63</f>
        <v>167</v>
      </c>
      <c r="AK60" s="21">
        <f t="shared" ref="AK60" si="385">+AJ63</f>
        <v>181</v>
      </c>
      <c r="AL60" s="21">
        <f t="shared" ref="AL60" si="386">+AK63</f>
        <v>188</v>
      </c>
      <c r="AM60" s="21">
        <f t="shared" ref="AM60" si="387">+AJ63</f>
        <v>181</v>
      </c>
      <c r="AN60" s="21">
        <f t="shared" ref="AN60" si="388">+AM63</f>
        <v>195</v>
      </c>
      <c r="AO60" s="21">
        <f t="shared" ref="AO60" si="389">+AN63</f>
        <v>201</v>
      </c>
      <c r="AP60" s="21">
        <f t="shared" ref="AP60" si="390">+AM63</f>
        <v>195</v>
      </c>
      <c r="AQ60" s="21">
        <f t="shared" ref="AQ60" si="391">+AP63</f>
        <v>207</v>
      </c>
      <c r="AR60" s="21">
        <f t="shared" ref="AR60" si="392">+AQ63</f>
        <v>213</v>
      </c>
      <c r="AS60" s="21">
        <f t="shared" ref="AS60" si="393">+AP63</f>
        <v>207</v>
      </c>
      <c r="AT60" s="21">
        <f t="shared" ref="AT60" si="394">+AS63</f>
        <v>219</v>
      </c>
      <c r="AU60" s="21">
        <f t="shared" ref="AU60" si="395">+AT63</f>
        <v>225</v>
      </c>
      <c r="AV60" s="21">
        <f t="shared" ref="AV60" si="396">+AS63</f>
        <v>219</v>
      </c>
    </row>
    <row r="61" spans="1:136" outlineLevel="1" x14ac:dyDescent="0.25">
      <c r="B61" s="25" t="s">
        <v>35</v>
      </c>
      <c r="C61" s="22" t="s">
        <v>274</v>
      </c>
      <c r="F61" s="21"/>
      <c r="G61" s="21"/>
      <c r="H61" s="21"/>
      <c r="I61" s="21"/>
      <c r="J61" s="21">
        <v>0</v>
      </c>
      <c r="K61" s="21"/>
      <c r="L61" s="308">
        <f>+J61+K61</f>
        <v>0</v>
      </c>
      <c r="M61" s="21">
        <v>0</v>
      </c>
      <c r="N61" s="21"/>
      <c r="O61" s="308">
        <f>+M61+N61</f>
        <v>0</v>
      </c>
      <c r="P61" s="27">
        <v>0</v>
      </c>
      <c r="Q61" s="27">
        <v>0</v>
      </c>
      <c r="R61" s="21">
        <f>+P61+Q61</f>
        <v>0</v>
      </c>
      <c r="S61" s="27">
        <v>0</v>
      </c>
      <c r="T61" s="27">
        <v>0</v>
      </c>
      <c r="U61" s="21">
        <f>+S61+T61</f>
        <v>0</v>
      </c>
      <c r="V61" s="27">
        <v>0</v>
      </c>
      <c r="W61" s="27">
        <v>0</v>
      </c>
      <c r="X61" s="21">
        <f>+V61+W61</f>
        <v>0</v>
      </c>
      <c r="Y61" s="27">
        <v>0</v>
      </c>
      <c r="Z61" s="27">
        <v>0</v>
      </c>
      <c r="AA61" s="21">
        <f>+Y61+Z61</f>
        <v>0</v>
      </c>
      <c r="AB61" s="27">
        <v>0</v>
      </c>
      <c r="AC61" s="27">
        <v>0</v>
      </c>
      <c r="AD61" s="21">
        <f t="shared" ref="AD61" si="397">+AB61+AC61</f>
        <v>0</v>
      </c>
      <c r="AE61" s="27">
        <v>0</v>
      </c>
      <c r="AF61" s="27">
        <v>0</v>
      </c>
      <c r="AG61" s="21">
        <f t="shared" ref="AG61" si="398">+AE61+AF61</f>
        <v>0</v>
      </c>
      <c r="AH61" s="27">
        <v>0</v>
      </c>
      <c r="AI61" s="27">
        <v>0</v>
      </c>
      <c r="AJ61" s="21">
        <f t="shared" ref="AJ61" si="399">+AH61+AI61</f>
        <v>0</v>
      </c>
      <c r="AK61" s="27">
        <v>0</v>
      </c>
      <c r="AL61" s="27">
        <v>0</v>
      </c>
      <c r="AM61" s="21">
        <f t="shared" ref="AM61" si="400">+AK61+AL61</f>
        <v>0</v>
      </c>
      <c r="AN61" s="27">
        <v>0</v>
      </c>
      <c r="AO61" s="27">
        <v>0</v>
      </c>
      <c r="AP61" s="21">
        <f t="shared" ref="AP61" si="401">+AN61+AO61</f>
        <v>0</v>
      </c>
      <c r="AQ61" s="27">
        <v>0</v>
      </c>
      <c r="AR61" s="27">
        <v>0</v>
      </c>
      <c r="AS61" s="21">
        <f t="shared" ref="AS61" si="402">+AQ61+AR61</f>
        <v>0</v>
      </c>
      <c r="AT61" s="27">
        <v>0</v>
      </c>
      <c r="AU61" s="27">
        <v>0</v>
      </c>
      <c r="AV61" s="21">
        <f t="shared" ref="AV61" si="403">+AT61+AU61</f>
        <v>0</v>
      </c>
    </row>
    <row r="62" spans="1:136" outlineLevel="1" x14ac:dyDescent="0.25">
      <c r="B62" s="11" t="s">
        <v>36</v>
      </c>
      <c r="C62" s="22" t="s">
        <v>274</v>
      </c>
      <c r="F62" s="21"/>
      <c r="G62" s="21">
        <f t="shared" ref="G62:L62" si="404">+G63-G60</f>
        <v>5</v>
      </c>
      <c r="H62" s="21">
        <f t="shared" si="404"/>
        <v>4</v>
      </c>
      <c r="I62" s="21">
        <f t="shared" si="404"/>
        <v>9</v>
      </c>
      <c r="J62" s="21">
        <f t="shared" si="404"/>
        <v>7</v>
      </c>
      <c r="K62" s="21">
        <f t="shared" si="404"/>
        <v>2</v>
      </c>
      <c r="L62" s="308">
        <f t="shared" si="404"/>
        <v>9</v>
      </c>
      <c r="M62" s="21">
        <f>+M63-M60</f>
        <v>10</v>
      </c>
      <c r="N62" s="21">
        <f t="shared" ref="N62:O62" si="405">+N63-N60</f>
        <v>7</v>
      </c>
      <c r="O62" s="308">
        <f t="shared" si="405"/>
        <v>17</v>
      </c>
      <c r="P62" s="21">
        <f>+P49-P83</f>
        <v>2</v>
      </c>
      <c r="Q62" s="21">
        <f>+R62-P62</f>
        <v>10</v>
      </c>
      <c r="R62" s="21">
        <f>+R49-R83</f>
        <v>12</v>
      </c>
      <c r="S62" s="21">
        <f t="shared" ref="S62:AA62" si="406">+S49*40%</f>
        <v>7</v>
      </c>
      <c r="T62" s="21">
        <f t="shared" si="406"/>
        <v>7</v>
      </c>
      <c r="U62" s="21">
        <f>+U49*40%</f>
        <v>14</v>
      </c>
      <c r="V62" s="21">
        <f t="shared" si="406"/>
        <v>8</v>
      </c>
      <c r="W62" s="21">
        <f t="shared" si="406"/>
        <v>8</v>
      </c>
      <c r="X62" s="21">
        <f t="shared" si="406"/>
        <v>16</v>
      </c>
      <c r="Y62" s="21">
        <f t="shared" si="406"/>
        <v>8</v>
      </c>
      <c r="Z62" s="21">
        <f t="shared" si="406"/>
        <v>8</v>
      </c>
      <c r="AA62" s="21">
        <f t="shared" si="406"/>
        <v>16</v>
      </c>
      <c r="AB62" s="21">
        <f t="shared" ref="AB62:AP62" si="407">+AB49*40%</f>
        <v>7</v>
      </c>
      <c r="AC62" s="21">
        <f t="shared" si="407"/>
        <v>7</v>
      </c>
      <c r="AD62" s="21">
        <f t="shared" si="407"/>
        <v>14</v>
      </c>
      <c r="AE62" s="21">
        <f t="shared" si="407"/>
        <v>7</v>
      </c>
      <c r="AF62" s="21">
        <f t="shared" si="407"/>
        <v>7</v>
      </c>
      <c r="AG62" s="21">
        <f t="shared" si="407"/>
        <v>14</v>
      </c>
      <c r="AH62" s="21">
        <f t="shared" si="407"/>
        <v>7</v>
      </c>
      <c r="AI62" s="21">
        <f t="shared" si="407"/>
        <v>7</v>
      </c>
      <c r="AJ62" s="21">
        <f t="shared" si="407"/>
        <v>14</v>
      </c>
      <c r="AK62" s="21">
        <f t="shared" si="407"/>
        <v>7</v>
      </c>
      <c r="AL62" s="21">
        <f t="shared" si="407"/>
        <v>7</v>
      </c>
      <c r="AM62" s="21">
        <f t="shared" si="407"/>
        <v>14</v>
      </c>
      <c r="AN62" s="21">
        <f t="shared" si="407"/>
        <v>6</v>
      </c>
      <c r="AO62" s="21">
        <f t="shared" si="407"/>
        <v>6</v>
      </c>
      <c r="AP62" s="21">
        <f t="shared" si="407"/>
        <v>12</v>
      </c>
      <c r="AQ62" s="21">
        <f t="shared" ref="AQ62:AS62" si="408">+AQ49*40%</f>
        <v>6</v>
      </c>
      <c r="AR62" s="21">
        <f t="shared" si="408"/>
        <v>6</v>
      </c>
      <c r="AS62" s="21">
        <f t="shared" si="408"/>
        <v>12</v>
      </c>
      <c r="AT62" s="21">
        <f t="shared" ref="AT62:AV62" si="409">+AT49*40%</f>
        <v>6</v>
      </c>
      <c r="AU62" s="21">
        <f t="shared" si="409"/>
        <v>6</v>
      </c>
      <c r="AV62" s="21">
        <f t="shared" si="409"/>
        <v>12</v>
      </c>
    </row>
    <row r="63" spans="1:136" outlineLevel="1" x14ac:dyDescent="0.25">
      <c r="A63" t="s">
        <v>452</v>
      </c>
      <c r="B63" s="8" t="s">
        <v>37</v>
      </c>
      <c r="C63" s="22" t="s">
        <v>274</v>
      </c>
      <c r="F63" s="43">
        <v>46</v>
      </c>
      <c r="G63" s="43">
        <v>51</v>
      </c>
      <c r="H63" s="21">
        <f>+I63</f>
        <v>55</v>
      </c>
      <c r="I63" s="43">
        <v>55</v>
      </c>
      <c r="J63" s="43">
        <v>62</v>
      </c>
      <c r="K63" s="21">
        <f>+L63</f>
        <v>64</v>
      </c>
      <c r="L63" s="357">
        <v>64</v>
      </c>
      <c r="M63" s="442">
        <v>74</v>
      </c>
      <c r="N63" s="21">
        <f>+O63</f>
        <v>81</v>
      </c>
      <c r="O63" s="357">
        <v>81</v>
      </c>
      <c r="P63" s="21">
        <f>+P60+P61+P62</f>
        <v>83</v>
      </c>
      <c r="Q63" s="21">
        <f>+Q60+Q61+Q62</f>
        <v>93</v>
      </c>
      <c r="R63" s="21">
        <f>+R60+R61+R62</f>
        <v>93</v>
      </c>
      <c r="S63" s="21">
        <f t="shared" ref="S63:X63" si="410">+S60+S61+S62</f>
        <v>100</v>
      </c>
      <c r="T63" s="21">
        <f t="shared" si="410"/>
        <v>107</v>
      </c>
      <c r="U63" s="21">
        <f t="shared" si="410"/>
        <v>107</v>
      </c>
      <c r="V63" s="21">
        <f t="shared" si="410"/>
        <v>115</v>
      </c>
      <c r="W63" s="21">
        <f t="shared" si="410"/>
        <v>123</v>
      </c>
      <c r="X63" s="21">
        <f t="shared" si="410"/>
        <v>123</v>
      </c>
      <c r="Y63" s="21">
        <f t="shared" ref="Y63:AA63" si="411">+Y60+Y61+Y62</f>
        <v>131</v>
      </c>
      <c r="Z63" s="21">
        <f t="shared" si="411"/>
        <v>139</v>
      </c>
      <c r="AA63" s="21">
        <f t="shared" si="411"/>
        <v>139</v>
      </c>
      <c r="AB63" s="21">
        <f t="shared" ref="AB63:AP63" si="412">+AB60+AB61+AB62</f>
        <v>146</v>
      </c>
      <c r="AC63" s="21">
        <f t="shared" si="412"/>
        <v>153</v>
      </c>
      <c r="AD63" s="21">
        <f t="shared" si="412"/>
        <v>153</v>
      </c>
      <c r="AE63" s="21">
        <f t="shared" si="412"/>
        <v>160</v>
      </c>
      <c r="AF63" s="21">
        <f t="shared" si="412"/>
        <v>167</v>
      </c>
      <c r="AG63" s="21">
        <f t="shared" si="412"/>
        <v>167</v>
      </c>
      <c r="AH63" s="21">
        <f t="shared" si="412"/>
        <v>174</v>
      </c>
      <c r="AI63" s="21">
        <f t="shared" si="412"/>
        <v>181</v>
      </c>
      <c r="AJ63" s="21">
        <f t="shared" si="412"/>
        <v>181</v>
      </c>
      <c r="AK63" s="21">
        <f t="shared" si="412"/>
        <v>188</v>
      </c>
      <c r="AL63" s="21">
        <f t="shared" si="412"/>
        <v>195</v>
      </c>
      <c r="AM63" s="21">
        <f t="shared" si="412"/>
        <v>195</v>
      </c>
      <c r="AN63" s="21">
        <f t="shared" si="412"/>
        <v>201</v>
      </c>
      <c r="AO63" s="21">
        <f t="shared" si="412"/>
        <v>207</v>
      </c>
      <c r="AP63" s="21">
        <f t="shared" si="412"/>
        <v>207</v>
      </c>
      <c r="AQ63" s="21">
        <f t="shared" ref="AQ63:AS63" si="413">+AQ60+AQ61+AQ62</f>
        <v>213</v>
      </c>
      <c r="AR63" s="21">
        <f t="shared" si="413"/>
        <v>219</v>
      </c>
      <c r="AS63" s="21">
        <f t="shared" si="413"/>
        <v>219</v>
      </c>
      <c r="AT63" s="21">
        <f t="shared" ref="AT63:AV63" si="414">+AT60+AT61+AT62</f>
        <v>225</v>
      </c>
      <c r="AU63" s="21">
        <f t="shared" si="414"/>
        <v>231</v>
      </c>
      <c r="AV63" s="21">
        <f t="shared" si="414"/>
        <v>231</v>
      </c>
    </row>
    <row r="64" spans="1:136" outlineLevel="1" x14ac:dyDescent="0.25">
      <c r="B64" s="11" t="s">
        <v>38</v>
      </c>
      <c r="C64" s="22" t="s">
        <v>274</v>
      </c>
      <c r="F64" s="21"/>
      <c r="G64" s="21">
        <f>+AVERAGE(F63:G63)</f>
        <v>48.5</v>
      </c>
      <c r="H64" s="21">
        <f>+AVERAGE(G63:H63)</f>
        <v>53</v>
      </c>
      <c r="I64" s="21">
        <f>+(I63+F63)/2</f>
        <v>50.5</v>
      </c>
      <c r="J64" s="21">
        <f>+AVERAGE(I63:J63)</f>
        <v>58.5</v>
      </c>
      <c r="K64" s="21">
        <f>+AVERAGE(J63:K63)</f>
        <v>63</v>
      </c>
      <c r="L64" s="308">
        <f>+(L63+I63)/2</f>
        <v>59.5</v>
      </c>
      <c r="M64" s="21">
        <f>+AVERAGE(L63:M63)</f>
        <v>69</v>
      </c>
      <c r="N64" s="21">
        <f>+AVERAGE(M63:N63)</f>
        <v>77.5</v>
      </c>
      <c r="O64" s="308">
        <f>+(O63+L63)/2</f>
        <v>72.5</v>
      </c>
      <c r="P64" s="21">
        <f>+AVERAGE(O63:P63)</f>
        <v>82</v>
      </c>
      <c r="Q64" s="21">
        <f>+AVERAGE(P63:Q63)</f>
        <v>88</v>
      </c>
      <c r="R64" s="21">
        <f>+(R63+O63)/2</f>
        <v>87</v>
      </c>
      <c r="S64" s="21">
        <f>+AVERAGE(R63:S63)</f>
        <v>96.5</v>
      </c>
      <c r="T64" s="21">
        <f>+AVERAGE(S63:T63)</f>
        <v>103.5</v>
      </c>
      <c r="U64" s="21">
        <f>+(U63+R63)/2</f>
        <v>100</v>
      </c>
      <c r="V64" s="21">
        <f>+AVERAGE(U63:V63)</f>
        <v>111</v>
      </c>
      <c r="W64" s="21">
        <f>+AVERAGE(V63:W63)</f>
        <v>119</v>
      </c>
      <c r="X64" s="21">
        <f>+(X63+U63)/2</f>
        <v>115</v>
      </c>
      <c r="Y64" s="21">
        <f>+AVERAGE(X63:Y63)</f>
        <v>127</v>
      </c>
      <c r="Z64" s="21">
        <f>+AVERAGE(Y63:Z63)</f>
        <v>135</v>
      </c>
      <c r="AA64" s="21">
        <f>+(AA63+X63)/2</f>
        <v>131</v>
      </c>
      <c r="AB64" s="21">
        <f t="shared" ref="AB64:AC64" si="415">+AVERAGE(AA63:AB63)</f>
        <v>142.5</v>
      </c>
      <c r="AC64" s="21">
        <f t="shared" si="415"/>
        <v>149.5</v>
      </c>
      <c r="AD64" s="21">
        <f t="shared" ref="AD64" si="416">+(AD63+AA63)/2</f>
        <v>146</v>
      </c>
      <c r="AE64" s="21">
        <f t="shared" ref="AE64:AF64" si="417">+AVERAGE(AD63:AE63)</f>
        <v>156.5</v>
      </c>
      <c r="AF64" s="21">
        <f t="shared" si="417"/>
        <v>163.5</v>
      </c>
      <c r="AG64" s="21">
        <f t="shared" ref="AG64" si="418">+(AG63+AD63)/2</f>
        <v>160</v>
      </c>
      <c r="AH64" s="21">
        <f t="shared" ref="AH64:AI64" si="419">+AVERAGE(AG63:AH63)</f>
        <v>170.5</v>
      </c>
      <c r="AI64" s="21">
        <f t="shared" si="419"/>
        <v>177.5</v>
      </c>
      <c r="AJ64" s="21">
        <f t="shared" ref="AJ64" si="420">+(AJ63+AG63)/2</f>
        <v>174</v>
      </c>
      <c r="AK64" s="21">
        <f t="shared" ref="AK64:AL64" si="421">+AVERAGE(AJ63:AK63)</f>
        <v>184.5</v>
      </c>
      <c r="AL64" s="21">
        <f t="shared" si="421"/>
        <v>191.5</v>
      </c>
      <c r="AM64" s="21">
        <f t="shared" ref="AM64" si="422">+(AM63+AJ63)/2</f>
        <v>188</v>
      </c>
      <c r="AN64" s="21">
        <f t="shared" ref="AN64:AO64" si="423">+AVERAGE(AM63:AN63)</f>
        <v>198</v>
      </c>
      <c r="AO64" s="21">
        <f t="shared" si="423"/>
        <v>204</v>
      </c>
      <c r="AP64" s="21">
        <f t="shared" ref="AP64" si="424">+(AP63+AM63)/2</f>
        <v>201</v>
      </c>
      <c r="AQ64" s="21">
        <f t="shared" ref="AQ64" si="425">+AVERAGE(AP63:AQ63)</f>
        <v>210</v>
      </c>
      <c r="AR64" s="21">
        <f t="shared" ref="AR64" si="426">+AVERAGE(AQ63:AR63)</f>
        <v>216</v>
      </c>
      <c r="AS64" s="21">
        <f t="shared" ref="AS64" si="427">+(AS63+AP63)/2</f>
        <v>213</v>
      </c>
      <c r="AT64" s="21">
        <f t="shared" ref="AT64" si="428">+AVERAGE(AS63:AT63)</f>
        <v>222</v>
      </c>
      <c r="AU64" s="21">
        <f t="shared" ref="AU64" si="429">+AVERAGE(AT63:AU63)</f>
        <v>228</v>
      </c>
      <c r="AV64" s="21">
        <f t="shared" ref="AV64" si="430">+(AV63+AS63)/2</f>
        <v>225</v>
      </c>
    </row>
    <row r="65" spans="1:136" outlineLevel="1" x14ac:dyDescent="0.25">
      <c r="B65" s="11" t="s">
        <v>39</v>
      </c>
      <c r="C65" s="22" t="s">
        <v>29</v>
      </c>
      <c r="I65" s="28"/>
      <c r="J65" s="303">
        <f>+J64/G64-1</f>
        <v>0.20618556701030921</v>
      </c>
      <c r="K65" s="28">
        <f t="shared" ref="K65:X65" si="431">+K64/H64-1</f>
        <v>0.18867924528301883</v>
      </c>
      <c r="L65" s="310">
        <f t="shared" si="431"/>
        <v>0.17821782178217815</v>
      </c>
      <c r="M65" s="303">
        <f>+M64/J64-1</f>
        <v>0.17948717948717952</v>
      </c>
      <c r="N65" s="28">
        <f t="shared" ref="N65" si="432">+N64/K64-1</f>
        <v>0.23015873015873023</v>
      </c>
      <c r="O65" s="310">
        <f t="shared" ref="O65" si="433">+O64/L64-1</f>
        <v>0.21848739495798308</v>
      </c>
      <c r="P65" s="28">
        <f t="shared" si="431"/>
        <v>0.18840579710144922</v>
      </c>
      <c r="Q65" s="28">
        <f t="shared" si="431"/>
        <v>0.13548387096774195</v>
      </c>
      <c r="R65" s="28">
        <f t="shared" si="431"/>
        <v>0.19999999999999996</v>
      </c>
      <c r="S65" s="28">
        <f t="shared" si="431"/>
        <v>0.17682926829268286</v>
      </c>
      <c r="T65" s="28">
        <f>+T64/Q64-1</f>
        <v>0.17613636363636354</v>
      </c>
      <c r="U65" s="28">
        <f t="shared" si="431"/>
        <v>0.14942528735632177</v>
      </c>
      <c r="V65" s="28">
        <f t="shared" si="431"/>
        <v>0.15025906735751304</v>
      </c>
      <c r="W65" s="28">
        <f t="shared" si="431"/>
        <v>0.14975845410628019</v>
      </c>
      <c r="X65" s="28">
        <f t="shared" si="431"/>
        <v>0.14999999999999991</v>
      </c>
      <c r="Y65" s="28">
        <f t="shared" ref="Y65" si="434">+Y64/V64-1</f>
        <v>0.14414414414414423</v>
      </c>
      <c r="Z65" s="28">
        <f t="shared" ref="Z65" si="435">+Z64/W64-1</f>
        <v>0.13445378151260501</v>
      </c>
      <c r="AA65" s="28">
        <f t="shared" ref="AA65" si="436">+AA64/X64-1</f>
        <v>0.13913043478260878</v>
      </c>
      <c r="AB65" s="28">
        <f t="shared" ref="AB65" si="437">+AB64/Y64-1</f>
        <v>0.12204724409448819</v>
      </c>
      <c r="AC65" s="28">
        <f t="shared" ref="AC65" si="438">+AC64/Z64-1</f>
        <v>0.1074074074074074</v>
      </c>
      <c r="AD65" s="28">
        <f t="shared" ref="AD65" si="439">+AD64/AA64-1</f>
        <v>0.11450381679389321</v>
      </c>
      <c r="AE65" s="28">
        <f t="shared" ref="AE65" si="440">+AE64/AB64-1</f>
        <v>9.8245614035087803E-2</v>
      </c>
      <c r="AF65" s="28">
        <f t="shared" ref="AF65" si="441">+AF64/AC64-1</f>
        <v>9.3645484949832714E-2</v>
      </c>
      <c r="AG65" s="28">
        <f t="shared" ref="AG65" si="442">+AG64/AD64-1</f>
        <v>9.5890410958904049E-2</v>
      </c>
      <c r="AH65" s="28">
        <f t="shared" ref="AH65" si="443">+AH64/AE64-1</f>
        <v>8.9456869009584716E-2</v>
      </c>
      <c r="AI65" s="28">
        <f t="shared" ref="AI65" si="444">+AI64/AF64-1</f>
        <v>8.5626911314984788E-2</v>
      </c>
      <c r="AJ65" s="28">
        <f t="shared" ref="AJ65" si="445">+AJ64/AG64-1</f>
        <v>8.7499999999999911E-2</v>
      </c>
      <c r="AK65" s="28">
        <f t="shared" ref="AK65" si="446">+AK64/AH64-1</f>
        <v>8.2111436950146555E-2</v>
      </c>
      <c r="AL65" s="28">
        <f t="shared" ref="AL65" si="447">+AL64/AI64-1</f>
        <v>7.8873239436619613E-2</v>
      </c>
      <c r="AM65" s="28">
        <f t="shared" ref="AM65" si="448">+AM64/AJ64-1</f>
        <v>8.0459770114942541E-2</v>
      </c>
      <c r="AN65" s="28">
        <f t="shared" ref="AN65" si="449">+AN64/AK64-1</f>
        <v>7.3170731707317138E-2</v>
      </c>
      <c r="AO65" s="28">
        <f t="shared" ref="AO65" si="450">+AO64/AL64-1</f>
        <v>6.5274151436031325E-2</v>
      </c>
      <c r="AP65" s="28">
        <f t="shared" ref="AP65" si="451">+AP64/AM64-1</f>
        <v>6.9148936170212671E-2</v>
      </c>
      <c r="AQ65" s="28">
        <f t="shared" ref="AQ65" si="452">+AQ64/AN64-1</f>
        <v>6.0606060606060552E-2</v>
      </c>
      <c r="AR65" s="28">
        <f t="shared" ref="AR65" si="453">+AR64/AO64-1</f>
        <v>5.8823529411764719E-2</v>
      </c>
      <c r="AS65" s="28">
        <f t="shared" ref="AS65" si="454">+AS64/AP64-1</f>
        <v>5.9701492537313383E-2</v>
      </c>
      <c r="AT65" s="28">
        <f t="shared" ref="AT65" si="455">+AT64/AQ64-1</f>
        <v>5.7142857142857162E-2</v>
      </c>
      <c r="AU65" s="28">
        <f t="shared" ref="AU65" si="456">+AU64/AR64-1</f>
        <v>5.555555555555558E-2</v>
      </c>
      <c r="AV65" s="28">
        <f t="shared" ref="AV65" si="457">+AV64/AS64-1</f>
        <v>5.6338028169014009E-2</v>
      </c>
    </row>
    <row r="66" spans="1:136" outlineLevel="1" x14ac:dyDescent="0.25">
      <c r="B66" s="11"/>
      <c r="I66" s="31"/>
      <c r="J66" s="303"/>
      <c r="K66" s="28"/>
      <c r="L66" s="310"/>
      <c r="M66" s="303"/>
      <c r="N66" s="109"/>
      <c r="O66" s="109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31"/>
      <c r="AB66" s="28"/>
      <c r="AC66" s="28"/>
      <c r="AD66" s="31"/>
      <c r="AE66" s="28"/>
      <c r="AF66" s="28"/>
      <c r="AG66" s="28"/>
      <c r="AH66" s="28"/>
      <c r="AI66" s="28"/>
      <c r="AJ66" s="28"/>
      <c r="AK66" s="28"/>
      <c r="AL66" s="28"/>
      <c r="AM66" s="28"/>
      <c r="AN66" s="28"/>
      <c r="AO66" s="28"/>
      <c r="AP66" s="28"/>
      <c r="AQ66" s="28"/>
      <c r="AR66" s="28"/>
      <c r="AS66" s="28"/>
      <c r="AT66" s="28"/>
      <c r="AU66" s="28"/>
      <c r="AV66" s="28"/>
    </row>
    <row r="67" spans="1:136" outlineLevel="1" x14ac:dyDescent="0.25">
      <c r="M67" s="8"/>
    </row>
    <row r="68" spans="1:136" outlineLevel="1" x14ac:dyDescent="0.25">
      <c r="A68" t="s">
        <v>449</v>
      </c>
      <c r="B68" s="12" t="s">
        <v>43</v>
      </c>
      <c r="C68" s="22" t="s">
        <v>28</v>
      </c>
      <c r="F68" s="45">
        <v>139.19999999999999</v>
      </c>
      <c r="G68" s="45">
        <v>100.6</v>
      </c>
      <c r="H68" s="52">
        <f>+I68-G68</f>
        <v>111.4</v>
      </c>
      <c r="I68" s="45">
        <v>212</v>
      </c>
      <c r="J68" s="45">
        <v>136.6</v>
      </c>
      <c r="K68" s="21">
        <f>+L68-J68</f>
        <v>142.29999999999998</v>
      </c>
      <c r="L68" s="354">
        <v>278.89999999999998</v>
      </c>
      <c r="M68" s="441">
        <v>176.05099999999999</v>
      </c>
      <c r="N68" s="63">
        <f>+O68-M68</f>
        <v>183.649</v>
      </c>
      <c r="O68" s="43">
        <v>359.7</v>
      </c>
      <c r="P68" s="21">
        <f>(P46/P35*P64)</f>
        <v>226.90988253416157</v>
      </c>
      <c r="Q68" s="21">
        <f>+R68-P68</f>
        <v>249.63601143713021</v>
      </c>
      <c r="R68" s="21">
        <f>(R46/R35*R64)</f>
        <v>476.54589397129178</v>
      </c>
      <c r="S68" s="21">
        <f>(S46/S35*S64)</f>
        <v>273.44290300283291</v>
      </c>
      <c r="T68" s="21">
        <f>+U68-S68</f>
        <v>302.01128556814575</v>
      </c>
      <c r="U68" s="21">
        <f>(U46/U35*U64)</f>
        <v>575.45418857097866</v>
      </c>
      <c r="V68" s="21">
        <f>(V46/V35*V64)</f>
        <v>330.2452149069768</v>
      </c>
      <c r="W68" s="21">
        <f>+X68-V68</f>
        <v>364.57020469101701</v>
      </c>
      <c r="X68" s="21">
        <f>(X46/X35*X64)</f>
        <v>694.81541959799381</v>
      </c>
      <c r="Y68" s="21">
        <f>(Y46/Y35*Y64)</f>
        <v>397.0518293810851</v>
      </c>
      <c r="Z68" s="21">
        <f>+AA68-Y68</f>
        <v>435.24180713326871</v>
      </c>
      <c r="AA68" s="21">
        <f>(AA46/AA35*AA64)</f>
        <v>832.29363651435381</v>
      </c>
      <c r="AB68" s="21">
        <f t="shared" ref="AB68" si="458">(AB46/AB35*AB64)</f>
        <v>468.37784263064526</v>
      </c>
      <c r="AC68" s="21">
        <f t="shared" ref="AC68" si="459">+AD68-AB68</f>
        <v>507.94799207703596</v>
      </c>
      <c r="AD68" s="21">
        <f>(AD46/AD35*AD64)</f>
        <v>976.32583470768122</v>
      </c>
      <c r="AE68" s="21">
        <f t="shared" ref="AE68" si="460">(AE46/AE35*AE64)</f>
        <v>540.32462179812364</v>
      </c>
      <c r="AF68" s="21">
        <f t="shared" ref="AF68" si="461">+AG68-AE68</f>
        <v>583.96286411496112</v>
      </c>
      <c r="AG68" s="21">
        <f t="shared" ref="AG68:AH68" si="462">(AG46/AG35*AG64)</f>
        <v>1124.2874859130848</v>
      </c>
      <c r="AH68" s="21">
        <f t="shared" si="462"/>
        <v>618.29720557429744</v>
      </c>
      <c r="AI68" s="21">
        <f t="shared" ref="AI68" si="463">+AJ68-AH68</f>
        <v>666.31523138042701</v>
      </c>
      <c r="AJ68" s="21">
        <f t="shared" ref="AJ68:AK68" si="464">(AJ46/AJ35*AJ64)</f>
        <v>1284.6124369547244</v>
      </c>
      <c r="AK68" s="21">
        <f t="shared" si="464"/>
        <v>702.71793994748805</v>
      </c>
      <c r="AL68" s="21">
        <f t="shared" ref="AL68" si="465">+AM68-AK68</f>
        <v>755.44779529784819</v>
      </c>
      <c r="AM68" s="21">
        <f t="shared" ref="AM68:AN68" si="466">(AM46/AM35*AM64)</f>
        <v>1458.1657352453362</v>
      </c>
      <c r="AN68" s="21">
        <f t="shared" si="466"/>
        <v>777.31948593028483</v>
      </c>
      <c r="AO68" s="21">
        <f t="shared" ref="AO68" si="467">+AP68-AN68</f>
        <v>830.69272839394171</v>
      </c>
      <c r="AP68" s="21">
        <f t="shared" ref="AP68:AQ68" si="468">(AP46/AP35*AP64)</f>
        <v>1608.0122143242265</v>
      </c>
      <c r="AQ68" s="21">
        <f t="shared" si="468"/>
        <v>849.29740285019966</v>
      </c>
      <c r="AR68" s="21">
        <f t="shared" ref="AR68" si="469">+AS68-AQ68</f>
        <v>906.37914948360935</v>
      </c>
      <c r="AS68" s="21">
        <f>(AS46/AS35*AS64)</f>
        <v>1755.676552333809</v>
      </c>
      <c r="AT68" s="21">
        <f t="shared" ref="AT68" si="470">(AT46/AT35*AT64)</f>
        <v>924.89505160993133</v>
      </c>
      <c r="AU68" s="21">
        <f t="shared" ref="AU68" si="471">+AV68-AT68</f>
        <v>985.86101624341256</v>
      </c>
      <c r="AV68" s="21">
        <f t="shared" ref="AV68" si="472">(AV46/AV35*AV64)</f>
        <v>1910.7560678533439</v>
      </c>
    </row>
    <row r="69" spans="1:136" outlineLevel="1" x14ac:dyDescent="0.25">
      <c r="A69" t="s">
        <v>632</v>
      </c>
      <c r="B69" s="8" t="s">
        <v>39</v>
      </c>
      <c r="C69" s="22" t="s">
        <v>29</v>
      </c>
      <c r="I69" s="28">
        <f t="shared" ref="I69:X69" si="473">+I68/F68-1</f>
        <v>0.52298850574712663</v>
      </c>
      <c r="J69" s="303">
        <f t="shared" si="473"/>
        <v>0.35785288270377746</v>
      </c>
      <c r="K69" s="28">
        <f t="shared" si="473"/>
        <v>0.27737881508078965</v>
      </c>
      <c r="L69" s="310">
        <f>+L68/I68-1</f>
        <v>0.3155660377358489</v>
      </c>
      <c r="M69" s="303">
        <f>+M68/J68-1</f>
        <v>0.28880673499267928</v>
      </c>
      <c r="N69" s="28">
        <f>+N68/K68-1</f>
        <v>0.29057624736472265</v>
      </c>
      <c r="O69" s="28">
        <f t="shared" si="473"/>
        <v>0.28970957332377201</v>
      </c>
      <c r="P69" s="28">
        <f t="shared" si="473"/>
        <v>0.28888721185430133</v>
      </c>
      <c r="Q69" s="28">
        <f>+Q68/N68-1</f>
        <v>0.35931048596578363</v>
      </c>
      <c r="R69" s="28">
        <f>+R68/O68-1</f>
        <v>0.32484262988960744</v>
      </c>
      <c r="S69" s="28">
        <f t="shared" si="473"/>
        <v>0.20507269207045553</v>
      </c>
      <c r="T69" s="28">
        <f t="shared" si="473"/>
        <v>0.2098065652847767</v>
      </c>
      <c r="U69" s="28">
        <f>+U68/R68-1</f>
        <v>0.20755250617193521</v>
      </c>
      <c r="V69" s="28">
        <f t="shared" si="473"/>
        <v>0.20773006459617416</v>
      </c>
      <c r="W69" s="28">
        <f t="shared" si="473"/>
        <v>0.20714099807623088</v>
      </c>
      <c r="X69" s="28">
        <f t="shared" si="473"/>
        <v>0.20742090925330481</v>
      </c>
      <c r="Y69" s="28">
        <f t="shared" ref="Y69" si="474">+Y68/V68-1</f>
        <v>0.20229396659971699</v>
      </c>
      <c r="Z69" s="28">
        <f t="shared" ref="Z69" si="475">+Z68/W68-1</f>
        <v>0.19384909005975337</v>
      </c>
      <c r="AA69" s="28">
        <f t="shared" ref="AA69" si="476">+AA68/X68-1</f>
        <v>0.19786293314547065</v>
      </c>
      <c r="AB69" s="28">
        <f t="shared" ref="AB69" si="477">+AB68/Y68-1</f>
        <v>0.179639049543586</v>
      </c>
      <c r="AC69" s="28">
        <f t="shared" ref="AC69" si="478">+AC68/Z68-1</f>
        <v>0.16704779676991133</v>
      </c>
      <c r="AD69" s="28">
        <f t="shared" ref="AD69" si="479">+AD68/AA68-1</f>
        <v>0.17305454694635691</v>
      </c>
      <c r="AE69" s="28">
        <f t="shared" ref="AE69" si="480">+AE68/AB68-1</f>
        <v>0.15360841743364539</v>
      </c>
      <c r="AF69" s="28">
        <f t="shared" ref="AF69" si="481">+AF68/AC68-1</f>
        <v>0.14965089580745228</v>
      </c>
      <c r="AG69" s="28">
        <f t="shared" ref="AG69" si="482">+AG68/AD68-1</f>
        <v>0.15154945812706511</v>
      </c>
      <c r="AH69" s="28">
        <f t="shared" ref="AH69" si="483">+AH68/AE68-1</f>
        <v>0.14430692333932904</v>
      </c>
      <c r="AI69" s="28">
        <f t="shared" ref="AI69" si="484">+AI68/AF68-1</f>
        <v>0.14102329501770106</v>
      </c>
      <c r="AJ69" s="28">
        <f t="shared" ref="AJ69" si="485">+AJ68/AG68-1</f>
        <v>0.1426013835877864</v>
      </c>
      <c r="AK69" s="28">
        <f t="shared" ref="AK69" si="486">+AK68/AH68-1</f>
        <v>0.13653746711466619</v>
      </c>
      <c r="AL69" s="28">
        <f t="shared" ref="AL69" si="487">+AL68/AI68-1</f>
        <v>0.13376936278758378</v>
      </c>
      <c r="AM69" s="28">
        <f t="shared" ref="AM69" si="488">+AM68/AJ68-1</f>
        <v>0.13510167992926614</v>
      </c>
      <c r="AN69" s="28">
        <f t="shared" ref="AN69" si="489">+AN68/AK68-1</f>
        <v>0.10616143653365606</v>
      </c>
      <c r="AO69" s="28">
        <f t="shared" ref="AO69" si="490">+AO68/AL68-1</f>
        <v>9.9603087816845015E-2</v>
      </c>
      <c r="AP69" s="28">
        <f t="shared" ref="AP69" si="491">+AP68/AM68-1</f>
        <v>0.10276368142313985</v>
      </c>
      <c r="AQ69" s="28">
        <f t="shared" ref="AQ69" si="492">+AQ68/AN68-1</f>
        <v>9.2597597542241949E-2</v>
      </c>
      <c r="AR69" s="28">
        <f t="shared" ref="AR69" si="493">+AR68/AO68-1</f>
        <v>9.1112415581149353E-2</v>
      </c>
      <c r="AS69" s="28">
        <f t="shared" ref="AS69" si="494">+AS68/AP68-1</f>
        <v>9.1830358435205595E-2</v>
      </c>
      <c r="AT69" s="28">
        <f t="shared" ref="AT69" si="495">+AT68/AQ68-1</f>
        <v>8.9011986267742982E-2</v>
      </c>
      <c r="AU69" s="28">
        <f t="shared" ref="AU69" si="496">+AU68/AR68-1</f>
        <v>8.7691631923667135E-2</v>
      </c>
      <c r="AV69" s="28">
        <f t="shared" ref="AV69" si="497">+AV68/AS68-1</f>
        <v>8.8330344967806784E-2</v>
      </c>
    </row>
    <row r="70" spans="1:136" outlineLevel="1" x14ac:dyDescent="0.25">
      <c r="M70" s="8"/>
      <c r="N70" s="55"/>
    </row>
    <row r="71" spans="1:136" outlineLevel="1" x14ac:dyDescent="0.25">
      <c r="M71" s="8"/>
    </row>
    <row r="72" spans="1:136" outlineLevel="1" x14ac:dyDescent="0.25">
      <c r="A72" t="s">
        <v>634</v>
      </c>
      <c r="B72" s="12" t="s">
        <v>49</v>
      </c>
      <c r="C72" s="22" t="s">
        <v>28</v>
      </c>
      <c r="F72" s="52">
        <f>+F74*F68</f>
        <v>19.627199999999995</v>
      </c>
      <c r="G72" s="52">
        <f>+G74*G68</f>
        <v>13.7822</v>
      </c>
      <c r="H72" s="52">
        <f>+I72-G72</f>
        <v>16.745799999999999</v>
      </c>
      <c r="I72" s="52">
        <f>+I74*I68</f>
        <v>30.527999999999999</v>
      </c>
      <c r="J72" s="52">
        <f>+J74*J68</f>
        <v>23.904999999999998</v>
      </c>
      <c r="K72" s="52">
        <f>+L72-J72</f>
        <v>24.623599999999993</v>
      </c>
      <c r="L72" s="312">
        <f>+L74*L68</f>
        <v>48.52859999999999</v>
      </c>
      <c r="M72" s="52">
        <f>+M74*M68</f>
        <v>31.689179999999997</v>
      </c>
      <c r="N72" s="52">
        <f>+O72-M72</f>
        <v>32.697119999999998</v>
      </c>
      <c r="O72" s="312">
        <f>+O74*O68</f>
        <v>64.386299999999991</v>
      </c>
      <c r="P72" s="52">
        <f>+P74*P68</f>
        <v>42.205238151354052</v>
      </c>
      <c r="Q72" s="52">
        <f>+R72-P72</f>
        <v>45.240933392377983</v>
      </c>
      <c r="R72" s="52">
        <f>+R74*R68</f>
        <v>87.446171543732035</v>
      </c>
      <c r="S72" s="52">
        <f>+S74*S68</f>
        <v>51.718307066698294</v>
      </c>
      <c r="T72" s="52">
        <f>+U72-S72</f>
        <v>57.749928792555316</v>
      </c>
      <c r="U72" s="52">
        <f>+U74*U68</f>
        <v>109.46823585925361</v>
      </c>
      <c r="V72" s="52">
        <f>+V74*V68</f>
        <v>64.412347696316388</v>
      </c>
      <c r="W72" s="52">
        <f>+X72-V72</f>
        <v>71.865816455074409</v>
      </c>
      <c r="X72" s="52">
        <f>+X74*X68</f>
        <v>136.2781641513908</v>
      </c>
      <c r="Y72" s="52">
        <f>+Y74*Y68</f>
        <v>79.826277667493699</v>
      </c>
      <c r="Z72" s="52">
        <f>+AA72-Y72</f>
        <v>88.412958613385157</v>
      </c>
      <c r="AA72" s="52">
        <f>+AA74*AA68</f>
        <v>168.23923628087886</v>
      </c>
      <c r="AB72" s="52">
        <f t="shared" ref="AB72" si="498">+AB74*AB68</f>
        <v>96.432908885695653</v>
      </c>
      <c r="AC72" s="52">
        <f t="shared" ref="AC72" si="499">+AD72-AB72</f>
        <v>105.64582108543961</v>
      </c>
      <c r="AD72" s="52">
        <f t="shared" ref="AD72:AE72" si="500">+AD74*AD68</f>
        <v>202.07872997113526</v>
      </c>
      <c r="AE72" s="52">
        <f t="shared" si="500"/>
        <v>112.80627291590326</v>
      </c>
      <c r="AF72" s="52">
        <f t="shared" ref="AF72" si="501">+AG72-AE72</f>
        <v>123.14432134068002</v>
      </c>
      <c r="AG72" s="52">
        <f t="shared" ref="AG72:AH72" si="502">+AG74*AG68</f>
        <v>235.95059425658329</v>
      </c>
      <c r="AH72" s="52">
        <f t="shared" si="502"/>
        <v>130.90062883794283</v>
      </c>
      <c r="AI72" s="52">
        <f t="shared" ref="AI72" si="503">+AJ72-AH72</f>
        <v>142.4691110391071</v>
      </c>
      <c r="AJ72" s="52">
        <f t="shared" ref="AJ72:AK72" si="504">+AJ74*AJ68</f>
        <v>273.36973987704994</v>
      </c>
      <c r="AK72" s="52">
        <f t="shared" si="504"/>
        <v>150.87108219393585</v>
      </c>
      <c r="AL72" s="52">
        <f t="shared" ref="AL72" si="505">+AM72-AK72</f>
        <v>163.78399350203736</v>
      </c>
      <c r="AM72" s="52">
        <f t="shared" ref="AM72:AQ72" si="506">+AM74*AM68</f>
        <v>314.65507569597321</v>
      </c>
      <c r="AN72" s="52">
        <f t="shared" si="506"/>
        <v>169.24577167160089</v>
      </c>
      <c r="AO72" s="52">
        <f t="shared" ref="AO72:AR72" si="507">+AP72-AN72</f>
        <v>182.62232303351988</v>
      </c>
      <c r="AP72" s="52">
        <f t="shared" ref="AP72:AT72" si="508">+AP74*AP68</f>
        <v>351.86809470512077</v>
      </c>
      <c r="AQ72" s="52">
        <f t="shared" si="506"/>
        <v>185.41181461103278</v>
      </c>
      <c r="AR72" s="52">
        <f t="shared" si="507"/>
        <v>199.79025710623043</v>
      </c>
      <c r="AS72" s="52">
        <f>+AS74*AS68</f>
        <v>385.20207171726321</v>
      </c>
      <c r="AT72" s="52">
        <f t="shared" si="508"/>
        <v>202.49883483710738</v>
      </c>
      <c r="AU72" s="52">
        <f t="shared" ref="AU72" si="509">+AV72-AT72</f>
        <v>217.93300045803704</v>
      </c>
      <c r="AV72" s="52">
        <f t="shared" ref="AV72" si="510">+AV74*AV68</f>
        <v>420.43183529514442</v>
      </c>
    </row>
    <row r="73" spans="1:136" outlineLevel="1" x14ac:dyDescent="0.25">
      <c r="A73" t="s">
        <v>635</v>
      </c>
      <c r="B73" s="8" t="s">
        <v>39</v>
      </c>
      <c r="C73" s="22" t="s">
        <v>29</v>
      </c>
      <c r="I73" s="28">
        <f t="shared" ref="I73:X73" si="511">+I72/F72-1</f>
        <v>0.55539251650770383</v>
      </c>
      <c r="J73" s="303">
        <f t="shared" si="511"/>
        <v>0.73448360929314616</v>
      </c>
      <c r="K73" s="28">
        <f t="shared" si="511"/>
        <v>0.47043437757527218</v>
      </c>
      <c r="L73" s="310">
        <f t="shared" si="511"/>
        <v>0.58964229559748405</v>
      </c>
      <c r="M73" s="303">
        <f t="shared" si="511"/>
        <v>0.32562978456389868</v>
      </c>
      <c r="N73" s="28">
        <f t="shared" ref="N73" si="512">+N72/K72-1</f>
        <v>0.32787732094413524</v>
      </c>
      <c r="O73" s="310">
        <f t="shared" ref="O73" si="513">+O72/L72-1</f>
        <v>0.32677019324686896</v>
      </c>
      <c r="P73" s="28">
        <f>+P72/M72-1</f>
        <v>0.33185011891611138</v>
      </c>
      <c r="Q73" s="28">
        <f t="shared" si="511"/>
        <v>0.38363664421753318</v>
      </c>
      <c r="R73" s="28">
        <f t="shared" si="511"/>
        <v>0.3581487295237038</v>
      </c>
      <c r="S73" s="28">
        <f t="shared" si="511"/>
        <v>0.22540019514234255</v>
      </c>
      <c r="T73" s="28">
        <f t="shared" si="511"/>
        <v>0.27649728823421671</v>
      </c>
      <c r="U73" s="28">
        <f t="shared" si="511"/>
        <v>0.25183565988944734</v>
      </c>
      <c r="V73" s="28">
        <f t="shared" si="511"/>
        <v>0.24544578795371774</v>
      </c>
      <c r="W73" s="28">
        <f t="shared" si="511"/>
        <v>0.24443125658604803</v>
      </c>
      <c r="X73" s="28">
        <f t="shared" si="511"/>
        <v>0.24491057229247271</v>
      </c>
      <c r="Y73" s="28">
        <f t="shared" ref="Y73" si="514">+Y72/V72-1</f>
        <v>0.23930085647318822</v>
      </c>
      <c r="Z73" s="28">
        <f t="shared" ref="Z73" si="515">+Z72/W72-1</f>
        <v>0.23025052764348519</v>
      </c>
      <c r="AA73" s="28">
        <f t="shared" ref="AA73" si="516">+AA72/X72-1</f>
        <v>0.23452819700434646</v>
      </c>
      <c r="AB73" s="28">
        <f t="shared" ref="AB73" si="517">+AB72/Y72-1</f>
        <v>0.20803464352145773</v>
      </c>
      <c r="AC73" s="28">
        <f t="shared" ref="AC73" si="518">+AC72/Z72-1</f>
        <v>0.19491331069929263</v>
      </c>
      <c r="AD73" s="28">
        <f t="shared" ref="AD73" si="519">+AD72/AA72-1</f>
        <v>0.20113913043304987</v>
      </c>
      <c r="AE73" s="28">
        <f t="shared" ref="AE73" si="520">+AE72/AB72-1</f>
        <v>0.16979021186237753</v>
      </c>
      <c r="AF73" s="28">
        <f t="shared" ref="AF73" si="521">+AF72/AC72-1</f>
        <v>0.16563362445816709</v>
      </c>
      <c r="AG73" s="28">
        <f t="shared" ref="AG73" si="522">+AG72/AD72-1</f>
        <v>0.16761716728072407</v>
      </c>
      <c r="AH73" s="28">
        <f t="shared" ref="AH73" si="523">+AH72/AE72-1</f>
        <v>0.16040203664497321</v>
      </c>
      <c r="AI73" s="28">
        <f t="shared" ref="AI73" si="524">+AI72/AF72-1</f>
        <v>0.15692798082799819</v>
      </c>
      <c r="AJ73" s="28">
        <f t="shared" ref="AJ73" si="525">+AJ72/AG72-1</f>
        <v>0.15858890179261587</v>
      </c>
      <c r="AK73" s="28">
        <f t="shared" ref="AK73" si="526">+AK72/AH72-1</f>
        <v>0.15256193597600487</v>
      </c>
      <c r="AL73" s="28">
        <f t="shared" ref="AL73" si="527">+AL72/AI72-1</f>
        <v>0.14961055282417979</v>
      </c>
      <c r="AM73" s="28">
        <f t="shared" ref="AM73" si="528">+AM72/AJ72-1</f>
        <v>0.15102379596765769</v>
      </c>
      <c r="AN73" s="28">
        <f t="shared" ref="AN73" si="529">+AN72/AK72-1</f>
        <v>0.12179066531812555</v>
      </c>
      <c r="AO73" s="28">
        <f t="shared" ref="AO73" si="530">+AO72/AL72-1</f>
        <v>0.1150193564626214</v>
      </c>
      <c r="AP73" s="28">
        <f t="shared" ref="AP73" si="531">+AP72/AM72-1</f>
        <v>0.11826606936766404</v>
      </c>
      <c r="AQ73" s="28">
        <f t="shared" ref="AQ73" si="532">+AQ72/AN72-1</f>
        <v>9.5518149610260172E-2</v>
      </c>
      <c r="AR73" s="28">
        <f t="shared" ref="AR73" si="533">+AR72/AO72-1</f>
        <v>9.4007861621382416E-2</v>
      </c>
      <c r="AS73" s="28">
        <f t="shared" ref="AS73" si="534">+AS72/AP72-1</f>
        <v>9.4734298203642542E-2</v>
      </c>
      <c r="AT73" s="28">
        <f t="shared" ref="AT73" si="535">+AT72/AQ72-1</f>
        <v>9.2157127429666197E-2</v>
      </c>
      <c r="AU73" s="28">
        <f t="shared" ref="AU73" si="536">+AU72/AR72-1</f>
        <v>9.0808949418188734E-2</v>
      </c>
      <c r="AV73" s="28">
        <f t="shared" ref="AV73" si="537">+AV72/AS72-1</f>
        <v>9.1457876695273166E-2</v>
      </c>
    </row>
    <row r="74" spans="1:136" outlineLevel="1" x14ac:dyDescent="0.25">
      <c r="A74" t="s">
        <v>455</v>
      </c>
      <c r="B74" s="12" t="s">
        <v>555</v>
      </c>
      <c r="C74" s="22" t="s">
        <v>29</v>
      </c>
      <c r="F74" s="192">
        <v>0.14099999999999999</v>
      </c>
      <c r="G74" s="192">
        <v>0.13700000000000001</v>
      </c>
      <c r="H74" s="31">
        <f>+H72/H68</f>
        <v>0.15032136445242369</v>
      </c>
      <c r="I74" s="192">
        <v>0.14399999999999999</v>
      </c>
      <c r="J74" s="316">
        <v>0.17499999999999999</v>
      </c>
      <c r="K74" s="31">
        <f>+K72/K68</f>
        <v>0.17304005621925506</v>
      </c>
      <c r="L74" s="350">
        <v>0.17399999999999999</v>
      </c>
      <c r="M74" s="440">
        <v>0.18</v>
      </c>
      <c r="N74" s="31">
        <f>+N72/N68</f>
        <v>0.17804137240061202</v>
      </c>
      <c r="O74" s="350">
        <v>0.17899999999999999</v>
      </c>
      <c r="P74" s="231">
        <v>0.186</v>
      </c>
      <c r="Q74" s="232">
        <f t="shared" ref="Q74" si="538">+Q72/Q68</f>
        <v>0.18122759265352115</v>
      </c>
      <c r="R74" s="231">
        <v>0.1835</v>
      </c>
      <c r="S74" s="231">
        <v>0.18913749999999996</v>
      </c>
      <c r="T74" s="232">
        <f t="shared" ref="T74" si="539">+T72/T68</f>
        <v>0.19121778407689549</v>
      </c>
      <c r="U74" s="231">
        <v>0.19022927981651383</v>
      </c>
      <c r="V74" s="231">
        <v>0.195044</v>
      </c>
      <c r="W74" s="232">
        <f t="shared" ref="W74" si="540">+W72/W68</f>
        <v>0.19712476645199958</v>
      </c>
      <c r="X74" s="231">
        <v>0.19613577981651387</v>
      </c>
      <c r="Y74" s="231">
        <v>0.20104749999999999</v>
      </c>
      <c r="Z74" s="232">
        <f t="shared" ref="Z74:AR74" si="541">+Z72/Z68</f>
        <v>0.20313526220222128</v>
      </c>
      <c r="AA74" s="231">
        <v>0.20213927981651386</v>
      </c>
      <c r="AB74" s="231">
        <v>0.20588699999999999</v>
      </c>
      <c r="AC74" s="232">
        <f t="shared" si="541"/>
        <v>0.20798550783407221</v>
      </c>
      <c r="AD74" s="231">
        <v>0.20697877981651386</v>
      </c>
      <c r="AE74" s="231">
        <v>0.20877499999999999</v>
      </c>
      <c r="AF74" s="232">
        <f t="shared" si="541"/>
        <v>0.21087697336253453</v>
      </c>
      <c r="AG74" s="231">
        <v>0.20986677981651386</v>
      </c>
      <c r="AH74" s="231">
        <v>0.21171149999999994</v>
      </c>
      <c r="AI74" s="232">
        <f t="shared" si="541"/>
        <v>0.213816380489981</v>
      </c>
      <c r="AJ74" s="231">
        <v>0.21280327981651381</v>
      </c>
      <c r="AK74" s="231">
        <v>0.21469649999999996</v>
      </c>
      <c r="AL74" s="232">
        <f t="shared" si="541"/>
        <v>0.21680385398101892</v>
      </c>
      <c r="AM74" s="231">
        <v>0.21578827981651383</v>
      </c>
      <c r="AN74" s="231">
        <v>0.21772999999999998</v>
      </c>
      <c r="AO74" s="232">
        <f t="shared" si="541"/>
        <v>0.21984341115709682</v>
      </c>
      <c r="AP74" s="232">
        <v>0.21882177981651385</v>
      </c>
      <c r="AQ74" s="231">
        <v>0.21831200000000001</v>
      </c>
      <c r="AR74" s="232">
        <f t="shared" si="541"/>
        <v>0.2204268017639823</v>
      </c>
      <c r="AS74" s="232">
        <v>0.21940377981651388</v>
      </c>
      <c r="AT74" s="231">
        <v>0.21894249999999998</v>
      </c>
      <c r="AU74" s="232">
        <f t="shared" ref="AU74" si="542">+AU72/AU68</f>
        <v>0.22105854361547106</v>
      </c>
      <c r="AV74" s="232">
        <v>0.22003427981651386</v>
      </c>
      <c r="BF74" s="167">
        <f>+AD74-O74</f>
        <v>2.7978779816513866E-2</v>
      </c>
    </row>
    <row r="75" spans="1:136" outlineLevel="1" x14ac:dyDescent="0.25">
      <c r="B75" s="8" t="s">
        <v>44</v>
      </c>
      <c r="C75" s="22" t="s">
        <v>29</v>
      </c>
      <c r="I75" s="15">
        <f t="shared" ref="I75:X75" si="543">+I74-F74</f>
        <v>3.0000000000000027E-3</v>
      </c>
      <c r="J75" s="15">
        <f t="shared" si="543"/>
        <v>3.7999999999999978E-2</v>
      </c>
      <c r="K75" s="15">
        <f t="shared" si="543"/>
        <v>2.2718691766831361E-2</v>
      </c>
      <c r="L75" s="358">
        <f t="shared" si="543"/>
        <v>0.03</v>
      </c>
      <c r="M75" s="15">
        <f t="shared" si="543"/>
        <v>5.0000000000000044E-3</v>
      </c>
      <c r="N75" s="15">
        <f t="shared" ref="N75:O75" si="544">+N74-K74</f>
        <v>5.0013161813569629E-3</v>
      </c>
      <c r="O75" s="15">
        <f t="shared" si="544"/>
        <v>5.0000000000000044E-3</v>
      </c>
      <c r="P75" s="18">
        <f t="shared" si="543"/>
        <v>6.0000000000000053E-3</v>
      </c>
      <c r="Q75" s="18">
        <f>+Q74-N74</f>
        <v>3.1862202529091277E-3</v>
      </c>
      <c r="R75" s="18">
        <f>+R74-O74</f>
        <v>4.500000000000004E-3</v>
      </c>
      <c r="S75" s="18">
        <f t="shared" si="543"/>
        <v>3.1374999999999598E-3</v>
      </c>
      <c r="T75" s="18">
        <f t="shared" si="543"/>
        <v>9.990191423374345E-3</v>
      </c>
      <c r="U75" s="18">
        <f>+U74-R74</f>
        <v>6.7292798165138334E-3</v>
      </c>
      <c r="V75" s="18">
        <f t="shared" si="543"/>
        <v>5.9065000000000367E-3</v>
      </c>
      <c r="W75" s="18">
        <f t="shared" si="543"/>
        <v>5.9069823751040917E-3</v>
      </c>
      <c r="X75" s="18">
        <f t="shared" si="543"/>
        <v>5.9065000000000367E-3</v>
      </c>
      <c r="Y75" s="18">
        <f t="shared" ref="Y75" si="545">+Y74-V74</f>
        <v>6.003499999999995E-3</v>
      </c>
      <c r="Z75" s="18">
        <f t="shared" ref="Z75" si="546">+Z74-W74</f>
        <v>6.0104957502216949E-3</v>
      </c>
      <c r="AA75" s="18">
        <f t="shared" ref="AA75" si="547">+AA74-X74</f>
        <v>6.003499999999995E-3</v>
      </c>
      <c r="AB75" s="18">
        <f t="shared" ref="AB75" si="548">+AB74-Y74</f>
        <v>4.8394999999999966E-3</v>
      </c>
      <c r="AC75" s="18">
        <f t="shared" ref="AC75" si="549">+AC74-Z74</f>
        <v>4.8502456318509357E-3</v>
      </c>
      <c r="AD75" s="18">
        <f t="shared" ref="AD75" si="550">+AD74-AA74</f>
        <v>4.8394999999999966E-3</v>
      </c>
      <c r="AE75" s="18">
        <f t="shared" ref="AE75" si="551">+AE74-AB74</f>
        <v>2.8880000000000017E-3</v>
      </c>
      <c r="AF75" s="18">
        <f t="shared" ref="AF75" si="552">+AF74-AC74</f>
        <v>2.8914655284623114E-3</v>
      </c>
      <c r="AG75" s="18">
        <f t="shared" ref="AG75" si="553">+AG74-AD74</f>
        <v>2.8880000000000017E-3</v>
      </c>
      <c r="AH75" s="18">
        <f t="shared" ref="AH75" si="554">+AH74-AE74</f>
        <v>2.936499999999953E-3</v>
      </c>
      <c r="AI75" s="18">
        <f t="shared" ref="AI75" si="555">+AI74-AF74</f>
        <v>2.939407127446475E-3</v>
      </c>
      <c r="AJ75" s="18">
        <f t="shared" ref="AJ75" si="556">+AJ74-AG74</f>
        <v>2.936499999999953E-3</v>
      </c>
      <c r="AK75" s="18">
        <f t="shared" ref="AK75" si="557">+AK74-AH74</f>
        <v>2.9850000000000154E-3</v>
      </c>
      <c r="AL75" s="18">
        <f t="shared" ref="AL75" si="558">+AL74-AI74</f>
        <v>2.987473491037923E-3</v>
      </c>
      <c r="AM75" s="18">
        <f t="shared" ref="AM75" si="559">+AM74-AJ74</f>
        <v>2.9850000000000154E-3</v>
      </c>
      <c r="AN75" s="31">
        <f t="shared" ref="AN75" si="560">+AN74-AK74</f>
        <v>3.0335000000000223E-3</v>
      </c>
      <c r="AO75" s="31">
        <f t="shared" ref="AO75" si="561">+AO74-AL74</f>
        <v>3.0395571760779005E-3</v>
      </c>
      <c r="AP75" s="18">
        <f t="shared" ref="AP75" si="562">+AP74-AM74</f>
        <v>3.0335000000000223E-3</v>
      </c>
      <c r="AQ75" s="31">
        <f t="shared" ref="AQ75" si="563">+AQ74-AN74</f>
        <v>5.8200000000002694E-4</v>
      </c>
      <c r="AR75" s="31">
        <f t="shared" ref="AR75" si="564">+AR74-AO74</f>
        <v>5.833906068854755E-4</v>
      </c>
      <c r="AS75" s="18">
        <f t="shared" ref="AS75" si="565">+AS74-AP74</f>
        <v>5.8200000000002694E-4</v>
      </c>
      <c r="AT75" s="31">
        <f t="shared" ref="AT75" si="566">+AT74-AQ74</f>
        <v>6.304999999999783E-4</v>
      </c>
      <c r="AU75" s="31">
        <f t="shared" ref="AU75" si="567">+AU74-AR74</f>
        <v>6.3174185148875961E-4</v>
      </c>
      <c r="AV75" s="18">
        <f t="shared" ref="AV75" si="568">+AV74-AS74</f>
        <v>6.304999999999783E-4</v>
      </c>
    </row>
    <row r="76" spans="1:136" outlineLevel="1" x14ac:dyDescent="0.25">
      <c r="M76" s="8"/>
      <c r="AA76" s="15">
        <f>+AA74-L74</f>
        <v>2.8139279816513874E-2</v>
      </c>
    </row>
    <row r="77" spans="1:136" outlineLevel="1" x14ac:dyDescent="0.25">
      <c r="M77" s="8"/>
      <c r="AA77" s="18">
        <f>+AA76/5</f>
        <v>5.6278559633027745E-3</v>
      </c>
    </row>
    <row r="78" spans="1:136" outlineLevel="1" x14ac:dyDescent="0.25">
      <c r="M78" s="8"/>
    </row>
    <row r="79" spans="1:136" outlineLevel="1" x14ac:dyDescent="0.25">
      <c r="A79" s="9"/>
      <c r="B79" s="13" t="s">
        <v>50</v>
      </c>
      <c r="C79" s="194"/>
      <c r="D79" s="194"/>
      <c r="E79" s="194"/>
      <c r="F79" s="194"/>
      <c r="G79" s="195"/>
      <c r="H79" s="195"/>
      <c r="I79" s="195"/>
      <c r="J79" s="195"/>
      <c r="K79" s="195"/>
      <c r="L79" s="342"/>
      <c r="M79" s="195"/>
      <c r="N79" s="195"/>
      <c r="O79" s="195"/>
      <c r="P79" s="195"/>
      <c r="Q79" s="195"/>
      <c r="R79" s="195"/>
      <c r="S79" s="195"/>
      <c r="T79" s="195"/>
      <c r="U79" s="195"/>
      <c r="V79" s="60"/>
      <c r="W79" s="13"/>
      <c r="X79" s="194"/>
      <c r="Y79" s="60"/>
      <c r="Z79" s="13"/>
      <c r="AA79" s="194"/>
      <c r="AB79" s="60"/>
      <c r="AC79" s="13"/>
      <c r="AD79" s="194"/>
      <c r="AE79" s="60"/>
      <c r="AF79" s="13"/>
      <c r="AG79" s="194"/>
      <c r="AH79" s="60"/>
      <c r="AI79" s="13"/>
      <c r="AJ79" s="194"/>
      <c r="AK79" s="60"/>
      <c r="AL79" s="13"/>
      <c r="AM79" s="194"/>
      <c r="AN79" s="60"/>
      <c r="AO79" s="13"/>
      <c r="AP79" s="194"/>
      <c r="AQ79" s="60"/>
      <c r="AR79" s="13"/>
      <c r="AS79" s="194"/>
      <c r="AT79" s="60"/>
      <c r="AU79" s="13"/>
      <c r="AV79" s="194"/>
      <c r="AW79" s="10"/>
      <c r="BD79" s="7"/>
      <c r="BE79" s="7"/>
      <c r="BF79" s="7"/>
      <c r="BG79" s="7"/>
      <c r="BH79" s="7"/>
      <c r="BI79" s="7"/>
      <c r="BJ79" s="7"/>
      <c r="BK79" s="7"/>
      <c r="BL79" s="7"/>
      <c r="BN79" s="89"/>
      <c r="BO79" s="10"/>
      <c r="BP79" s="10"/>
      <c r="BQ79" s="10"/>
      <c r="BR79" s="10"/>
      <c r="BS79" s="7"/>
      <c r="BT79" s="7"/>
      <c r="BU79" s="7"/>
      <c r="BV79" s="7"/>
      <c r="BW79" s="7"/>
      <c r="BX79" s="7"/>
      <c r="BY79" s="7"/>
      <c r="BZ79" s="7"/>
      <c r="CA79" s="7"/>
      <c r="CB79" s="7"/>
      <c r="CC79" s="7"/>
      <c r="CD79" s="7"/>
      <c r="CE79" s="7"/>
      <c r="CF79" s="7"/>
      <c r="CG79" s="7"/>
      <c r="CI79" s="89"/>
      <c r="CJ79" s="10"/>
      <c r="CK79" s="10"/>
      <c r="CL79" s="10"/>
      <c r="CM79" s="10"/>
      <c r="CN79" s="7"/>
      <c r="CO79" s="7"/>
      <c r="CP79" s="7"/>
      <c r="CQ79" s="7"/>
      <c r="CR79" s="7"/>
      <c r="CS79" s="7"/>
      <c r="CT79" s="7"/>
      <c r="CU79" s="7"/>
      <c r="CV79" s="7"/>
      <c r="CW79" s="7"/>
      <c r="CX79" s="7"/>
      <c r="CY79" s="7"/>
      <c r="CZ79" s="7"/>
      <c r="DA79" s="7"/>
      <c r="DB79" s="7"/>
      <c r="DD79" s="89"/>
      <c r="DE79" s="10"/>
      <c r="DF79" s="10"/>
      <c r="DG79" s="10"/>
      <c r="DH79" s="10"/>
      <c r="DI79" s="7"/>
      <c r="DJ79" s="7"/>
      <c r="DK79" s="7"/>
      <c r="DL79" s="7"/>
      <c r="DM79" s="7"/>
      <c r="DN79" s="7"/>
      <c r="DO79" s="7"/>
      <c r="DP79" s="7"/>
      <c r="DQ79" s="7"/>
      <c r="DR79" s="7"/>
      <c r="DS79" s="7"/>
      <c r="DT79" s="7"/>
      <c r="DU79" s="7"/>
      <c r="DV79" s="7"/>
      <c r="DW79" s="7"/>
      <c r="DY79" s="89"/>
      <c r="DZ79" s="10"/>
      <c r="EA79" s="10"/>
      <c r="EB79" s="10"/>
      <c r="EC79" s="10"/>
      <c r="ED79" s="7"/>
      <c r="EE79" s="7"/>
      <c r="EF79" s="7"/>
    </row>
    <row r="80" spans="1:136" outlineLevel="1" x14ac:dyDescent="0.25">
      <c r="M80" s="8"/>
    </row>
    <row r="81" spans="1:48" outlineLevel="1" x14ac:dyDescent="0.25">
      <c r="B81" s="8" t="s">
        <v>34</v>
      </c>
      <c r="C81" s="22" t="s">
        <v>274</v>
      </c>
      <c r="F81" s="21"/>
      <c r="G81" s="21">
        <f>+F84</f>
        <v>104</v>
      </c>
      <c r="H81" s="21">
        <f>+G84</f>
        <v>106</v>
      </c>
      <c r="I81" s="21">
        <f>+F84</f>
        <v>104</v>
      </c>
      <c r="J81" s="21">
        <f>+I84</f>
        <v>116</v>
      </c>
      <c r="K81" s="21">
        <f>+J84</f>
        <v>121</v>
      </c>
      <c r="L81" s="308">
        <f>+I84</f>
        <v>116</v>
      </c>
      <c r="M81" s="21">
        <f>+L84</f>
        <v>130</v>
      </c>
      <c r="N81" s="21">
        <f>+M84</f>
        <v>136</v>
      </c>
      <c r="O81" s="308">
        <f>+L84</f>
        <v>130</v>
      </c>
      <c r="P81" s="21">
        <f t="shared" ref="P81:W81" si="569">+O84</f>
        <v>143</v>
      </c>
      <c r="Q81" s="21">
        <f t="shared" si="569"/>
        <v>153</v>
      </c>
      <c r="R81" s="21">
        <f>+O84</f>
        <v>143</v>
      </c>
      <c r="S81" s="21">
        <f t="shared" si="569"/>
        <v>163</v>
      </c>
      <c r="T81" s="21">
        <f t="shared" si="569"/>
        <v>173.5</v>
      </c>
      <c r="U81" s="21">
        <f>+R84</f>
        <v>163</v>
      </c>
      <c r="V81" s="21">
        <f t="shared" si="569"/>
        <v>184</v>
      </c>
      <c r="W81" s="21">
        <f t="shared" si="569"/>
        <v>196</v>
      </c>
      <c r="X81" s="21">
        <f>+U84</f>
        <v>184</v>
      </c>
      <c r="Y81" s="21">
        <f t="shared" ref="Y81" si="570">+X84</f>
        <v>208</v>
      </c>
      <c r="Z81" s="21">
        <f t="shared" ref="Z81" si="571">+Y84</f>
        <v>220</v>
      </c>
      <c r="AA81" s="21">
        <f>+X84</f>
        <v>208</v>
      </c>
      <c r="AB81" s="21">
        <f t="shared" ref="AB81" si="572">+AA84</f>
        <v>232</v>
      </c>
      <c r="AC81" s="21">
        <f t="shared" ref="AC81" si="573">+AB84</f>
        <v>242.5</v>
      </c>
      <c r="AD81" s="21">
        <f t="shared" ref="AD81" si="574">+AA84</f>
        <v>232</v>
      </c>
      <c r="AE81" s="21">
        <f t="shared" ref="AE81" si="575">+AD84</f>
        <v>253</v>
      </c>
      <c r="AF81" s="21">
        <f t="shared" ref="AF81" si="576">+AE84</f>
        <v>263.5</v>
      </c>
      <c r="AG81" s="21">
        <f t="shared" ref="AG81" si="577">+AD84</f>
        <v>253</v>
      </c>
      <c r="AH81" s="21">
        <f t="shared" ref="AH81" si="578">+AG84</f>
        <v>274</v>
      </c>
      <c r="AI81" s="21">
        <f t="shared" ref="AI81" si="579">+AH84</f>
        <v>284.5</v>
      </c>
      <c r="AJ81" s="21">
        <f t="shared" ref="AJ81" si="580">+AG84</f>
        <v>274</v>
      </c>
      <c r="AK81" s="21">
        <f t="shared" ref="AK81" si="581">+AJ84</f>
        <v>295</v>
      </c>
      <c r="AL81" s="21">
        <f t="shared" ref="AL81" si="582">+AK84</f>
        <v>305.5</v>
      </c>
      <c r="AM81" s="21">
        <f t="shared" ref="AM81" si="583">+AJ84</f>
        <v>295</v>
      </c>
      <c r="AN81" s="21">
        <f t="shared" ref="AN81" si="584">+AM84</f>
        <v>316</v>
      </c>
      <c r="AO81" s="21">
        <f t="shared" ref="AO81" si="585">+AN84</f>
        <v>325</v>
      </c>
      <c r="AP81" s="21">
        <f t="shared" ref="AP81" si="586">+AM84</f>
        <v>316</v>
      </c>
      <c r="AQ81" s="21">
        <f t="shared" ref="AQ81" si="587">+AP84</f>
        <v>334</v>
      </c>
      <c r="AR81" s="21">
        <f t="shared" ref="AR81" si="588">+AQ84</f>
        <v>343</v>
      </c>
      <c r="AS81" s="21">
        <f t="shared" ref="AS81" si="589">+AP84</f>
        <v>334</v>
      </c>
      <c r="AT81" s="21">
        <f t="shared" ref="AT81" si="590">+AS84</f>
        <v>352</v>
      </c>
      <c r="AU81" s="21">
        <f t="shared" ref="AU81" si="591">+AT84</f>
        <v>361</v>
      </c>
      <c r="AV81" s="21">
        <f t="shared" ref="AV81" si="592">+AS84</f>
        <v>352</v>
      </c>
    </row>
    <row r="82" spans="1:48" outlineLevel="1" x14ac:dyDescent="0.25">
      <c r="B82" s="25" t="s">
        <v>35</v>
      </c>
      <c r="C82" s="22" t="s">
        <v>274</v>
      </c>
      <c r="F82" s="21"/>
      <c r="G82" s="21"/>
      <c r="H82" s="21"/>
      <c r="I82" s="21"/>
      <c r="J82" s="21"/>
      <c r="K82" s="21"/>
      <c r="L82" s="308"/>
      <c r="M82" s="21"/>
      <c r="N82" s="21"/>
      <c r="O82" s="308"/>
      <c r="P82" s="27">
        <v>0</v>
      </c>
      <c r="Q82" s="27">
        <v>0</v>
      </c>
      <c r="R82" s="21">
        <f>+P82+Q82</f>
        <v>0</v>
      </c>
      <c r="S82" s="27">
        <v>0</v>
      </c>
      <c r="T82" s="27">
        <v>0</v>
      </c>
      <c r="U82" s="21">
        <f>+S82+T82</f>
        <v>0</v>
      </c>
      <c r="V82" s="27">
        <v>0</v>
      </c>
      <c r="W82" s="27">
        <v>0</v>
      </c>
      <c r="X82" s="21">
        <f>+V82+W82</f>
        <v>0</v>
      </c>
      <c r="Y82" s="27">
        <v>0</v>
      </c>
      <c r="Z82" s="27">
        <v>0</v>
      </c>
      <c r="AA82" s="21">
        <f>+Y82+Z82</f>
        <v>0</v>
      </c>
      <c r="AB82" s="27">
        <v>0</v>
      </c>
      <c r="AC82" s="27">
        <v>0</v>
      </c>
      <c r="AD82" s="21">
        <f t="shared" ref="AD82" si="593">+AB82+AC82</f>
        <v>0</v>
      </c>
      <c r="AE82" s="27">
        <v>0</v>
      </c>
      <c r="AF82" s="27">
        <v>0</v>
      </c>
      <c r="AG82" s="21">
        <f t="shared" ref="AG82" si="594">+AE82+AF82</f>
        <v>0</v>
      </c>
      <c r="AH82" s="27">
        <v>0</v>
      </c>
      <c r="AI82" s="27">
        <v>0</v>
      </c>
      <c r="AJ82" s="21">
        <f t="shared" ref="AJ82" si="595">+AH82+AI82</f>
        <v>0</v>
      </c>
      <c r="AK82" s="27">
        <v>0</v>
      </c>
      <c r="AL82" s="27">
        <v>0</v>
      </c>
      <c r="AM82" s="21">
        <f t="shared" ref="AM82" si="596">+AK82+AL82</f>
        <v>0</v>
      </c>
      <c r="AN82" s="27">
        <v>0</v>
      </c>
      <c r="AO82" s="27">
        <v>0</v>
      </c>
      <c r="AP82" s="21">
        <f t="shared" ref="AP82" si="597">+AN82+AO82</f>
        <v>0</v>
      </c>
      <c r="AQ82" s="27">
        <v>0</v>
      </c>
      <c r="AR82" s="27">
        <v>0</v>
      </c>
      <c r="AS82" s="21">
        <f t="shared" ref="AS82" si="598">+AQ82+AR82</f>
        <v>0</v>
      </c>
      <c r="AT82" s="27">
        <v>0</v>
      </c>
      <c r="AU82" s="27">
        <v>0</v>
      </c>
      <c r="AV82" s="21">
        <f t="shared" ref="AV82" si="599">+AT82+AU82</f>
        <v>0</v>
      </c>
    </row>
    <row r="83" spans="1:48" outlineLevel="1" x14ac:dyDescent="0.25">
      <c r="B83" s="8" t="s">
        <v>36</v>
      </c>
      <c r="C83" s="22" t="s">
        <v>274</v>
      </c>
      <c r="F83" s="21"/>
      <c r="G83" s="21">
        <f t="shared" ref="G83:L83" si="600">+G84-G81</f>
        <v>2</v>
      </c>
      <c r="H83" s="21">
        <f t="shared" si="600"/>
        <v>10</v>
      </c>
      <c r="I83" s="21">
        <f t="shared" si="600"/>
        <v>12</v>
      </c>
      <c r="J83" s="21">
        <f t="shared" si="600"/>
        <v>5</v>
      </c>
      <c r="K83" s="21">
        <f t="shared" si="600"/>
        <v>9</v>
      </c>
      <c r="L83" s="308">
        <f t="shared" si="600"/>
        <v>14</v>
      </c>
      <c r="M83" s="21">
        <f t="shared" ref="M83:O83" si="601">+M84-M81</f>
        <v>6</v>
      </c>
      <c r="N83" s="21">
        <f t="shared" si="601"/>
        <v>7</v>
      </c>
      <c r="O83" s="308">
        <f t="shared" si="601"/>
        <v>13</v>
      </c>
      <c r="P83" s="27">
        <v>10</v>
      </c>
      <c r="Q83" s="27">
        <f>+R83-P83</f>
        <v>10</v>
      </c>
      <c r="R83" s="21">
        <f>+'GYG network model'!Q35</f>
        <v>20</v>
      </c>
      <c r="S83" s="27">
        <f t="shared" ref="S83:T83" si="602">+S49*60%</f>
        <v>10.5</v>
      </c>
      <c r="T83" s="27">
        <f t="shared" si="602"/>
        <v>10.5</v>
      </c>
      <c r="U83" s="21">
        <f t="shared" ref="U83" si="603">+T83+S83</f>
        <v>21</v>
      </c>
      <c r="V83" s="27">
        <f t="shared" ref="V83:W83" si="604">+V49*60%</f>
        <v>12</v>
      </c>
      <c r="W83" s="27">
        <f t="shared" si="604"/>
        <v>12</v>
      </c>
      <c r="X83" s="21">
        <f t="shared" ref="X83" si="605">+W83+V83</f>
        <v>24</v>
      </c>
      <c r="Y83" s="27">
        <f t="shared" ref="Y83:Z83" si="606">+Y49*60%</f>
        <v>12</v>
      </c>
      <c r="Z83" s="27">
        <f t="shared" si="606"/>
        <v>12</v>
      </c>
      <c r="AA83" s="21">
        <f t="shared" ref="AA83" si="607">+Z83+Y83</f>
        <v>24</v>
      </c>
      <c r="AB83" s="27">
        <f t="shared" ref="AB83:AC83" si="608">+AB49*60%</f>
        <v>10.5</v>
      </c>
      <c r="AC83" s="27">
        <f t="shared" si="608"/>
        <v>10.5</v>
      </c>
      <c r="AD83" s="21">
        <f t="shared" ref="AD83" si="609">+AC83+AB83</f>
        <v>21</v>
      </c>
      <c r="AE83" s="27">
        <f t="shared" ref="AE83:AF83" si="610">+AE49*60%</f>
        <v>10.5</v>
      </c>
      <c r="AF83" s="27">
        <f t="shared" si="610"/>
        <v>10.5</v>
      </c>
      <c r="AG83" s="21">
        <f t="shared" ref="AG83" si="611">+AF83+AE83</f>
        <v>21</v>
      </c>
      <c r="AH83" s="27">
        <f t="shared" ref="AH83:AI83" si="612">+AH49*60%</f>
        <v>10.5</v>
      </c>
      <c r="AI83" s="27">
        <f t="shared" si="612"/>
        <v>10.5</v>
      </c>
      <c r="AJ83" s="21">
        <f t="shared" ref="AJ83" si="613">+AI83+AH83</f>
        <v>21</v>
      </c>
      <c r="AK83" s="27">
        <f t="shared" ref="AK83:AL83" si="614">+AK49*60%</f>
        <v>10.5</v>
      </c>
      <c r="AL83" s="27">
        <f t="shared" si="614"/>
        <v>10.5</v>
      </c>
      <c r="AM83" s="21">
        <f t="shared" ref="AM83" si="615">+AL83+AK83</f>
        <v>21</v>
      </c>
      <c r="AN83" s="27">
        <f t="shared" ref="AN83:AR83" si="616">+AN49*60%</f>
        <v>9</v>
      </c>
      <c r="AO83" s="27">
        <f t="shared" si="616"/>
        <v>9</v>
      </c>
      <c r="AP83" s="21">
        <f t="shared" ref="AP83" si="617">+AO83+AN83</f>
        <v>18</v>
      </c>
      <c r="AQ83" s="27">
        <f>+AQ49*60%</f>
        <v>9</v>
      </c>
      <c r="AR83" s="27">
        <f t="shared" si="616"/>
        <v>9</v>
      </c>
      <c r="AS83" s="21">
        <f t="shared" ref="AS83" si="618">+AR83+AQ83</f>
        <v>18</v>
      </c>
      <c r="AT83" s="27">
        <f>+AT49*60%</f>
        <v>9</v>
      </c>
      <c r="AU83" s="27">
        <f t="shared" ref="AU83" si="619">+AU49*60%</f>
        <v>9</v>
      </c>
      <c r="AV83" s="21">
        <f t="shared" ref="AV83" si="620">+AU83+AT83</f>
        <v>18</v>
      </c>
    </row>
    <row r="84" spans="1:48" outlineLevel="1" x14ac:dyDescent="0.25">
      <c r="A84" t="s">
        <v>453</v>
      </c>
      <c r="B84" s="8" t="s">
        <v>37</v>
      </c>
      <c r="C84" s="22" t="s">
        <v>274</v>
      </c>
      <c r="F84" s="43">
        <v>104</v>
      </c>
      <c r="G84" s="43">
        <v>106</v>
      </c>
      <c r="H84" s="21">
        <f>+I84</f>
        <v>116</v>
      </c>
      <c r="I84" s="43">
        <v>116</v>
      </c>
      <c r="J84" s="43">
        <v>121</v>
      </c>
      <c r="K84" s="21">
        <f>+L84</f>
        <v>130</v>
      </c>
      <c r="L84" s="357">
        <v>130</v>
      </c>
      <c r="M84" s="442">
        <v>136</v>
      </c>
      <c r="N84" s="21">
        <f>+O84</f>
        <v>143</v>
      </c>
      <c r="O84" s="357">
        <v>143</v>
      </c>
      <c r="P84" s="21">
        <f>+P81+P82+P83</f>
        <v>153</v>
      </c>
      <c r="Q84" s="21">
        <f>+R84</f>
        <v>163</v>
      </c>
      <c r="R84" s="21">
        <f>+R81+R82+R83</f>
        <v>163</v>
      </c>
      <c r="S84" s="21">
        <f>+S81+S82+S83</f>
        <v>173.5</v>
      </c>
      <c r="T84" s="21">
        <f>+U84</f>
        <v>184</v>
      </c>
      <c r="U84" s="21">
        <f>+U81+U82+U83</f>
        <v>184</v>
      </c>
      <c r="V84" s="21">
        <f>+V81+V82+V83</f>
        <v>196</v>
      </c>
      <c r="W84" s="21">
        <f>+X84</f>
        <v>208</v>
      </c>
      <c r="X84" s="21">
        <f>+X81+X82+X83</f>
        <v>208</v>
      </c>
      <c r="Y84" s="21">
        <f>+Y81+Y82+Y83</f>
        <v>220</v>
      </c>
      <c r="Z84" s="21">
        <f>+AA84</f>
        <v>232</v>
      </c>
      <c r="AA84" s="21">
        <f>+AA81+AA82+AA83</f>
        <v>232</v>
      </c>
      <c r="AB84" s="21">
        <f t="shared" ref="AB84" si="621">+AB81+AB82+AB83</f>
        <v>242.5</v>
      </c>
      <c r="AC84" s="21">
        <f t="shared" ref="AC84" si="622">+AD84</f>
        <v>253</v>
      </c>
      <c r="AD84" s="21">
        <f t="shared" ref="AD84:AE84" si="623">+AD81+AD82+AD83</f>
        <v>253</v>
      </c>
      <c r="AE84" s="21">
        <f t="shared" si="623"/>
        <v>263.5</v>
      </c>
      <c r="AF84" s="21">
        <f t="shared" ref="AF84" si="624">+AG84</f>
        <v>274</v>
      </c>
      <c r="AG84" s="21">
        <f t="shared" ref="AG84:AH84" si="625">+AG81+AG82+AG83</f>
        <v>274</v>
      </c>
      <c r="AH84" s="21">
        <f t="shared" si="625"/>
        <v>284.5</v>
      </c>
      <c r="AI84" s="21">
        <f t="shared" ref="AI84" si="626">+AJ84</f>
        <v>295</v>
      </c>
      <c r="AJ84" s="21">
        <f t="shared" ref="AJ84:AK84" si="627">+AJ81+AJ82+AJ83</f>
        <v>295</v>
      </c>
      <c r="AK84" s="21">
        <f t="shared" si="627"/>
        <v>305.5</v>
      </c>
      <c r="AL84" s="21">
        <f t="shared" ref="AL84" si="628">+AM84</f>
        <v>316</v>
      </c>
      <c r="AM84" s="21">
        <f t="shared" ref="AM84:AN84" si="629">+AM81+AM82+AM83</f>
        <v>316</v>
      </c>
      <c r="AN84" s="21">
        <f t="shared" si="629"/>
        <v>325</v>
      </c>
      <c r="AO84" s="21">
        <f t="shared" ref="AO84" si="630">+AP84</f>
        <v>334</v>
      </c>
      <c r="AP84" s="21">
        <f t="shared" ref="AP84" si="631">+AP81+AP82+AP83</f>
        <v>334</v>
      </c>
      <c r="AQ84" s="21">
        <f t="shared" ref="AQ84" si="632">+AQ81+AQ82+AQ83</f>
        <v>343</v>
      </c>
      <c r="AR84" s="21">
        <f t="shared" ref="AR84" si="633">+AS84</f>
        <v>352</v>
      </c>
      <c r="AS84" s="21">
        <f t="shared" ref="AS84:AT84" si="634">+AS81+AS82+AS83</f>
        <v>352</v>
      </c>
      <c r="AT84" s="21">
        <f t="shared" si="634"/>
        <v>361</v>
      </c>
      <c r="AU84" s="21">
        <f t="shared" ref="AU84" si="635">+AV84</f>
        <v>370</v>
      </c>
      <c r="AV84" s="21">
        <f t="shared" ref="AV84" si="636">+AV81+AV82+AV83</f>
        <v>370</v>
      </c>
    </row>
    <row r="85" spans="1:48" outlineLevel="1" x14ac:dyDescent="0.25">
      <c r="B85" s="8" t="s">
        <v>38</v>
      </c>
      <c r="C85" s="22" t="s">
        <v>274</v>
      </c>
      <c r="F85" s="21"/>
      <c r="G85" s="21">
        <f>+AVERAGE(F84:G84)</f>
        <v>105</v>
      </c>
      <c r="H85" s="21">
        <f>+AVERAGE(G84:H84)</f>
        <v>111</v>
      </c>
      <c r="I85" s="21">
        <f>+(I84+F84)/2</f>
        <v>110</v>
      </c>
      <c r="J85" s="21">
        <f>+AVERAGE(I84:J84)</f>
        <v>118.5</v>
      </c>
      <c r="K85" s="21">
        <f>+AVERAGE(J84:K84)</f>
        <v>125.5</v>
      </c>
      <c r="L85" s="308">
        <f>+(L84+I84)/2</f>
        <v>123</v>
      </c>
      <c r="M85" s="21">
        <f>+AVERAGE(L84:M84)</f>
        <v>133</v>
      </c>
      <c r="N85" s="21">
        <f>+AVERAGE(M84:N84)</f>
        <v>139.5</v>
      </c>
      <c r="O85" s="308">
        <f>+(O84+L84)/2</f>
        <v>136.5</v>
      </c>
      <c r="P85" s="21">
        <f>+AVERAGE(O84:P84)</f>
        <v>148</v>
      </c>
      <c r="Q85" s="21">
        <f>+AVERAGE(P84:Q84)</f>
        <v>158</v>
      </c>
      <c r="R85" s="21">
        <f>+(R84+O84)/2</f>
        <v>153</v>
      </c>
      <c r="S85" s="21">
        <f>+AVERAGE(R84:S84)</f>
        <v>168.25</v>
      </c>
      <c r="T85" s="21">
        <f>+AVERAGE(S84:T84)</f>
        <v>178.75</v>
      </c>
      <c r="U85" s="21">
        <f>+(U84+R84)/2</f>
        <v>173.5</v>
      </c>
      <c r="V85" s="21">
        <f>+AVERAGE(U84:V84)</f>
        <v>190</v>
      </c>
      <c r="W85" s="21">
        <f>+AVERAGE(V84:W84)</f>
        <v>202</v>
      </c>
      <c r="X85" s="21">
        <f>+(X84+U84)/2</f>
        <v>196</v>
      </c>
      <c r="Y85" s="21">
        <f>+AVERAGE(X84:Y84)</f>
        <v>214</v>
      </c>
      <c r="Z85" s="21">
        <f>+AVERAGE(Y84:Z84)</f>
        <v>226</v>
      </c>
      <c r="AA85" s="21">
        <f>+(AA84+X84)/2</f>
        <v>220</v>
      </c>
      <c r="AB85" s="21">
        <f t="shared" ref="AB85:AC85" si="637">+AVERAGE(AA84:AB84)</f>
        <v>237.25</v>
      </c>
      <c r="AC85" s="21">
        <f t="shared" si="637"/>
        <v>247.75</v>
      </c>
      <c r="AD85" s="21">
        <f t="shared" ref="AD85" si="638">+(AD84+AA84)/2</f>
        <v>242.5</v>
      </c>
      <c r="AE85" s="21">
        <f t="shared" ref="AE85:AF85" si="639">+AVERAGE(AD84:AE84)</f>
        <v>258.25</v>
      </c>
      <c r="AF85" s="21">
        <f t="shared" si="639"/>
        <v>268.75</v>
      </c>
      <c r="AG85" s="21">
        <f t="shared" ref="AG85" si="640">+(AG84+AD84)/2</f>
        <v>263.5</v>
      </c>
      <c r="AH85" s="21">
        <f t="shared" ref="AH85:AI85" si="641">+AVERAGE(AG84:AH84)</f>
        <v>279.25</v>
      </c>
      <c r="AI85" s="21">
        <f t="shared" si="641"/>
        <v>289.75</v>
      </c>
      <c r="AJ85" s="21">
        <f t="shared" ref="AJ85" si="642">+(AJ84+AG84)/2</f>
        <v>284.5</v>
      </c>
      <c r="AK85" s="21">
        <f t="shared" ref="AK85:AL85" si="643">+AVERAGE(AJ84:AK84)</f>
        <v>300.25</v>
      </c>
      <c r="AL85" s="21">
        <f t="shared" si="643"/>
        <v>310.75</v>
      </c>
      <c r="AM85" s="21">
        <f t="shared" ref="AM85" si="644">+(AM84+AJ84)/2</f>
        <v>305.5</v>
      </c>
      <c r="AN85" s="21">
        <f t="shared" ref="AN85:AO85" si="645">+AVERAGE(AM84:AN84)</f>
        <v>320.5</v>
      </c>
      <c r="AO85" s="21">
        <f t="shared" si="645"/>
        <v>329.5</v>
      </c>
      <c r="AP85" s="21">
        <f t="shared" ref="AP85" si="646">+(AP84+AM84)/2</f>
        <v>325</v>
      </c>
      <c r="AQ85" s="21">
        <f t="shared" ref="AQ85" si="647">+AVERAGE(AP84:AQ84)</f>
        <v>338.5</v>
      </c>
      <c r="AR85" s="21">
        <f t="shared" ref="AR85" si="648">+AVERAGE(AQ84:AR84)</f>
        <v>347.5</v>
      </c>
      <c r="AS85" s="21">
        <f t="shared" ref="AS85" si="649">+(AS84+AP84)/2</f>
        <v>343</v>
      </c>
      <c r="AT85" s="21">
        <f t="shared" ref="AT85" si="650">+AVERAGE(AS84:AT84)</f>
        <v>356.5</v>
      </c>
      <c r="AU85" s="21">
        <f t="shared" ref="AU85" si="651">+AVERAGE(AT84:AU84)</f>
        <v>365.5</v>
      </c>
      <c r="AV85" s="21">
        <f t="shared" ref="AV85" si="652">+(AV84+AS84)/2</f>
        <v>361</v>
      </c>
    </row>
    <row r="86" spans="1:48" outlineLevel="1" x14ac:dyDescent="0.25">
      <c r="B86" s="8" t="s">
        <v>39</v>
      </c>
      <c r="C86" s="22" t="s">
        <v>29</v>
      </c>
      <c r="J86" s="254">
        <f t="shared" ref="J86:X86" si="653">+J85/G85-1</f>
        <v>0.12857142857142856</v>
      </c>
      <c r="K86" s="28">
        <f t="shared" si="653"/>
        <v>0.13063063063063063</v>
      </c>
      <c r="L86" s="310">
        <f t="shared" si="653"/>
        <v>0.11818181818181817</v>
      </c>
      <c r="M86" s="254">
        <f t="shared" si="653"/>
        <v>0.1223628691983123</v>
      </c>
      <c r="N86" s="28">
        <f t="shared" ref="N86" si="654">+N85/K85-1</f>
        <v>0.11155378486055767</v>
      </c>
      <c r="O86" s="310">
        <f t="shared" ref="O86" si="655">+O85/L85-1</f>
        <v>0.10975609756097571</v>
      </c>
      <c r="P86" s="14">
        <f t="shared" si="653"/>
        <v>0.11278195488721798</v>
      </c>
      <c r="Q86" s="14">
        <f t="shared" si="653"/>
        <v>0.13261648745519716</v>
      </c>
      <c r="R86" s="14">
        <f t="shared" si="653"/>
        <v>0.12087912087912089</v>
      </c>
      <c r="S86" s="14">
        <f t="shared" si="653"/>
        <v>0.13682432432432434</v>
      </c>
      <c r="T86" s="14">
        <f t="shared" si="653"/>
        <v>0.13132911392405067</v>
      </c>
      <c r="U86" s="14">
        <f t="shared" si="653"/>
        <v>0.13398692810457513</v>
      </c>
      <c r="V86" s="14">
        <f t="shared" si="653"/>
        <v>0.12927191679049033</v>
      </c>
      <c r="W86" s="14">
        <f t="shared" si="653"/>
        <v>0.13006993006993017</v>
      </c>
      <c r="X86" s="14">
        <f t="shared" si="653"/>
        <v>0.12968299711815567</v>
      </c>
      <c r="Y86" s="14">
        <f t="shared" ref="Y86" si="656">+Y85/V85-1</f>
        <v>0.12631578947368416</v>
      </c>
      <c r="Z86" s="14">
        <f t="shared" ref="Z86" si="657">+Z85/W85-1</f>
        <v>0.11881188118811892</v>
      </c>
      <c r="AA86" s="14">
        <f t="shared" ref="AA86" si="658">+AA85/X85-1</f>
        <v>0.12244897959183665</v>
      </c>
      <c r="AB86" s="14">
        <f t="shared" ref="AB86" si="659">+AB85/Y85-1</f>
        <v>0.10864485981308403</v>
      </c>
      <c r="AC86" s="14">
        <f t="shared" ref="AC86" si="660">+AC85/Z85-1</f>
        <v>9.6238938053097245E-2</v>
      </c>
      <c r="AD86" s="14">
        <f t="shared" ref="AD86" si="661">+AD85/AA85-1</f>
        <v>0.10227272727272729</v>
      </c>
      <c r="AE86" s="14">
        <f t="shared" ref="AE86" si="662">+AE85/AB85-1</f>
        <v>8.85142255005269E-2</v>
      </c>
      <c r="AF86" s="14">
        <f t="shared" ref="AF86" si="663">+AF85/AC85-1</f>
        <v>8.4762865792129105E-2</v>
      </c>
      <c r="AG86" s="14">
        <f t="shared" ref="AG86" si="664">+AG85/AD85-1</f>
        <v>8.6597938144329811E-2</v>
      </c>
      <c r="AH86" s="14">
        <f t="shared" ref="AH86" si="665">+AH85/AE85-1</f>
        <v>8.1316553727008634E-2</v>
      </c>
      <c r="AI86" s="14">
        <f t="shared" ref="AI86" si="666">+AI85/AF85-1</f>
        <v>7.8139534883720829E-2</v>
      </c>
      <c r="AJ86" s="14">
        <f t="shared" ref="AJ86" si="667">+AJ85/AG85-1</f>
        <v>7.9696394686906924E-2</v>
      </c>
      <c r="AK86" s="14">
        <f t="shared" ref="AK86" si="668">+AK85/AH85-1</f>
        <v>7.5201432408236402E-2</v>
      </c>
      <c r="AL86" s="14">
        <f t="shared" ref="AL86" si="669">+AL85/AI85-1</f>
        <v>7.2476272648835272E-2</v>
      </c>
      <c r="AM86" s="14">
        <f t="shared" ref="AM86" si="670">+AM85/AJ85-1</f>
        <v>7.381370826010536E-2</v>
      </c>
      <c r="AN86" s="14">
        <f t="shared" ref="AN86" si="671">+AN85/AK85-1</f>
        <v>6.7443796835970016E-2</v>
      </c>
      <c r="AO86" s="14">
        <f t="shared" ref="AO86" si="672">+AO85/AL85-1</f>
        <v>6.033789219629937E-2</v>
      </c>
      <c r="AP86" s="14">
        <f t="shared" ref="AP86" si="673">+AP85/AM85-1</f>
        <v>6.3829787234042534E-2</v>
      </c>
      <c r="AQ86" s="14">
        <f t="shared" ref="AQ86" si="674">+AQ85/AN85-1</f>
        <v>5.616224648985968E-2</v>
      </c>
      <c r="AR86" s="14">
        <f t="shared" ref="AR86" si="675">+AR85/AO85-1</f>
        <v>5.4628224582701002E-2</v>
      </c>
      <c r="AS86" s="14">
        <f t="shared" ref="AS86" si="676">+AS85/AP85-1</f>
        <v>5.5384615384615365E-2</v>
      </c>
      <c r="AT86" s="14">
        <f t="shared" ref="AT86" si="677">+AT85/AQ85-1</f>
        <v>5.3175775480059029E-2</v>
      </c>
      <c r="AU86" s="14">
        <f t="shared" ref="AU86" si="678">+AU85/AR85-1</f>
        <v>5.179856115107917E-2</v>
      </c>
      <c r="AV86" s="14">
        <f t="shared" ref="AV86" si="679">+AV85/AS85-1</f>
        <v>5.2478134110787167E-2</v>
      </c>
    </row>
    <row r="87" spans="1:48" outlineLevel="1" x14ac:dyDescent="0.25">
      <c r="M87" s="8"/>
    </row>
    <row r="88" spans="1:48" outlineLevel="1" x14ac:dyDescent="0.25">
      <c r="M88" s="8"/>
    </row>
    <row r="89" spans="1:48" outlineLevel="1" x14ac:dyDescent="0.25">
      <c r="A89" t="s">
        <v>450</v>
      </c>
      <c r="B89" s="12" t="s">
        <v>43</v>
      </c>
      <c r="C89" s="22" t="s">
        <v>28</v>
      </c>
      <c r="F89" s="57">
        <f t="shared" ref="F89:L89" si="680">+F10-F68</f>
        <v>396.2</v>
      </c>
      <c r="G89" s="57">
        <f t="shared" si="680"/>
        <v>234.29999999999998</v>
      </c>
      <c r="H89" s="17">
        <f t="shared" si="680"/>
        <v>256.60000000000002</v>
      </c>
      <c r="I89" s="57">
        <f t="shared" si="680"/>
        <v>490.9</v>
      </c>
      <c r="J89" s="57">
        <f t="shared" si="680"/>
        <v>302</v>
      </c>
      <c r="K89" s="17">
        <f t="shared" si="680"/>
        <v>313.70000000000005</v>
      </c>
      <c r="L89" s="359">
        <f t="shared" si="680"/>
        <v>615.70000000000005</v>
      </c>
      <c r="M89" s="57">
        <f>+M10-M68</f>
        <v>362.14900000000006</v>
      </c>
      <c r="N89" s="17">
        <f t="shared" ref="N89:O89" si="681">+N10-N68</f>
        <v>372.75099999999986</v>
      </c>
      <c r="O89" s="359">
        <f t="shared" si="681"/>
        <v>734.89999999999986</v>
      </c>
      <c r="P89" s="34">
        <f>P46-P68</f>
        <v>409.54466603726718</v>
      </c>
      <c r="Q89" s="34">
        <f>+R89-P89</f>
        <v>428.51880267086671</v>
      </c>
      <c r="R89" s="34">
        <f>R46-R68</f>
        <v>838.06346870813388</v>
      </c>
      <c r="S89" s="34">
        <f>S46-S68</f>
        <v>476.75407699716726</v>
      </c>
      <c r="T89" s="34">
        <f>+U89-S89</f>
        <v>521.65894017348069</v>
      </c>
      <c r="U89" s="34">
        <f>U46-U68</f>
        <v>998.41301717064789</v>
      </c>
      <c r="V89" s="34">
        <f>V46-V68</f>
        <v>565.2846020930233</v>
      </c>
      <c r="W89" s="34">
        <f>+X89-V89</f>
        <v>618.92254783051385</v>
      </c>
      <c r="X89" s="34">
        <f>X46-X68</f>
        <v>1184.2071499235371</v>
      </c>
      <c r="Y89" s="34">
        <f>Y46-Y68</f>
        <v>669.0479644689151</v>
      </c>
      <c r="Z89" s="34">
        <f>+AA89-Y89</f>
        <v>728.69707395213732</v>
      </c>
      <c r="AA89" s="34">
        <f>AA46-AA68</f>
        <v>1397.7450384210524</v>
      </c>
      <c r="AB89" s="34">
        <f t="shared" ref="AB89" si="682">AB46-AB68</f>
        <v>779.80802220435498</v>
      </c>
      <c r="AC89" s="34">
        <f t="shared" ref="AC89" si="683">+AD89-AB89</f>
        <v>841.82906626559497</v>
      </c>
      <c r="AD89" s="34">
        <f t="shared" ref="AD89:AE89" si="684">AD46-AD68</f>
        <v>1621.63708846995</v>
      </c>
      <c r="AE89" s="34">
        <f t="shared" si="684"/>
        <v>891.62193980425195</v>
      </c>
      <c r="AF89" s="34">
        <f t="shared" ref="AF89" si="685">+AG89-AE89</f>
        <v>959.93901355885941</v>
      </c>
      <c r="AG89" s="34">
        <f t="shared" ref="AG89:AH89" si="686">AG46-AG68</f>
        <v>1851.5609533631114</v>
      </c>
      <c r="AH89" s="34">
        <f t="shared" si="686"/>
        <v>1012.6656578101032</v>
      </c>
      <c r="AI89" s="34">
        <f t="shared" ref="AI89" si="687">+AJ89-AH89</f>
        <v>1087.7495049118456</v>
      </c>
      <c r="AJ89" s="34">
        <f t="shared" ref="AJ89:AK89" si="688">AJ46-AJ68</f>
        <v>2100.4151627219489</v>
      </c>
      <c r="AK89" s="34">
        <f t="shared" si="688"/>
        <v>1143.5829889931342</v>
      </c>
      <c r="AL89" s="34">
        <f t="shared" ref="AL89" si="689">+AM89-AK89</f>
        <v>1225.9363307805374</v>
      </c>
      <c r="AM89" s="34">
        <f t="shared" ref="AM89:AN89" si="690">AM46-AM68</f>
        <v>2369.5193197736717</v>
      </c>
      <c r="AN89" s="34">
        <f t="shared" si="690"/>
        <v>1258.2368446497792</v>
      </c>
      <c r="AO89" s="34">
        <f t="shared" ref="AO89" si="691">+AP89-AN89</f>
        <v>1341.7829048794426</v>
      </c>
      <c r="AP89" s="34">
        <f t="shared" ref="AP89:AQ89" si="692">AP46-AP68</f>
        <v>2600.0197495292218</v>
      </c>
      <c r="AQ89" s="34">
        <f t="shared" si="692"/>
        <v>1368.9865279275839</v>
      </c>
      <c r="AR89" s="34">
        <f t="shared" ref="AR89" si="693">+AS89-AQ89</f>
        <v>1458.2297042343714</v>
      </c>
      <c r="AS89" s="34">
        <f t="shared" ref="AS89:AT89" si="694">AS46-AS68</f>
        <v>2827.2162321619553</v>
      </c>
      <c r="AT89" s="34">
        <f t="shared" si="694"/>
        <v>1485.2481346799123</v>
      </c>
      <c r="AU89" s="34">
        <f t="shared" ref="AU89" si="695">+AV89-AT89</f>
        <v>1580.4538230758972</v>
      </c>
      <c r="AV89" s="34">
        <f t="shared" ref="AV89" si="696">AV46-AV68</f>
        <v>3065.7019577558094</v>
      </c>
    </row>
    <row r="90" spans="1:48" outlineLevel="1" x14ac:dyDescent="0.25">
      <c r="A90" t="s">
        <v>633</v>
      </c>
      <c r="B90" s="8" t="s">
        <v>39</v>
      </c>
      <c r="C90" s="22" t="s">
        <v>29</v>
      </c>
      <c r="I90" s="28">
        <f t="shared" ref="I90:X90" si="697">+I89/F89-1</f>
        <v>0.23902069661786984</v>
      </c>
      <c r="J90" s="303">
        <f t="shared" si="697"/>
        <v>0.2889457959880497</v>
      </c>
      <c r="L90" s="310">
        <f t="shared" si="697"/>
        <v>0.25422693012833597</v>
      </c>
      <c r="M90" s="303">
        <f t="shared" si="697"/>
        <v>0.19916887417218554</v>
      </c>
      <c r="O90" s="310">
        <f t="shared" ref="O90" si="698">+O89/L89-1</f>
        <v>0.19360077960045441</v>
      </c>
      <c r="P90" s="28">
        <f t="shared" si="697"/>
        <v>0.13087338647149971</v>
      </c>
      <c r="Q90" s="28">
        <f t="shared" si="697"/>
        <v>0.14961140995159461</v>
      </c>
      <c r="R90" s="28">
        <f t="shared" si="697"/>
        <v>0.14037755981512312</v>
      </c>
      <c r="S90" s="28">
        <f t="shared" si="697"/>
        <v>0.16410764571838965</v>
      </c>
      <c r="T90" s="28">
        <f t="shared" si="697"/>
        <v>0.21735367718310439</v>
      </c>
      <c r="U90" s="28">
        <f t="shared" si="697"/>
        <v>0.19133341858903741</v>
      </c>
      <c r="V90" s="28">
        <f t="shared" si="697"/>
        <v>0.18569432201495806</v>
      </c>
      <c r="W90" s="28">
        <f t="shared" si="697"/>
        <v>0.18645057175611246</v>
      </c>
      <c r="X90" s="28">
        <f t="shared" si="697"/>
        <v>0.18608945352034967</v>
      </c>
      <c r="Y90" s="28">
        <f t="shared" ref="Y90" si="699">+Y89/V89-1</f>
        <v>0.18355950611726812</v>
      </c>
      <c r="Z90" s="28">
        <f t="shared" ref="Z90" si="700">+Z89/W89-1</f>
        <v>0.17736391492992465</v>
      </c>
      <c r="AA90" s="28">
        <f t="shared" ref="AA90" si="701">+AA89/X89-1</f>
        <v>0.18032139774810774</v>
      </c>
      <c r="AB90" s="28">
        <f t="shared" ref="AB90" si="702">+AB89/Y89-1</f>
        <v>0.16554875527251678</v>
      </c>
      <c r="AC90" s="28">
        <f t="shared" ref="AC90" si="703">+AC89/Z89-1</f>
        <v>0.15525243116440524</v>
      </c>
      <c r="AD90" s="28">
        <f t="shared" ref="AD90" si="704">+AD89/AA89-1</f>
        <v>0.16018089415063486</v>
      </c>
      <c r="AE90" s="28">
        <f t="shared" ref="AE90" si="705">+AE89/AB89-1</f>
        <v>0.1433864674587757</v>
      </c>
      <c r="AF90" s="28">
        <f t="shared" ref="AF90" si="706">+AF89/AC89-1</f>
        <v>0.14030157905714447</v>
      </c>
      <c r="AG90" s="28">
        <f t="shared" ref="AG90" si="707">+AG89/AD89-1</f>
        <v>0.14178503102078133</v>
      </c>
      <c r="AH90" s="28">
        <f t="shared" ref="AH90" si="708">+AH89/AE89-1</f>
        <v>0.13575677380978912</v>
      </c>
      <c r="AI90" s="28">
        <f t="shared" ref="AI90" si="709">+AI89/AF89-1</f>
        <v>0.1331443868284341</v>
      </c>
      <c r="AJ90" s="28">
        <f t="shared" ref="AJ90" si="710">+AJ89/AG89-1</f>
        <v>0.13440238567724561</v>
      </c>
      <c r="AK90" s="28">
        <f t="shared" ref="AK90" si="711">+AK89/AH89-1</f>
        <v>0.12927991600519051</v>
      </c>
      <c r="AL90" s="28">
        <f t="shared" ref="AL90" si="712">+AL89/AI89-1</f>
        <v>0.12703919904784589</v>
      </c>
      <c r="AM90" s="28">
        <f t="shared" ref="AM90" si="713">+AM89/AJ89-1</f>
        <v>0.12811950790861171</v>
      </c>
      <c r="AN90" s="28">
        <f t="shared" ref="AN90" si="714">+AN89/AK89-1</f>
        <v>0.10025844801835659</v>
      </c>
      <c r="AO90" s="28">
        <f t="shared" ref="AO90" si="715">+AO89/AL89-1</f>
        <v>9.4496403434872756E-2</v>
      </c>
      <c r="AP90" s="28">
        <f t="shared" ref="AP90" si="716">+AP89/AM89-1</f>
        <v>9.7277294948397763E-2</v>
      </c>
      <c r="AQ90" s="28">
        <f t="shared" ref="AQ90" si="717">+AQ89/AN89-1</f>
        <v>8.8019742665087053E-2</v>
      </c>
      <c r="AR90" s="28">
        <f t="shared" ref="AR90" si="718">+AR89/AO89-1</f>
        <v>8.6785126663535328E-2</v>
      </c>
      <c r="AS90" s="28">
        <f t="shared" ref="AS90" si="719">+AS89/AP89-1</f>
        <v>8.7382598795209709E-2</v>
      </c>
      <c r="AT90" s="28">
        <f t="shared" ref="AT90" si="720">+AT89/AQ89-1</f>
        <v>8.4925311082738597E-2</v>
      </c>
      <c r="AU90" s="28">
        <f t="shared" ref="AU90" si="721">+AU89/AR89-1</f>
        <v>8.3816780364996291E-2</v>
      </c>
      <c r="AV90" s="28">
        <f t="shared" ref="AV90" si="722">+AV89/AS89-1</f>
        <v>8.4353549926913685E-2</v>
      </c>
    </row>
    <row r="91" spans="1:48" outlineLevel="1" x14ac:dyDescent="0.25">
      <c r="M91" s="8"/>
    </row>
    <row r="92" spans="1:48" outlineLevel="1" x14ac:dyDescent="0.25">
      <c r="A92" t="s">
        <v>456</v>
      </c>
      <c r="B92" s="12" t="s">
        <v>46</v>
      </c>
      <c r="C92" s="22" t="s">
        <v>28</v>
      </c>
      <c r="F92" s="43">
        <f>30.1-F116-F139</f>
        <v>28.827000000000002</v>
      </c>
      <c r="G92" s="43">
        <f>+G93*G89</f>
        <v>18.744</v>
      </c>
      <c r="H92" s="20">
        <f>+I92-G92</f>
        <v>20.637500000000003</v>
      </c>
      <c r="I92" s="43">
        <f>41.1-I116-I139</f>
        <v>39.381500000000003</v>
      </c>
      <c r="J92" s="43">
        <f>+J93*J89</f>
        <v>25.368000000000002</v>
      </c>
      <c r="K92" s="20">
        <f>+L92-J92</f>
        <v>25.273999999999994</v>
      </c>
      <c r="L92" s="357">
        <f>51.858+0.645-L116-L139</f>
        <v>50.641999999999996</v>
      </c>
      <c r="M92" s="489">
        <f>32.187+0.949-M116-M139</f>
        <v>31.940999999999992</v>
      </c>
      <c r="N92" s="488">
        <f>+O92-M92</f>
        <v>32.912500000000009</v>
      </c>
      <c r="O92" s="489">
        <f>66.761+0.63-O116-O139</f>
        <v>64.853499999999997</v>
      </c>
      <c r="P92" s="21">
        <f t="shared" ref="P92:X92" si="723">+P93*P89</f>
        <v>35.925269732632948</v>
      </c>
      <c r="Q92" s="21">
        <f>+R92-P92</f>
        <v>37.589681536848381</v>
      </c>
      <c r="R92" s="21">
        <f>+R93*R89</f>
        <v>73.51495126948133</v>
      </c>
      <c r="S92" s="21">
        <f t="shared" si="723"/>
        <v>42.889786393050727</v>
      </c>
      <c r="T92" s="21">
        <f>+U92-S92</f>
        <v>46.929521096048745</v>
      </c>
      <c r="U92" s="21">
        <f t="shared" si="723"/>
        <v>89.819307489099472</v>
      </c>
      <c r="V92" s="21">
        <f>+V93*V89</f>
        <v>56.528460209302331</v>
      </c>
      <c r="W92" s="21">
        <f>+X92-V92</f>
        <v>53.163185706335703</v>
      </c>
      <c r="X92" s="21">
        <f t="shared" si="723"/>
        <v>109.69164591563803</v>
      </c>
      <c r="Y92" s="21">
        <f>+Y93*Y89</f>
        <v>66.90479644689151</v>
      </c>
      <c r="Z92" s="21">
        <f>+AA92-Y92</f>
        <v>66.558621108518963</v>
      </c>
      <c r="AA92" s="21">
        <f t="shared" ref="AA92:AB92" si="724">+AA93*AA89</f>
        <v>133.46341755541047</v>
      </c>
      <c r="AB92" s="21">
        <f t="shared" si="724"/>
        <v>75.321959244535179</v>
      </c>
      <c r="AC92" s="21">
        <f t="shared" ref="AC92" si="725">+AD92-AB92</f>
        <v>81.312595939806329</v>
      </c>
      <c r="AD92" s="21">
        <f t="shared" ref="AD92:AE92" si="726">+AD93*AD89</f>
        <v>156.63455518434151</v>
      </c>
      <c r="AE92" s="21">
        <f t="shared" si="726"/>
        <v>86.86204532534471</v>
      </c>
      <c r="AF92" s="21">
        <f t="shared" ref="AF92" si="727">+AG92-AE92</f>
        <v>93.517512729242853</v>
      </c>
      <c r="AG92" s="21">
        <f t="shared" ref="AG92:AH92" si="728">+AG93*AG89</f>
        <v>180.37955805458756</v>
      </c>
      <c r="AH92" s="21">
        <f t="shared" si="728"/>
        <v>99.452112208345213</v>
      </c>
      <c r="AI92" s="21">
        <f t="shared" ref="AI92" si="729">+AJ92-AH92</f>
        <v>106.8259647029037</v>
      </c>
      <c r="AJ92" s="21">
        <f t="shared" ref="AJ92:AK92" si="730">+AJ93*AJ89</f>
        <v>206.27807691124892</v>
      </c>
      <c r="AK92" s="21">
        <f t="shared" si="730"/>
        <v>113.16540018760105</v>
      </c>
      <c r="AL92" s="21">
        <f t="shared" ref="AL92" si="731">+AM92-AK92</f>
        <v>121.3148296298518</v>
      </c>
      <c r="AM92" s="21">
        <f t="shared" ref="AM92:AQ92" si="732">+AM93*AM89</f>
        <v>234.48022981745285</v>
      </c>
      <c r="AN92" s="21">
        <f t="shared" si="732"/>
        <v>125.07894542161435</v>
      </c>
      <c r="AO92" s="21">
        <f t="shared" ref="AO92:AR92" si="733">+AP92-AN92</f>
        <v>133.38410128482994</v>
      </c>
      <c r="AP92" s="21">
        <f t="shared" ref="AP92:AT92" si="734">+AP93*AP89</f>
        <v>258.46304670644429</v>
      </c>
      <c r="AQ92" s="21">
        <f t="shared" si="732"/>
        <v>136.66652266215681</v>
      </c>
      <c r="AR92" s="21">
        <f t="shared" si="733"/>
        <v>145.57570790858722</v>
      </c>
      <c r="AS92" s="21">
        <f t="shared" si="734"/>
        <v>282.24223057074403</v>
      </c>
      <c r="AT92" s="21">
        <f t="shared" si="734"/>
        <v>148.27296961383661</v>
      </c>
      <c r="AU92" s="21">
        <f t="shared" ref="AU92" si="735">+AV92-AT92</f>
        <v>157.77739504484015</v>
      </c>
      <c r="AV92" s="21">
        <f t="shared" ref="AV92" si="736">+AV93*AV89</f>
        <v>306.05036465867676</v>
      </c>
    </row>
    <row r="93" spans="1:48" outlineLevel="1" x14ac:dyDescent="0.25">
      <c r="A93" t="s">
        <v>457</v>
      </c>
      <c r="B93" s="8" t="s">
        <v>56</v>
      </c>
      <c r="C93" s="22" t="s">
        <v>29</v>
      </c>
      <c r="F93" s="18">
        <f>F92/F89</f>
        <v>7.2758707723372035E-2</v>
      </c>
      <c r="G93" s="42">
        <v>0.08</v>
      </c>
      <c r="H93" s="18">
        <f>H92/H89</f>
        <v>8.042673421667966E-2</v>
      </c>
      <c r="I93" s="18">
        <f>I92/I89</f>
        <v>8.0223059686290496E-2</v>
      </c>
      <c r="J93" s="318">
        <v>8.4000000000000005E-2</v>
      </c>
      <c r="K93" s="18">
        <f>K92/K89</f>
        <v>8.0567421102964581E-2</v>
      </c>
      <c r="L93" s="314">
        <f>L92/L89</f>
        <v>8.225109631313951E-2</v>
      </c>
      <c r="M93" s="18">
        <f>M92/M89</f>
        <v>8.8198503930702526E-2</v>
      </c>
      <c r="N93" s="18">
        <f>N92/N89</f>
        <v>8.8296208460876088E-2</v>
      </c>
      <c r="O93" s="314">
        <f>O92/O89</f>
        <v>8.8248060960674932E-2</v>
      </c>
      <c r="P93" s="208">
        <f>+R93</f>
        <v>8.7720028392126267E-2</v>
      </c>
      <c r="Q93" s="209">
        <f>Q92/Q89</f>
        <v>8.7720028392126267E-2</v>
      </c>
      <c r="R93" s="208">
        <v>8.7720028392126267E-2</v>
      </c>
      <c r="S93" s="208">
        <f>+U93</f>
        <v>8.9962075758621279E-2</v>
      </c>
      <c r="T93" s="209">
        <f>T92/T89</f>
        <v>8.9962075758621265E-2</v>
      </c>
      <c r="U93" s="208">
        <v>8.9962075758621279E-2</v>
      </c>
      <c r="V93" s="208">
        <v>0.1</v>
      </c>
      <c r="W93" s="209">
        <f>W92/W89</f>
        <v>8.5896346631232995E-2</v>
      </c>
      <c r="X93" s="208">
        <v>9.2628765096309962E-2</v>
      </c>
      <c r="Y93" s="208">
        <v>0.1</v>
      </c>
      <c r="Z93" s="209">
        <f>Z92/Z89</f>
        <v>9.1339218294831118E-2</v>
      </c>
      <c r="AA93" s="208">
        <v>9.5484808664515808E-2</v>
      </c>
      <c r="AB93" s="208">
        <f>+AD93</f>
        <v>9.6590387761869484E-2</v>
      </c>
      <c r="AC93" s="209">
        <f t="shared" ref="AC93" si="737">AC92/AC89</f>
        <v>9.659038776186947E-2</v>
      </c>
      <c r="AD93" s="208">
        <v>9.6590387761869484E-2</v>
      </c>
      <c r="AE93" s="208">
        <f t="shared" ref="AE93" si="738">+AG93</f>
        <v>9.7420264629664161E-2</v>
      </c>
      <c r="AF93" s="209">
        <f t="shared" ref="AF93:AR93" si="739">AF92/AF89</f>
        <v>9.7420264629664161E-2</v>
      </c>
      <c r="AG93" s="208">
        <v>9.7420264629664161E-2</v>
      </c>
      <c r="AH93" s="208">
        <f t="shared" ref="AH93" si="740">+AJ93</f>
        <v>9.8208240243291278E-2</v>
      </c>
      <c r="AI93" s="209">
        <f t="shared" si="739"/>
        <v>9.8208240243291292E-2</v>
      </c>
      <c r="AJ93" s="208">
        <v>9.8208240243291278E-2</v>
      </c>
      <c r="AK93" s="208">
        <f t="shared" ref="AK93" si="741">+AM93</f>
        <v>9.895687613125248E-2</v>
      </c>
      <c r="AL93" s="209">
        <f t="shared" si="739"/>
        <v>9.8956876131252466E-2</v>
      </c>
      <c r="AM93" s="208">
        <v>9.895687613125248E-2</v>
      </c>
      <c r="AN93" s="208">
        <f t="shared" ref="AN93" si="742">+AP93</f>
        <v>9.9408109016573223E-2</v>
      </c>
      <c r="AO93" s="209">
        <f t="shared" si="739"/>
        <v>9.9408109016573223E-2</v>
      </c>
      <c r="AP93" s="208">
        <v>9.9408109016573223E-2</v>
      </c>
      <c r="AQ93" s="208">
        <f t="shared" ref="AQ93" si="743">+AS93</f>
        <v>9.9830436512072185E-2</v>
      </c>
      <c r="AR93" s="209">
        <f t="shared" si="739"/>
        <v>9.9830436512072185E-2</v>
      </c>
      <c r="AS93" s="208">
        <v>9.9830436512072185E-2</v>
      </c>
      <c r="AT93" s="208">
        <f>AS93</f>
        <v>9.9830436512072185E-2</v>
      </c>
      <c r="AU93" s="209">
        <f t="shared" ref="AU93" si="744">AU92/AU89</f>
        <v>9.9830436512072199E-2</v>
      </c>
      <c r="AV93" s="208">
        <f>AT93</f>
        <v>9.9830436512072185E-2</v>
      </c>
    </row>
    <row r="94" spans="1:48" outlineLevel="1" x14ac:dyDescent="0.25">
      <c r="B94" s="8" t="s">
        <v>57</v>
      </c>
      <c r="C94" s="22" t="s">
        <v>29</v>
      </c>
      <c r="I94" s="14">
        <f>+I92/F92-1</f>
        <v>0.36613244527699718</v>
      </c>
      <c r="J94" s="254">
        <f t="shared" ref="J94:X94" si="745">+J92/G92-1</f>
        <v>0.3533930857874521</v>
      </c>
      <c r="K94" s="328">
        <f t="shared" si="745"/>
        <v>0.22466384009691054</v>
      </c>
      <c r="L94" s="360">
        <f t="shared" si="745"/>
        <v>0.28593375061894521</v>
      </c>
      <c r="M94" s="328">
        <f t="shared" si="745"/>
        <v>0.25910596026490018</v>
      </c>
      <c r="N94" s="328">
        <f t="shared" ref="N94" si="746">+N92/K92-1</f>
        <v>0.30222758566115449</v>
      </c>
      <c r="O94" s="360">
        <f t="shared" ref="O94" si="747">+O92/L92-1</f>
        <v>0.28062675249792668</v>
      </c>
      <c r="P94" s="14">
        <f t="shared" si="745"/>
        <v>0.12473841559853982</v>
      </c>
      <c r="Q94" s="14">
        <f>+Q92/N92-1</f>
        <v>0.14210957954723491</v>
      </c>
      <c r="R94" s="14">
        <f t="shared" si="745"/>
        <v>0.13355410686364388</v>
      </c>
      <c r="S94" s="14">
        <f t="shared" si="745"/>
        <v>0.19386122114739512</v>
      </c>
      <c r="T94" s="14">
        <f>+T92/Q92-1</f>
        <v>0.2484681747049311</v>
      </c>
      <c r="U94" s="14">
        <f t="shared" si="745"/>
        <v>0.22178286101084121</v>
      </c>
      <c r="V94" s="14">
        <f>+V92/S92-1</f>
        <v>0.31799351228434714</v>
      </c>
      <c r="W94" s="14">
        <f t="shared" si="745"/>
        <v>0.13283034782155068</v>
      </c>
      <c r="X94" s="14">
        <f t="shared" si="745"/>
        <v>0.2212479586190339</v>
      </c>
      <c r="Y94" s="14">
        <f>+Y92/V92-1</f>
        <v>0.18355950611726812</v>
      </c>
      <c r="Z94" s="14">
        <f t="shared" ref="Z94" si="748">+Z92/W92-1</f>
        <v>0.25196826006961559</v>
      </c>
      <c r="AA94" s="14">
        <f t="shared" ref="AA94:AB94" si="749">+AA92/X92-1</f>
        <v>0.21671451313671519</v>
      </c>
      <c r="AB94" s="14">
        <f t="shared" si="749"/>
        <v>0.12580806227136709</v>
      </c>
      <c r="AC94" s="14">
        <f t="shared" ref="AC94" si="750">+AC92/Z92-1</f>
        <v>0.22166887753326625</v>
      </c>
      <c r="AD94" s="14">
        <f t="shared" ref="AD94:AE94" si="751">+AD92/AA92-1</f>
        <v>0.17361414875586401</v>
      </c>
      <c r="AE94" s="14">
        <f t="shared" si="751"/>
        <v>0.15321011556993991</v>
      </c>
      <c r="AF94" s="14">
        <f t="shared" ref="AF94" si="752">+AF92/AC92-1</f>
        <v>0.15009872269324065</v>
      </c>
      <c r="AG94" s="14">
        <f t="shared" ref="AG94:AH94" si="753">+AG92/AD92-1</f>
        <v>0.15159492005005415</v>
      </c>
      <c r="AH94" s="14">
        <f t="shared" si="753"/>
        <v>0.14494324691347038</v>
      </c>
      <c r="AI94" s="14">
        <f t="shared" ref="AI94" si="754">+AI92/AF92-1</f>
        <v>0.14230972985982016</v>
      </c>
      <c r="AJ94" s="14">
        <f t="shared" ref="AJ94:AK94" si="755">+AJ92/AG92-1</f>
        <v>0.14357790392647374</v>
      </c>
      <c r="AK94" s="14">
        <f t="shared" si="755"/>
        <v>0.13788835324610771</v>
      </c>
      <c r="AL94" s="14">
        <f t="shared" ref="AL94" si="756">+AL92/AI92-1</f>
        <v>0.1356305554295103</v>
      </c>
      <c r="AM94" s="14">
        <f t="shared" ref="AM94:AN94" si="757">+AM92/AJ92-1</f>
        <v>0.13671909942391935</v>
      </c>
      <c r="AN94" s="14">
        <f t="shared" si="757"/>
        <v>0.10527551013174974</v>
      </c>
      <c r="AO94" s="14">
        <f t="shared" ref="AO94" si="758">+AO92/AL92-1</f>
        <v>9.9487191234601369E-2</v>
      </c>
      <c r="AP94" s="14">
        <f t="shared" ref="AP94" si="759">+AP92/AM92-1</f>
        <v>0.10228076331920399</v>
      </c>
      <c r="AQ94" s="14">
        <f t="shared" ref="AQ94" si="760">+AQ92/AN92-1</f>
        <v>9.2642108561782344E-2</v>
      </c>
      <c r="AR94" s="14">
        <f t="shared" ref="AR94" si="761">+AR92/AO92-1</f>
        <v>9.1402247391712654E-2</v>
      </c>
      <c r="AS94" s="14">
        <f t="shared" ref="AS94" si="762">+AS92/AP92-1</f>
        <v>9.2002257836523604E-2</v>
      </c>
      <c r="AT94" s="14">
        <f t="shared" ref="AT94" si="763">+AT92/AQ92-1</f>
        <v>8.4925311082738597E-2</v>
      </c>
      <c r="AU94" s="14">
        <f t="shared" ref="AU94" si="764">+AU92/AR92-1</f>
        <v>8.3816780364996513E-2</v>
      </c>
      <c r="AV94" s="14">
        <f t="shared" ref="AV94" si="765">+AV92/AS92-1</f>
        <v>8.4353549926913685E-2</v>
      </c>
    </row>
    <row r="95" spans="1:48" outlineLevel="1" x14ac:dyDescent="0.25"/>
    <row r="96" spans="1:48" outlineLevel="1" x14ac:dyDescent="0.25"/>
    <row r="97" spans="1:48" outlineLevel="1" x14ac:dyDescent="0.25">
      <c r="A97" s="9"/>
      <c r="B97" s="13" t="s">
        <v>51</v>
      </c>
      <c r="C97" s="194"/>
      <c r="D97" s="194"/>
      <c r="E97" s="194"/>
      <c r="F97" s="194"/>
      <c r="G97" s="195"/>
      <c r="H97" s="195"/>
      <c r="I97" s="195"/>
      <c r="J97" s="195"/>
      <c r="K97" s="195"/>
      <c r="L97" s="342"/>
      <c r="M97" s="195"/>
      <c r="N97" s="195"/>
      <c r="O97" s="195"/>
      <c r="P97" s="195"/>
      <c r="Q97" s="195"/>
      <c r="R97" s="195"/>
      <c r="S97" s="195"/>
      <c r="T97" s="195"/>
      <c r="U97" s="195"/>
      <c r="V97" s="60"/>
      <c r="W97" s="13"/>
      <c r="X97" s="194"/>
      <c r="Y97" s="60"/>
      <c r="Z97" s="13"/>
      <c r="AA97" s="194"/>
      <c r="AB97" s="60"/>
      <c r="AC97" s="13"/>
      <c r="AD97" s="194"/>
      <c r="AE97" s="60"/>
      <c r="AF97" s="13"/>
      <c r="AG97" s="194"/>
      <c r="AH97" s="60"/>
      <c r="AI97" s="13"/>
      <c r="AJ97" s="194"/>
      <c r="AK97" s="60"/>
      <c r="AL97" s="13"/>
      <c r="AM97" s="194"/>
      <c r="AN97" s="60"/>
      <c r="AO97" s="13"/>
      <c r="AP97" s="194"/>
      <c r="AQ97" s="60"/>
      <c r="AR97" s="13"/>
      <c r="AS97" s="194"/>
      <c r="AT97" s="60"/>
      <c r="AU97" s="13"/>
      <c r="AV97" s="194"/>
    </row>
    <row r="98" spans="1:48" outlineLevel="1" x14ac:dyDescent="0.25">
      <c r="M98" s="8"/>
    </row>
    <row r="99" spans="1:48" outlineLevel="1" x14ac:dyDescent="0.25">
      <c r="B99" s="8" t="s">
        <v>34</v>
      </c>
      <c r="C99" s="22" t="s">
        <v>274</v>
      </c>
      <c r="I99" s="17">
        <f>+F101</f>
        <v>8</v>
      </c>
      <c r="J99" s="17">
        <f>+I101</f>
        <v>14</v>
      </c>
      <c r="K99" s="17">
        <f>+J101</f>
        <v>16</v>
      </c>
      <c r="L99" s="361">
        <f>+I101</f>
        <v>14</v>
      </c>
      <c r="M99" s="174">
        <f>+L101</f>
        <v>17</v>
      </c>
      <c r="N99" s="17">
        <f>+M101</f>
        <v>20</v>
      </c>
      <c r="O99" s="361">
        <f>+L101</f>
        <v>17</v>
      </c>
      <c r="P99" s="17">
        <f>+O101</f>
        <v>21</v>
      </c>
      <c r="Q99" s="17">
        <f>+P101</f>
        <v>23</v>
      </c>
      <c r="R99" s="17">
        <f t="shared" ref="R99" si="766">+O101</f>
        <v>21</v>
      </c>
      <c r="S99" s="17">
        <f t="shared" ref="S99:T99" si="767">+R101</f>
        <v>25</v>
      </c>
      <c r="T99" s="17">
        <f t="shared" si="767"/>
        <v>26</v>
      </c>
      <c r="U99" s="17">
        <f t="shared" ref="U99" si="768">+R101</f>
        <v>25</v>
      </c>
      <c r="V99" s="17">
        <f t="shared" ref="V99:W99" si="769">+U101</f>
        <v>27</v>
      </c>
      <c r="W99" s="17">
        <f t="shared" si="769"/>
        <v>28</v>
      </c>
      <c r="X99" s="17">
        <f t="shared" ref="X99" si="770">+U101</f>
        <v>27</v>
      </c>
      <c r="Y99" s="17">
        <f t="shared" ref="Y99:Z99" si="771">+X101</f>
        <v>29</v>
      </c>
      <c r="Z99" s="17">
        <f t="shared" si="771"/>
        <v>30</v>
      </c>
      <c r="AA99" s="17">
        <f t="shared" ref="AA99" si="772">+X101</f>
        <v>29</v>
      </c>
      <c r="AB99" s="17">
        <f t="shared" ref="AB99" si="773">+AA101</f>
        <v>31</v>
      </c>
      <c r="AC99" s="17">
        <f t="shared" ref="AC99" si="774">+AB101</f>
        <v>32</v>
      </c>
      <c r="AD99" s="17">
        <f t="shared" ref="AD99" si="775">+AA101</f>
        <v>31</v>
      </c>
      <c r="AE99" s="17">
        <f t="shared" ref="AE99" si="776">+AD101</f>
        <v>33</v>
      </c>
      <c r="AF99" s="17">
        <f t="shared" ref="AF99" si="777">+AE101</f>
        <v>34</v>
      </c>
      <c r="AG99" s="17">
        <f t="shared" ref="AG99" si="778">+AD101</f>
        <v>33</v>
      </c>
      <c r="AH99" s="17">
        <f t="shared" ref="AH99" si="779">+AG101</f>
        <v>35</v>
      </c>
      <c r="AI99" s="17">
        <f t="shared" ref="AI99" si="780">+AH101</f>
        <v>36</v>
      </c>
      <c r="AJ99" s="17">
        <f t="shared" ref="AJ99" si="781">+AG101</f>
        <v>35</v>
      </c>
      <c r="AK99" s="17">
        <f t="shared" ref="AK99" si="782">+AJ101</f>
        <v>37</v>
      </c>
      <c r="AL99" s="17">
        <f t="shared" ref="AL99" si="783">+AK101</f>
        <v>38</v>
      </c>
      <c r="AM99" s="17">
        <f t="shared" ref="AM99" si="784">+AJ101</f>
        <v>37</v>
      </c>
      <c r="AN99" s="17">
        <f t="shared" ref="AN99" si="785">+AM101</f>
        <v>39</v>
      </c>
      <c r="AO99" s="17">
        <f t="shared" ref="AO99" si="786">+AN101</f>
        <v>40</v>
      </c>
      <c r="AP99" s="17">
        <f t="shared" ref="AP99" si="787">+AM101</f>
        <v>39</v>
      </c>
      <c r="AQ99" s="17">
        <f t="shared" ref="AQ99" si="788">+AP101</f>
        <v>41</v>
      </c>
      <c r="AR99" s="17">
        <f t="shared" ref="AR99" si="789">+AQ101</f>
        <v>42</v>
      </c>
      <c r="AS99" s="17">
        <f t="shared" ref="AS99" si="790">+AP101</f>
        <v>41</v>
      </c>
      <c r="AT99" s="17">
        <f t="shared" ref="AT99" si="791">+AS101</f>
        <v>43</v>
      </c>
      <c r="AU99" s="17">
        <f t="shared" ref="AU99" si="792">+AT101</f>
        <v>44</v>
      </c>
      <c r="AV99" s="17">
        <f t="shared" ref="AV99" si="793">+AS101</f>
        <v>43</v>
      </c>
    </row>
    <row r="100" spans="1:48" outlineLevel="1" x14ac:dyDescent="0.25">
      <c r="B100" s="8" t="s">
        <v>47</v>
      </c>
      <c r="C100" s="22" t="s">
        <v>274</v>
      </c>
      <c r="I100" s="17">
        <v>6</v>
      </c>
      <c r="J100" s="38">
        <v>2</v>
      </c>
      <c r="K100" s="19">
        <f>+K101-K99</f>
        <v>1</v>
      </c>
      <c r="L100" s="309">
        <f>+J100+K100</f>
        <v>3</v>
      </c>
      <c r="M100" s="41">
        <f>+M101-M99</f>
        <v>3</v>
      </c>
      <c r="N100" s="19">
        <f>+N101-N99</f>
        <v>1</v>
      </c>
      <c r="O100" s="309">
        <f>+M100+N100</f>
        <v>4</v>
      </c>
      <c r="P100" s="40">
        <v>2</v>
      </c>
      <c r="Q100" s="40">
        <v>2</v>
      </c>
      <c r="R100" s="41">
        <f>+P100+Q100</f>
        <v>4</v>
      </c>
      <c r="S100" s="40">
        <v>1</v>
      </c>
      <c r="T100" s="40">
        <v>1</v>
      </c>
      <c r="U100" s="41">
        <f>+S100+T100</f>
        <v>2</v>
      </c>
      <c r="V100" s="40">
        <v>1</v>
      </c>
      <c r="W100" s="40">
        <v>1</v>
      </c>
      <c r="X100" s="41">
        <f>+V100+W100</f>
        <v>2</v>
      </c>
      <c r="Y100" s="40">
        <v>1</v>
      </c>
      <c r="Z100" s="40">
        <v>1</v>
      </c>
      <c r="AA100" s="41">
        <f>+Y100+Z100</f>
        <v>2</v>
      </c>
      <c r="AB100" s="40">
        <v>1</v>
      </c>
      <c r="AC100" s="40">
        <v>1</v>
      </c>
      <c r="AD100" s="41">
        <f t="shared" ref="AD100" si="794">+AB100+AC100</f>
        <v>2</v>
      </c>
      <c r="AE100" s="40">
        <v>1</v>
      </c>
      <c r="AF100" s="40">
        <v>1</v>
      </c>
      <c r="AG100" s="41">
        <f t="shared" ref="AG100" si="795">+AE100+AF100</f>
        <v>2</v>
      </c>
      <c r="AH100" s="40">
        <v>1</v>
      </c>
      <c r="AI100" s="40">
        <v>1</v>
      </c>
      <c r="AJ100" s="41">
        <f t="shared" ref="AJ100" si="796">+AH100+AI100</f>
        <v>2</v>
      </c>
      <c r="AK100" s="40">
        <v>1</v>
      </c>
      <c r="AL100" s="40">
        <v>1</v>
      </c>
      <c r="AM100" s="41">
        <f t="shared" ref="AM100" si="797">+AK100+AL100</f>
        <v>2</v>
      </c>
      <c r="AN100" s="40">
        <v>1</v>
      </c>
      <c r="AO100" s="40">
        <v>1</v>
      </c>
      <c r="AP100" s="41">
        <f t="shared" ref="AP100" si="798">+AN100+AO100</f>
        <v>2</v>
      </c>
      <c r="AQ100" s="40">
        <v>1</v>
      </c>
      <c r="AR100" s="40">
        <v>1</v>
      </c>
      <c r="AS100" s="41">
        <f t="shared" ref="AS100" si="799">+AQ100+AR100</f>
        <v>2</v>
      </c>
      <c r="AT100" s="40">
        <v>1</v>
      </c>
      <c r="AU100" s="40">
        <v>1</v>
      </c>
      <c r="AV100" s="41">
        <f t="shared" ref="AV100" si="800">+AT100+AU100</f>
        <v>2</v>
      </c>
    </row>
    <row r="101" spans="1:48" outlineLevel="1" x14ac:dyDescent="0.25">
      <c r="B101" s="8" t="s">
        <v>37</v>
      </c>
      <c r="C101" s="22" t="s">
        <v>274</v>
      </c>
      <c r="E101" s="36">
        <f>+F101-2</f>
        <v>6</v>
      </c>
      <c r="F101" s="36">
        <v>8</v>
      </c>
      <c r="G101" s="36">
        <v>10</v>
      </c>
      <c r="H101" s="36">
        <v>12</v>
      </c>
      <c r="I101" s="36">
        <f t="shared" ref="I101:X101" si="801">+I99+I100</f>
        <v>14</v>
      </c>
      <c r="J101" s="196">
        <f t="shared" si="801"/>
        <v>16</v>
      </c>
      <c r="K101" s="17">
        <f>+L101</f>
        <v>17</v>
      </c>
      <c r="L101" s="362">
        <v>17</v>
      </c>
      <c r="M101" s="443">
        <v>20</v>
      </c>
      <c r="N101" s="17">
        <f>+O101</f>
        <v>21</v>
      </c>
      <c r="O101" s="362">
        <v>21</v>
      </c>
      <c r="P101" s="17">
        <f t="shared" si="801"/>
        <v>23</v>
      </c>
      <c r="Q101" s="17">
        <f t="shared" si="801"/>
        <v>25</v>
      </c>
      <c r="R101" s="17">
        <f t="shared" si="801"/>
        <v>25</v>
      </c>
      <c r="S101" s="17">
        <f t="shared" si="801"/>
        <v>26</v>
      </c>
      <c r="T101" s="17">
        <f t="shared" si="801"/>
        <v>27</v>
      </c>
      <c r="U101" s="17">
        <f t="shared" si="801"/>
        <v>27</v>
      </c>
      <c r="V101" s="17">
        <f t="shared" si="801"/>
        <v>28</v>
      </c>
      <c r="W101" s="17">
        <f t="shared" si="801"/>
        <v>29</v>
      </c>
      <c r="X101" s="17">
        <f t="shared" si="801"/>
        <v>29</v>
      </c>
      <c r="Y101" s="17">
        <f t="shared" ref="Y101:AA101" si="802">+Y99+Y100</f>
        <v>30</v>
      </c>
      <c r="Z101" s="17">
        <f t="shared" si="802"/>
        <v>31</v>
      </c>
      <c r="AA101" s="17">
        <f t="shared" si="802"/>
        <v>31</v>
      </c>
      <c r="AB101" s="17">
        <f t="shared" ref="AB101:AP101" si="803">+AB99+AB100</f>
        <v>32</v>
      </c>
      <c r="AC101" s="17">
        <f t="shared" si="803"/>
        <v>33</v>
      </c>
      <c r="AD101" s="17">
        <f t="shared" si="803"/>
        <v>33</v>
      </c>
      <c r="AE101" s="17">
        <f t="shared" si="803"/>
        <v>34</v>
      </c>
      <c r="AF101" s="17">
        <f t="shared" si="803"/>
        <v>35</v>
      </c>
      <c r="AG101" s="17">
        <f t="shared" si="803"/>
        <v>35</v>
      </c>
      <c r="AH101" s="17">
        <f t="shared" si="803"/>
        <v>36</v>
      </c>
      <c r="AI101" s="17">
        <f t="shared" si="803"/>
        <v>37</v>
      </c>
      <c r="AJ101" s="17">
        <f t="shared" si="803"/>
        <v>37</v>
      </c>
      <c r="AK101" s="17">
        <f t="shared" si="803"/>
        <v>38</v>
      </c>
      <c r="AL101" s="17">
        <f t="shared" si="803"/>
        <v>39</v>
      </c>
      <c r="AM101" s="17">
        <f t="shared" si="803"/>
        <v>39</v>
      </c>
      <c r="AN101" s="17">
        <f t="shared" si="803"/>
        <v>40</v>
      </c>
      <c r="AO101" s="17">
        <f t="shared" si="803"/>
        <v>41</v>
      </c>
      <c r="AP101" s="17">
        <f t="shared" si="803"/>
        <v>41</v>
      </c>
      <c r="AQ101" s="17">
        <f t="shared" ref="AQ101:AS101" si="804">+AQ99+AQ100</f>
        <v>42</v>
      </c>
      <c r="AR101" s="17">
        <f t="shared" si="804"/>
        <v>43</v>
      </c>
      <c r="AS101" s="17">
        <f t="shared" si="804"/>
        <v>43</v>
      </c>
      <c r="AT101" s="17">
        <f t="shared" ref="AT101:AV101" si="805">+AT99+AT100</f>
        <v>44</v>
      </c>
      <c r="AU101" s="17">
        <f t="shared" si="805"/>
        <v>45</v>
      </c>
      <c r="AV101" s="17">
        <f t="shared" si="805"/>
        <v>45</v>
      </c>
    </row>
    <row r="102" spans="1:48" outlineLevel="1" x14ac:dyDescent="0.25">
      <c r="B102" s="8" t="s">
        <v>38</v>
      </c>
      <c r="C102" s="22" t="s">
        <v>274</v>
      </c>
      <c r="E102" s="36"/>
      <c r="F102" s="36"/>
      <c r="G102" s="36">
        <f>+AVERAGE(F101:G101)</f>
        <v>9</v>
      </c>
      <c r="H102" s="37">
        <f>+AVERAGE(G101:H101)</f>
        <v>11</v>
      </c>
      <c r="I102" s="37">
        <f>+(I101+F101)/2</f>
        <v>11</v>
      </c>
      <c r="J102" s="37">
        <f>+AVERAGE(I101:J101)</f>
        <v>15</v>
      </c>
      <c r="K102" s="37">
        <f>+AVERAGE(J101:K101)</f>
        <v>16.5</v>
      </c>
      <c r="L102" s="363">
        <f>+(L101+I101)/2</f>
        <v>15.5</v>
      </c>
      <c r="M102" s="407">
        <f>+AVERAGE(L101:M101)</f>
        <v>18.5</v>
      </c>
      <c r="N102" s="37">
        <f>+AVERAGE(M101:N101)</f>
        <v>20.5</v>
      </c>
      <c r="O102" s="363">
        <f>+(O101+L101)/2</f>
        <v>19</v>
      </c>
      <c r="P102" s="37">
        <f>+AVERAGE(O101:P101)</f>
        <v>22</v>
      </c>
      <c r="Q102" s="37">
        <f>+AVERAGE(P101:Q101)</f>
        <v>24</v>
      </c>
      <c r="R102" s="37">
        <f>+(R101+O101)/2</f>
        <v>23</v>
      </c>
      <c r="S102" s="37">
        <f>+AVERAGE(R101:S101)</f>
        <v>25.5</v>
      </c>
      <c r="T102" s="37">
        <f>+AVERAGE(S101:T101)</f>
        <v>26.5</v>
      </c>
      <c r="U102" s="37">
        <f>+(U101+R101)/2</f>
        <v>26</v>
      </c>
      <c r="V102" s="37">
        <f>+AVERAGE(U101:V101)</f>
        <v>27.5</v>
      </c>
      <c r="W102" s="37">
        <f>+AVERAGE(V101:W101)</f>
        <v>28.5</v>
      </c>
      <c r="X102" s="37">
        <f>+(X101+U101)/2</f>
        <v>28</v>
      </c>
      <c r="Y102" s="37">
        <f>+AVERAGE(X101:Y101)</f>
        <v>29.5</v>
      </c>
      <c r="Z102" s="37">
        <f>+AVERAGE(Y101:Z101)</f>
        <v>30.5</v>
      </c>
      <c r="AA102" s="37">
        <f>+(AA101+X101)/2</f>
        <v>30</v>
      </c>
      <c r="AB102" s="37">
        <f t="shared" ref="AB102:AC102" si="806">+AVERAGE(AA101:AB101)</f>
        <v>31.5</v>
      </c>
      <c r="AC102" s="37">
        <f t="shared" si="806"/>
        <v>32.5</v>
      </c>
      <c r="AD102" s="37">
        <f t="shared" ref="AD102" si="807">+(AD101+AA101)/2</f>
        <v>32</v>
      </c>
      <c r="AE102" s="37">
        <f t="shared" ref="AE102:AF102" si="808">+AVERAGE(AD101:AE101)</f>
        <v>33.5</v>
      </c>
      <c r="AF102" s="37">
        <f t="shared" si="808"/>
        <v>34.5</v>
      </c>
      <c r="AG102" s="37">
        <f t="shared" ref="AG102" si="809">+(AG101+AD101)/2</f>
        <v>34</v>
      </c>
      <c r="AH102" s="37">
        <f t="shared" ref="AH102:AI102" si="810">+AVERAGE(AG101:AH101)</f>
        <v>35.5</v>
      </c>
      <c r="AI102" s="37">
        <f t="shared" si="810"/>
        <v>36.5</v>
      </c>
      <c r="AJ102" s="37">
        <f t="shared" ref="AJ102" si="811">+(AJ101+AG101)/2</f>
        <v>36</v>
      </c>
      <c r="AK102" s="37">
        <f t="shared" ref="AK102:AL102" si="812">+AVERAGE(AJ101:AK101)</f>
        <v>37.5</v>
      </c>
      <c r="AL102" s="37">
        <f t="shared" si="812"/>
        <v>38.5</v>
      </c>
      <c r="AM102" s="37">
        <f t="shared" ref="AM102" si="813">+(AM101+AJ101)/2</f>
        <v>38</v>
      </c>
      <c r="AN102" s="37">
        <f t="shared" ref="AN102:AO102" si="814">+AVERAGE(AM101:AN101)</f>
        <v>39.5</v>
      </c>
      <c r="AO102" s="37">
        <f t="shared" si="814"/>
        <v>40.5</v>
      </c>
      <c r="AP102" s="37">
        <f t="shared" ref="AP102" si="815">+(AP101+AM101)/2</f>
        <v>40</v>
      </c>
      <c r="AQ102" s="37">
        <f t="shared" ref="AQ102" si="816">+AVERAGE(AP101:AQ101)</f>
        <v>41.5</v>
      </c>
      <c r="AR102" s="37">
        <f t="shared" ref="AR102" si="817">+AVERAGE(AQ101:AR101)</f>
        <v>42.5</v>
      </c>
      <c r="AS102" s="37">
        <f t="shared" ref="AS102" si="818">+(AS101+AP101)/2</f>
        <v>42</v>
      </c>
      <c r="AT102" s="37">
        <f t="shared" ref="AT102" si="819">+AVERAGE(AS101:AT101)</f>
        <v>43.5</v>
      </c>
      <c r="AU102" s="37">
        <f t="shared" ref="AU102" si="820">+AVERAGE(AT101:AU101)</f>
        <v>44.5</v>
      </c>
      <c r="AV102" s="37">
        <f t="shared" ref="AV102" si="821">+(AV101+AS101)/2</f>
        <v>44</v>
      </c>
    </row>
    <row r="103" spans="1:48" outlineLevel="1" x14ac:dyDescent="0.25">
      <c r="M103" s="328"/>
      <c r="N103" s="28"/>
      <c r="T103" s="14"/>
      <c r="Y103" s="18"/>
      <c r="AB103" s="18"/>
      <c r="AE103" s="18"/>
      <c r="AH103" s="18"/>
      <c r="AK103" s="18"/>
      <c r="AN103" s="18"/>
      <c r="AQ103" s="18"/>
      <c r="AT103" s="18"/>
    </row>
    <row r="104" spans="1:48" outlineLevel="1" x14ac:dyDescent="0.25">
      <c r="A104" t="s">
        <v>660</v>
      </c>
      <c r="B104" s="8" t="s">
        <v>25</v>
      </c>
      <c r="C104" s="22" t="s">
        <v>28</v>
      </c>
      <c r="D104" s="196">
        <v>17</v>
      </c>
      <c r="E104" s="196">
        <v>22</v>
      </c>
      <c r="F104" s="196">
        <v>31.4</v>
      </c>
      <c r="G104" s="196">
        <v>21.5</v>
      </c>
      <c r="H104" s="57">
        <f>+I104-G104</f>
        <v>21.6</v>
      </c>
      <c r="I104" s="196">
        <v>43.1</v>
      </c>
      <c r="J104" s="196">
        <v>22.2</v>
      </c>
      <c r="K104" s="73">
        <f>+L104-J104</f>
        <v>24.2</v>
      </c>
      <c r="L104" s="362">
        <v>46.4</v>
      </c>
      <c r="M104" s="443">
        <v>30.2</v>
      </c>
      <c r="N104" s="73">
        <f>+O104-M104</f>
        <v>34.5</v>
      </c>
      <c r="O104" s="362">
        <v>64.7</v>
      </c>
      <c r="P104" s="73">
        <f>(1+P113)*M104</f>
        <v>34.566756756756753</v>
      </c>
      <c r="Q104" s="73">
        <f>R104-P104</f>
        <v>40.178769559032723</v>
      </c>
      <c r="R104" s="73">
        <f>(1+R113)*O104</f>
        <v>74.745526315789476</v>
      </c>
      <c r="S104" s="73">
        <f t="shared" ref="S104" si="822">(1+S113)*P104</f>
        <v>39.04472297297297</v>
      </c>
      <c r="T104" s="73">
        <f t="shared" ref="T104" si="823">U104-S104</f>
        <v>44.312787896592248</v>
      </c>
      <c r="U104" s="73">
        <f t="shared" ref="U104:V104" si="824">(1+U113)*R104</f>
        <v>83.357510869565218</v>
      </c>
      <c r="V104" s="73">
        <f t="shared" si="824"/>
        <v>41.747230268945408</v>
      </c>
      <c r="W104" s="73">
        <f t="shared" ref="W104" si="825">X104-V104</f>
        <v>47.317064037074651</v>
      </c>
      <c r="X104" s="73">
        <f t="shared" ref="X104:Y104" si="826">(1+X113)*U104</f>
        <v>89.064294306020059</v>
      </c>
      <c r="Y104" s="73">
        <f t="shared" si="826"/>
        <v>44.517728277702695</v>
      </c>
      <c r="Z104" s="73">
        <f t="shared" ref="Z104" si="827">AA104-Y104</f>
        <v>50.399362511284387</v>
      </c>
      <c r="AA104" s="73">
        <f>(1+AA113)*X104</f>
        <v>94.917090788987082</v>
      </c>
      <c r="AB104" s="73">
        <f t="shared" ref="AB104" si="828">(1+AB113)*Y104</f>
        <v>47.362335660871153</v>
      </c>
      <c r="AC104" s="73">
        <f t="shared" ref="AC104" si="829">AD104-AB104</f>
        <v>53.566170878085103</v>
      </c>
      <c r="AD104" s="73">
        <f t="shared" ref="AD104" si="830">(1+AD113)*AA104</f>
        <v>100.92850653895626</v>
      </c>
      <c r="AE104" s="73">
        <f t="shared" ref="AE104" si="831">(1+AE113)*AB104</f>
        <v>50.286771942153514</v>
      </c>
      <c r="AF104" s="73">
        <f t="shared" ref="AF104" si="832">AG104-AE104</f>
        <v>56.823605622313814</v>
      </c>
      <c r="AG104" s="73">
        <f t="shared" ref="AG104" si="833">(1+AG113)*AD104</f>
        <v>107.11037756446733</v>
      </c>
      <c r="AH104" s="73">
        <f t="shared" ref="AH104" si="834">(1+AH113)*AE104</f>
        <v>53.296472770333146</v>
      </c>
      <c r="AI104" s="73">
        <f t="shared" ref="AI104" si="835">AJ104-AH104</f>
        <v>60.17752134355252</v>
      </c>
      <c r="AJ104" s="73">
        <f t="shared" ref="AJ104" si="836">(1+AJ113)*AG104</f>
        <v>113.47399411388567</v>
      </c>
      <c r="AK104" s="73">
        <f t="shared" ref="AK104" si="837">(1+AK113)*AH104</f>
        <v>56.396676045565201</v>
      </c>
      <c r="AL104" s="73">
        <f t="shared" ref="AL104" si="838">AM104-AK104</f>
        <v>63.633593283789409</v>
      </c>
      <c r="AM104" s="73">
        <f t="shared" ref="AM104" si="839">(1+AM113)*AJ104</f>
        <v>120.03026932935461</v>
      </c>
      <c r="AN104" s="73">
        <f t="shared" ref="AN104" si="840">(1+AN113)*AK104</f>
        <v>59.59248768814723</v>
      </c>
      <c r="AO104" s="73">
        <f t="shared" ref="AO104" si="841">AP104-AN104</f>
        <v>67.197381019228914</v>
      </c>
      <c r="AP104" s="73">
        <f t="shared" ref="AP104" si="842">(1+AP113)*AM104</f>
        <v>126.78986870737614</v>
      </c>
      <c r="AQ104" s="73">
        <f t="shared" ref="AQ104" si="843">(1+AQ113)*AN104</f>
        <v>62.888932893175117</v>
      </c>
      <c r="AR104" s="73">
        <f t="shared" ref="AR104" si="844">AS104-AQ104</f>
        <v>70.874378593106712</v>
      </c>
      <c r="AS104" s="73">
        <f t="shared" ref="AS104" si="845">(1+AS113)*AP104</f>
        <v>133.76331148628182</v>
      </c>
      <c r="AT104" s="73">
        <f t="shared" ref="AT104" si="846">(1+AT113)*AQ104</f>
        <v>66.290996853299887</v>
      </c>
      <c r="AU104" s="73">
        <f t="shared" ref="AU104" si="847">AV104-AT104</f>
        <v>74.670054727243766</v>
      </c>
      <c r="AV104" s="73">
        <f t="shared" ref="AV104" si="848">(1+AV113)*AS104</f>
        <v>140.96105158054365</v>
      </c>
    </row>
    <row r="105" spans="1:48" outlineLevel="1" x14ac:dyDescent="0.25">
      <c r="A105" t="s">
        <v>661</v>
      </c>
      <c r="B105" s="8" t="s">
        <v>39</v>
      </c>
      <c r="C105" s="22" t="s">
        <v>29</v>
      </c>
      <c r="D105" s="196"/>
      <c r="E105" s="197">
        <f>+E104/D104-1</f>
        <v>0.29411764705882359</v>
      </c>
      <c r="F105" s="197">
        <f>+F104/E104-1</f>
        <v>0.42727272727272725</v>
      </c>
      <c r="G105" s="198"/>
      <c r="H105" s="17"/>
      <c r="I105" s="197">
        <f t="shared" ref="I105:R105" si="849">+I104/F104-1</f>
        <v>0.37261146496815289</v>
      </c>
      <c r="J105" s="319">
        <f t="shared" si="849"/>
        <v>3.2558139534883734E-2</v>
      </c>
      <c r="K105" s="327">
        <f t="shared" si="849"/>
        <v>0.12037037037037024</v>
      </c>
      <c r="L105" s="364">
        <f t="shared" si="849"/>
        <v>7.6566125290023157E-2</v>
      </c>
      <c r="M105" s="319">
        <f t="shared" si="849"/>
        <v>0.36036036036036045</v>
      </c>
      <c r="N105" s="327">
        <f t="shared" ref="N105" si="850">+N104/K104-1</f>
        <v>0.42561983471074383</v>
      </c>
      <c r="O105" s="364">
        <f t="shared" ref="O105" si="851">+O104/L104-1</f>
        <v>0.39439655172413812</v>
      </c>
      <c r="P105" s="108">
        <f t="shared" si="849"/>
        <v>0.14459459459459456</v>
      </c>
      <c r="Q105" s="108">
        <f t="shared" si="849"/>
        <v>0.16460201620384707</v>
      </c>
      <c r="R105" s="108">
        <f t="shared" si="849"/>
        <v>0.15526315789473677</v>
      </c>
      <c r="S105" s="108">
        <f t="shared" ref="S105:T105" si="852">+S104/P104-1</f>
        <v>0.12954545454545463</v>
      </c>
      <c r="T105" s="108">
        <f t="shared" si="852"/>
        <v>0.10289061568910451</v>
      </c>
      <c r="U105" s="108">
        <f t="shared" ref="U105" si="853">+U104/R104-1</f>
        <v>0.11521739130434772</v>
      </c>
      <c r="V105" s="108">
        <f t="shared" ref="V105" si="854">+V104/S104-1</f>
        <v>6.9215686274509691E-2</v>
      </c>
      <c r="W105" s="108">
        <f t="shared" ref="W105" si="855">+W104/T104-1</f>
        <v>6.7797046475458478E-2</v>
      </c>
      <c r="X105" s="108">
        <f t="shared" ref="X105" si="856">+X104/U104-1</f>
        <v>6.8461538461538352E-2</v>
      </c>
      <c r="Y105" s="108">
        <f t="shared" ref="Y105" si="857">+Y104/V104-1</f>
        <v>6.6363636363636402E-2</v>
      </c>
      <c r="Z105" s="108">
        <f t="shared" ref="Z105" si="858">+Z104/W104-1</f>
        <v>6.5141372080791848E-2</v>
      </c>
      <c r="AA105" s="108">
        <f t="shared" ref="AA105" si="859">+AA104/X104-1</f>
        <v>6.5714285714285614E-2</v>
      </c>
      <c r="AB105" s="108">
        <f t="shared" ref="AB105" si="860">+AB104/Y104-1</f>
        <v>6.3898305084745699E-2</v>
      </c>
      <c r="AC105" s="108">
        <f t="shared" ref="AC105" si="861">+AC104/Z104-1</f>
        <v>6.2834294106233424E-2</v>
      </c>
      <c r="AD105" s="108">
        <f t="shared" ref="AD105" si="862">+AD104/AA104-1</f>
        <v>6.3333333333333242E-2</v>
      </c>
      <c r="AE105" s="108">
        <f t="shared" ref="AE105" si="863">+AE104/AB104-1</f>
        <v>6.174603174603166E-2</v>
      </c>
      <c r="AF105" s="108">
        <f t="shared" ref="AF105" si="864">+AF104/AC104-1</f>
        <v>6.081141681085489E-2</v>
      </c>
      <c r="AG105" s="108">
        <f t="shared" ref="AG105" si="865">+AG104/AD104-1</f>
        <v>6.1250000000000027E-2</v>
      </c>
      <c r="AH105" s="108">
        <f t="shared" ref="AH105" si="866">+AH104/AE104-1</f>
        <v>5.9850746268656607E-2</v>
      </c>
      <c r="AI105" s="108">
        <f t="shared" ref="AI105" si="867">+AI104/AF104-1</f>
        <v>5.9023282393077636E-2</v>
      </c>
      <c r="AJ105" s="108">
        <f t="shared" ref="AJ105" si="868">+AJ104/AG104-1</f>
        <v>5.9411764705882275E-2</v>
      </c>
      <c r="AK105" s="108">
        <f t="shared" ref="AK105" si="869">+AK104/AH104-1</f>
        <v>5.8169014084507031E-2</v>
      </c>
      <c r="AL105" s="108">
        <f t="shared" ref="AL105" si="870">+AL104/AI104-1</f>
        <v>5.7431277710928486E-2</v>
      </c>
      <c r="AM105" s="108">
        <f t="shared" ref="AM105" si="871">+AM104/AJ104-1</f>
        <v>5.7777777777777706E-2</v>
      </c>
      <c r="AN105" s="108">
        <f t="shared" ref="AN105" si="872">+AN104/AK104-1</f>
        <v>5.6666666666666643E-2</v>
      </c>
      <c r="AO105" s="108">
        <f t="shared" ref="AO105" si="873">+AO104/AL104-1</f>
        <v>5.6004816819724912E-2</v>
      </c>
      <c r="AP105" s="108">
        <f t="shared" ref="AP105" si="874">+AP104/AM104-1</f>
        <v>5.6315789473684097E-2</v>
      </c>
      <c r="AQ105" s="108">
        <f t="shared" ref="AQ105" si="875">+AQ104/AN104-1</f>
        <v>5.5316455696202471E-2</v>
      </c>
      <c r="AR105" s="108">
        <f t="shared" ref="AR105" si="876">+AR104/AO104-1</f>
        <v>5.4719358375374894E-2</v>
      </c>
      <c r="AS105" s="108">
        <f t="shared" ref="AS105" si="877">+AS104/AP104-1</f>
        <v>5.4999999999999938E-2</v>
      </c>
      <c r="AT105" s="108">
        <f t="shared" ref="AT105" si="878">+AT104/AQ104-1</f>
        <v>5.4096385542168557E-2</v>
      </c>
      <c r="AU105" s="108">
        <f t="shared" ref="AU105" si="879">+AU104/AR104-1</f>
        <v>5.3554982907549897E-2</v>
      </c>
      <c r="AV105" s="108">
        <f t="shared" ref="AV105" si="880">+AV104/AS104-1</f>
        <v>5.3809523809523752E-2</v>
      </c>
    </row>
    <row r="106" spans="1:48" outlineLevel="1" x14ac:dyDescent="0.25">
      <c r="L106" s="365"/>
      <c r="M106" s="8"/>
      <c r="N106" s="31"/>
      <c r="O106" s="38"/>
    </row>
    <row r="107" spans="1:48" outlineLevel="1" x14ac:dyDescent="0.25">
      <c r="B107" s="8" t="s">
        <v>361</v>
      </c>
      <c r="C107" s="22" t="s">
        <v>28</v>
      </c>
      <c r="E107" s="19">
        <f>E104/E101</f>
        <v>3.6666666666666665</v>
      </c>
      <c r="F107" s="19">
        <f>F104/F101</f>
        <v>3.9249999999999998</v>
      </c>
      <c r="G107" s="19">
        <f t="shared" ref="G107:AA107" si="881">G104/G102</f>
        <v>2.3888888888888888</v>
      </c>
      <c r="H107" s="19">
        <f t="shared" si="881"/>
        <v>1.9636363636363638</v>
      </c>
      <c r="I107" s="19">
        <f t="shared" si="881"/>
        <v>3.9181818181818184</v>
      </c>
      <c r="J107" s="23">
        <f t="shared" si="881"/>
        <v>1.48</v>
      </c>
      <c r="K107" s="23">
        <f t="shared" si="881"/>
        <v>1.4666666666666666</v>
      </c>
      <c r="L107" s="366">
        <f t="shared" si="881"/>
        <v>2.9935483870967743</v>
      </c>
      <c r="M107" s="23">
        <f t="shared" ref="M107" si="882">M104/M102</f>
        <v>1.6324324324324324</v>
      </c>
      <c r="N107" s="23">
        <f t="shared" si="881"/>
        <v>1.6829268292682926</v>
      </c>
      <c r="O107" s="23">
        <f t="shared" si="881"/>
        <v>3.405263157894737</v>
      </c>
      <c r="P107" s="23">
        <f t="shared" si="881"/>
        <v>1.571216216216216</v>
      </c>
      <c r="Q107" s="23">
        <f t="shared" si="881"/>
        <v>1.6741153982930301</v>
      </c>
      <c r="R107" s="23">
        <f t="shared" si="881"/>
        <v>3.249805491990847</v>
      </c>
      <c r="S107" s="23">
        <f t="shared" si="881"/>
        <v>1.5311656067832538</v>
      </c>
      <c r="T107" s="23">
        <f t="shared" si="881"/>
        <v>1.6721806753431037</v>
      </c>
      <c r="U107" s="23">
        <f t="shared" si="881"/>
        <v>3.2060581103678931</v>
      </c>
      <c r="V107" s="23">
        <f t="shared" si="881"/>
        <v>1.5180811006889239</v>
      </c>
      <c r="W107" s="23">
        <f t="shared" si="881"/>
        <v>1.6602478609499878</v>
      </c>
      <c r="X107" s="23">
        <f t="shared" si="881"/>
        <v>3.1808676537864309</v>
      </c>
      <c r="Y107" s="23">
        <f t="shared" si="881"/>
        <v>1.5090755348373794</v>
      </c>
      <c r="Z107" s="23">
        <f t="shared" si="881"/>
        <v>1.6524381151240783</v>
      </c>
      <c r="AA107" s="23">
        <f t="shared" si="881"/>
        <v>3.1639030262995695</v>
      </c>
      <c r="AB107" s="23">
        <f t="shared" ref="AB107:AS107" si="883">AB104/AB102</f>
        <v>1.5035662114562272</v>
      </c>
      <c r="AC107" s="23">
        <f t="shared" si="883"/>
        <v>1.6481898731718494</v>
      </c>
      <c r="AD107" s="23">
        <f t="shared" si="883"/>
        <v>3.154015829342383</v>
      </c>
      <c r="AE107" s="23">
        <f t="shared" si="883"/>
        <v>1.5010976699150302</v>
      </c>
      <c r="AF107" s="23">
        <f t="shared" si="883"/>
        <v>1.6470610325308352</v>
      </c>
      <c r="AG107" s="23">
        <f t="shared" si="883"/>
        <v>3.1503052224843331</v>
      </c>
      <c r="AH107" s="23">
        <f t="shared" si="883"/>
        <v>1.5013090921220604</v>
      </c>
      <c r="AI107" s="23">
        <f t="shared" si="883"/>
        <v>1.6486992148918498</v>
      </c>
      <c r="AJ107" s="23">
        <f t="shared" si="883"/>
        <v>3.1520553920523797</v>
      </c>
      <c r="AK107" s="23">
        <f t="shared" si="883"/>
        <v>1.5039113612150721</v>
      </c>
      <c r="AL107" s="23">
        <f t="shared" si="883"/>
        <v>1.6528206047737508</v>
      </c>
      <c r="AM107" s="23">
        <f t="shared" si="883"/>
        <v>3.1586912981409108</v>
      </c>
      <c r="AN107" s="23">
        <f t="shared" si="883"/>
        <v>1.5086705743834741</v>
      </c>
      <c r="AO107" s="23">
        <f t="shared" si="883"/>
        <v>1.6591945930673806</v>
      </c>
      <c r="AP107" s="23">
        <f t="shared" si="883"/>
        <v>3.1697467176844034</v>
      </c>
      <c r="AQ107" s="23">
        <f t="shared" si="883"/>
        <v>1.5153959733295208</v>
      </c>
      <c r="AR107" s="23">
        <f t="shared" si="883"/>
        <v>1.6676324374848639</v>
      </c>
      <c r="AS107" s="23">
        <f t="shared" si="883"/>
        <v>3.1848407496733766</v>
      </c>
      <c r="AT107" s="23">
        <f t="shared" ref="AT107:AV107" si="884">AT104/AT102</f>
        <v>1.5239309621448249</v>
      </c>
      <c r="AU107" s="23">
        <f t="shared" si="884"/>
        <v>1.6779787579155903</v>
      </c>
      <c r="AV107" s="23">
        <f t="shared" si="884"/>
        <v>3.2036602631941737</v>
      </c>
    </row>
    <row r="108" spans="1:48" outlineLevel="1" x14ac:dyDescent="0.25">
      <c r="E108" s="19"/>
      <c r="F108" s="19"/>
      <c r="G108" s="19"/>
      <c r="H108" s="19"/>
      <c r="I108" s="19"/>
      <c r="J108" s="23"/>
      <c r="K108" s="23"/>
      <c r="L108" s="366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  <c r="AL108" s="23"/>
      <c r="AM108" s="23"/>
      <c r="AN108" s="23"/>
      <c r="AO108" s="23"/>
      <c r="AP108" s="23"/>
      <c r="AQ108" s="23"/>
      <c r="AR108" s="23"/>
      <c r="AS108" s="23"/>
      <c r="AT108" s="23"/>
      <c r="AU108" s="23"/>
      <c r="AV108" s="23"/>
    </row>
    <row r="109" spans="1:48" outlineLevel="1" x14ac:dyDescent="0.25">
      <c r="B109" s="8" t="s">
        <v>25</v>
      </c>
      <c r="E109" s="19"/>
      <c r="F109" s="19"/>
      <c r="G109" s="19"/>
      <c r="H109" s="19"/>
      <c r="I109" s="19"/>
      <c r="J109" s="23"/>
      <c r="K109" s="23"/>
      <c r="L109" s="366"/>
      <c r="M109" s="23"/>
      <c r="N109" s="23"/>
      <c r="O109" s="23"/>
    </row>
    <row r="110" spans="1:48" outlineLevel="1" x14ac:dyDescent="0.25">
      <c r="B110" s="11" t="s">
        <v>365</v>
      </c>
      <c r="C110" s="22" t="s">
        <v>29</v>
      </c>
      <c r="E110" s="19"/>
      <c r="F110" s="19"/>
      <c r="G110" s="19"/>
      <c r="H110" s="19"/>
      <c r="I110" s="19"/>
      <c r="J110" s="23"/>
      <c r="K110" s="23"/>
      <c r="L110" s="366"/>
      <c r="M110" s="23"/>
      <c r="N110" s="23"/>
      <c r="O110" s="23"/>
      <c r="P110" s="208">
        <v>0.05</v>
      </c>
      <c r="Q110" s="209">
        <f>+(2*R110)-P110</f>
        <v>0.05</v>
      </c>
      <c r="R110" s="208">
        <f>+P110</f>
        <v>0.05</v>
      </c>
      <c r="S110" s="208">
        <f>+R110</f>
        <v>0.05</v>
      </c>
      <c r="T110" s="209">
        <f>+(2*U110)-S110</f>
        <v>0.05</v>
      </c>
      <c r="U110" s="208">
        <f>+S110</f>
        <v>0.05</v>
      </c>
      <c r="V110" s="208">
        <v>0.03</v>
      </c>
      <c r="W110" s="209">
        <f t="shared" ref="W110" si="885">+(2*X110)-V110</f>
        <v>0.03</v>
      </c>
      <c r="X110" s="208">
        <f t="shared" ref="X110" si="886">+V110</f>
        <v>0.03</v>
      </c>
      <c r="Y110" s="208">
        <f t="shared" ref="Y110" si="887">+X110</f>
        <v>0.03</v>
      </c>
      <c r="Z110" s="209">
        <f t="shared" ref="Z110" si="888">+(2*AA110)-Y110</f>
        <v>0.03</v>
      </c>
      <c r="AA110" s="208">
        <f t="shared" ref="AA110" si="889">+Y110</f>
        <v>0.03</v>
      </c>
      <c r="AB110" s="208">
        <f t="shared" ref="AB110" si="890">+AA110</f>
        <v>0.03</v>
      </c>
      <c r="AC110" s="209">
        <f t="shared" ref="AC110" si="891">+(2*AD110)-AB110</f>
        <v>0.03</v>
      </c>
      <c r="AD110" s="208">
        <f t="shared" ref="AD110" si="892">+AB110</f>
        <v>0.03</v>
      </c>
      <c r="AE110" s="208">
        <f t="shared" ref="AE110" si="893">+AD110</f>
        <v>0.03</v>
      </c>
      <c r="AF110" s="209">
        <f t="shared" ref="AF110" si="894">+(2*AG110)-AE110</f>
        <v>0.03</v>
      </c>
      <c r="AG110" s="208">
        <f t="shared" ref="AG110" si="895">+AE110</f>
        <v>0.03</v>
      </c>
      <c r="AH110" s="208">
        <f t="shared" ref="AH110" si="896">+AG110</f>
        <v>0.03</v>
      </c>
      <c r="AI110" s="209">
        <f t="shared" ref="AI110" si="897">+(2*AJ110)-AH110</f>
        <v>0.03</v>
      </c>
      <c r="AJ110" s="208">
        <f t="shared" ref="AJ110" si="898">+AH110</f>
        <v>0.03</v>
      </c>
      <c r="AK110" s="208">
        <f t="shared" ref="AK110" si="899">+AJ110</f>
        <v>0.03</v>
      </c>
      <c r="AL110" s="209">
        <f t="shared" ref="AL110" si="900">+(2*AM110)-AK110</f>
        <v>0.03</v>
      </c>
      <c r="AM110" s="208">
        <f t="shared" ref="AM110" si="901">+AK110</f>
        <v>0.03</v>
      </c>
      <c r="AN110" s="208">
        <f t="shared" ref="AN110" si="902">+AM110</f>
        <v>0.03</v>
      </c>
      <c r="AO110" s="209">
        <f t="shared" ref="AO110" si="903">+(2*AP110)-AN110</f>
        <v>0.03</v>
      </c>
      <c r="AP110" s="208">
        <f t="shared" ref="AP110" si="904">+AN110</f>
        <v>0.03</v>
      </c>
      <c r="AQ110" s="208">
        <f t="shared" ref="AQ110" si="905">+AP110</f>
        <v>0.03</v>
      </c>
      <c r="AR110" s="209">
        <f t="shared" ref="AR110" si="906">+(2*AS110)-AQ110</f>
        <v>0.03</v>
      </c>
      <c r="AS110" s="208">
        <f t="shared" ref="AS110" si="907">+AQ110</f>
        <v>0.03</v>
      </c>
      <c r="AT110" s="208">
        <f t="shared" ref="AT110" si="908">+AS110</f>
        <v>0.03</v>
      </c>
      <c r="AU110" s="209">
        <f t="shared" ref="AU110" si="909">+(2*AV110)-AT110</f>
        <v>0.03</v>
      </c>
      <c r="AV110" s="208">
        <f t="shared" ref="AV110" si="910">+AT110</f>
        <v>0.03</v>
      </c>
    </row>
    <row r="111" spans="1:48" outlineLevel="1" x14ac:dyDescent="0.25">
      <c r="B111" s="11" t="s">
        <v>366</v>
      </c>
      <c r="C111" s="22" t="s">
        <v>29</v>
      </c>
      <c r="E111" s="19"/>
      <c r="F111" s="19"/>
      <c r="G111" s="19"/>
      <c r="H111" s="19"/>
      <c r="I111" s="19"/>
      <c r="J111" s="23"/>
      <c r="K111" s="28">
        <f t="shared" ref="K111:O111" si="911">K102/H102-1</f>
        <v>0.5</v>
      </c>
      <c r="L111" s="310">
        <f t="shared" si="911"/>
        <v>0.40909090909090917</v>
      </c>
      <c r="M111" s="328">
        <f t="shared" si="911"/>
        <v>0.23333333333333339</v>
      </c>
      <c r="N111" s="28">
        <f t="shared" si="911"/>
        <v>0.24242424242424243</v>
      </c>
      <c r="O111" s="28">
        <f t="shared" si="911"/>
        <v>0.22580645161290325</v>
      </c>
      <c r="P111" s="108">
        <f t="shared" ref="P111:AA111" si="912">P102/M102-1</f>
        <v>0.18918918918918926</v>
      </c>
      <c r="Q111" s="108">
        <f t="shared" si="912"/>
        <v>0.1707317073170731</v>
      </c>
      <c r="R111" s="108">
        <f t="shared" si="912"/>
        <v>0.21052631578947367</v>
      </c>
      <c r="S111" s="108">
        <f t="shared" si="912"/>
        <v>0.15909090909090917</v>
      </c>
      <c r="T111" s="108">
        <f t="shared" si="912"/>
        <v>0.10416666666666674</v>
      </c>
      <c r="U111" s="108">
        <f t="shared" si="912"/>
        <v>0.13043478260869557</v>
      </c>
      <c r="V111" s="108">
        <f t="shared" si="912"/>
        <v>7.8431372549019551E-2</v>
      </c>
      <c r="W111" s="108">
        <f t="shared" si="912"/>
        <v>7.547169811320753E-2</v>
      </c>
      <c r="X111" s="108">
        <f t="shared" si="912"/>
        <v>7.6923076923076872E-2</v>
      </c>
      <c r="Y111" s="108">
        <f t="shared" si="912"/>
        <v>7.2727272727272751E-2</v>
      </c>
      <c r="Z111" s="108">
        <f t="shared" si="912"/>
        <v>7.0175438596491224E-2</v>
      </c>
      <c r="AA111" s="108">
        <f t="shared" si="912"/>
        <v>7.1428571428571397E-2</v>
      </c>
      <c r="AB111" s="108">
        <f t="shared" ref="AB111" si="913">AB102/Y102-1</f>
        <v>6.7796610169491567E-2</v>
      </c>
      <c r="AC111" s="108">
        <f t="shared" ref="AC111" si="914">AC102/Z102-1</f>
        <v>6.5573770491803351E-2</v>
      </c>
      <c r="AD111" s="108">
        <f t="shared" ref="AD111" si="915">AD102/AA102-1</f>
        <v>6.6666666666666652E-2</v>
      </c>
      <c r="AE111" s="108">
        <f t="shared" ref="AE111" si="916">AE102/AB102-1</f>
        <v>6.3492063492063489E-2</v>
      </c>
      <c r="AF111" s="108">
        <f t="shared" ref="AF111" si="917">AF102/AC102-1</f>
        <v>6.1538461538461542E-2</v>
      </c>
      <c r="AG111" s="108">
        <f t="shared" ref="AG111" si="918">AG102/AD102-1</f>
        <v>6.25E-2</v>
      </c>
      <c r="AH111" s="108">
        <f t="shared" ref="AH111" si="919">AH102/AE102-1</f>
        <v>5.9701492537313383E-2</v>
      </c>
      <c r="AI111" s="108">
        <f t="shared" ref="AI111" si="920">AI102/AF102-1</f>
        <v>5.7971014492753659E-2</v>
      </c>
      <c r="AJ111" s="108">
        <f t="shared" ref="AJ111" si="921">AJ102/AG102-1</f>
        <v>5.8823529411764719E-2</v>
      </c>
      <c r="AK111" s="108">
        <f t="shared" ref="AK111" si="922">AK102/AH102-1</f>
        <v>5.6338028169014009E-2</v>
      </c>
      <c r="AL111" s="108">
        <f t="shared" ref="AL111" si="923">AL102/AI102-1</f>
        <v>5.4794520547945202E-2</v>
      </c>
      <c r="AM111" s="108">
        <f t="shared" ref="AM111" si="924">AM102/AJ102-1</f>
        <v>5.555555555555558E-2</v>
      </c>
      <c r="AN111" s="108">
        <f t="shared" ref="AN111" si="925">AN102/AK102-1</f>
        <v>5.3333333333333233E-2</v>
      </c>
      <c r="AO111" s="108">
        <f t="shared" ref="AO111" si="926">AO102/AL102-1</f>
        <v>5.1948051948051965E-2</v>
      </c>
      <c r="AP111" s="108">
        <f t="shared" ref="AP111" si="927">AP102/AM102-1</f>
        <v>5.2631578947368363E-2</v>
      </c>
      <c r="AQ111" s="108">
        <f t="shared" ref="AQ111" si="928">AQ102/AN102-1</f>
        <v>5.0632911392405111E-2</v>
      </c>
      <c r="AR111" s="108">
        <f t="shared" ref="AR111" si="929">AR102/AO102-1</f>
        <v>4.9382716049382713E-2</v>
      </c>
      <c r="AS111" s="108">
        <f t="shared" ref="AS111" si="930">AS102/AP102-1</f>
        <v>5.0000000000000044E-2</v>
      </c>
      <c r="AT111" s="108">
        <f t="shared" ref="AT111" si="931">AT102/AQ102-1</f>
        <v>4.8192771084337283E-2</v>
      </c>
      <c r="AU111" s="108">
        <f t="shared" ref="AU111" si="932">AU102/AR102-1</f>
        <v>4.705882352941182E-2</v>
      </c>
      <c r="AV111" s="108">
        <f t="shared" ref="AV111" si="933">AV102/AS102-1</f>
        <v>4.7619047619047672E-2</v>
      </c>
    </row>
    <row r="112" spans="1:48" outlineLevel="1" x14ac:dyDescent="0.25">
      <c r="B112" s="11" t="s">
        <v>367</v>
      </c>
      <c r="C112" s="22" t="s">
        <v>29</v>
      </c>
      <c r="E112" s="19"/>
      <c r="F112" s="19"/>
      <c r="G112" s="19"/>
      <c r="H112" s="19"/>
      <c r="I112" s="19"/>
      <c r="J112" s="23"/>
      <c r="K112" s="23"/>
      <c r="L112" s="366"/>
      <c r="M112" s="408"/>
      <c r="N112" s="23"/>
      <c r="O112" s="23"/>
      <c r="P112" s="208">
        <f>-50%*P111</f>
        <v>-9.4594594594594628E-2</v>
      </c>
      <c r="Q112" s="209">
        <f>+Q113-Q110-Q111</f>
        <v>-5.6129691113226035E-2</v>
      </c>
      <c r="R112" s="208">
        <f>-50%*R111</f>
        <v>-0.10526315789473684</v>
      </c>
      <c r="S112" s="208">
        <f t="shared" ref="S112" si="934">-50%*S111</f>
        <v>-7.9545454545454586E-2</v>
      </c>
      <c r="T112" s="209">
        <f t="shared" ref="T112" si="935">+T113-T110-T111</f>
        <v>-5.1276050977562229E-2</v>
      </c>
      <c r="U112" s="208">
        <f t="shared" ref="U112" si="936">-50%*U111</f>
        <v>-6.5217391304347783E-2</v>
      </c>
      <c r="V112" s="208">
        <f t="shared" ref="V112" si="937">-50%*V111</f>
        <v>-3.9215686274509776E-2</v>
      </c>
      <c r="W112" s="209">
        <f t="shared" ref="W112" si="938">+W113-W110-W111</f>
        <v>-3.7674651637749051E-2</v>
      </c>
      <c r="X112" s="208">
        <f t="shared" ref="X112" si="939">-50%*X111</f>
        <v>-3.8461538461538436E-2</v>
      </c>
      <c r="Y112" s="208">
        <f t="shared" ref="Y112" si="940">-50%*Y111</f>
        <v>-3.6363636363636376E-2</v>
      </c>
      <c r="Z112" s="209">
        <f t="shared" ref="Z112" si="941">+Z113-Z110-Z111</f>
        <v>-3.5034066515699375E-2</v>
      </c>
      <c r="AA112" s="208">
        <f t="shared" ref="AA112:AN112" si="942">-50%*AA111</f>
        <v>-3.5714285714285698E-2</v>
      </c>
      <c r="AB112" s="208">
        <f t="shared" si="942"/>
        <v>-3.3898305084745783E-2</v>
      </c>
      <c r="AC112" s="209">
        <f t="shared" ref="AC112:AR112" si="943">+AC113-AC110-AC111</f>
        <v>-3.2739476385569927E-2</v>
      </c>
      <c r="AD112" s="208">
        <f t="shared" ref="AD112" si="944">-50%*AD111</f>
        <v>-3.3333333333333326E-2</v>
      </c>
      <c r="AE112" s="208">
        <f t="shared" si="942"/>
        <v>-3.1746031746031744E-2</v>
      </c>
      <c r="AF112" s="209">
        <f t="shared" si="943"/>
        <v>-3.0727044727606651E-2</v>
      </c>
      <c r="AG112" s="208">
        <f t="shared" ref="AG112" si="945">-50%*AG111</f>
        <v>-3.125E-2</v>
      </c>
      <c r="AH112" s="208">
        <f t="shared" si="942"/>
        <v>-2.9850746268656692E-2</v>
      </c>
      <c r="AI112" s="209">
        <f t="shared" si="943"/>
        <v>-2.8947732099676021E-2</v>
      </c>
      <c r="AJ112" s="208">
        <f t="shared" ref="AJ112" si="946">-50%*AJ111</f>
        <v>-2.9411764705882359E-2</v>
      </c>
      <c r="AK112" s="208">
        <f t="shared" si="942"/>
        <v>-2.8169014084507005E-2</v>
      </c>
      <c r="AL112" s="209">
        <f t="shared" si="943"/>
        <v>-2.7363242837016716E-2</v>
      </c>
      <c r="AM112" s="208">
        <f t="shared" ref="AM112" si="947">-50%*AM111</f>
        <v>-2.777777777777779E-2</v>
      </c>
      <c r="AN112" s="208">
        <f t="shared" si="942"/>
        <v>-2.6666666666666616E-2</v>
      </c>
      <c r="AO112" s="209">
        <f t="shared" si="943"/>
        <v>-2.5943235128327052E-2</v>
      </c>
      <c r="AP112" s="208">
        <f t="shared" ref="AP112:AS112" si="948">-50%*AP111</f>
        <v>-2.6315789473684181E-2</v>
      </c>
      <c r="AQ112" s="208">
        <f t="shared" si="948"/>
        <v>-2.5316455696202556E-2</v>
      </c>
      <c r="AR112" s="209">
        <f t="shared" si="943"/>
        <v>-2.4663357674007819E-2</v>
      </c>
      <c r="AS112" s="208">
        <f t="shared" si="948"/>
        <v>-2.5000000000000022E-2</v>
      </c>
      <c r="AT112" s="208">
        <f t="shared" ref="AT112" si="949">-50%*AT111</f>
        <v>-2.4096385542168641E-2</v>
      </c>
      <c r="AU112" s="209">
        <f t="shared" ref="AU112" si="950">+AU113-AU110-AU111</f>
        <v>-2.3503840621861921E-2</v>
      </c>
      <c r="AV112" s="208">
        <f t="shared" ref="AV112" si="951">-50%*AV111</f>
        <v>-2.3809523809523836E-2</v>
      </c>
    </row>
    <row r="113" spans="1:48" outlineLevel="1" x14ac:dyDescent="0.25">
      <c r="B113" s="11" t="s">
        <v>368</v>
      </c>
      <c r="C113" s="22" t="s">
        <v>29</v>
      </c>
      <c r="E113" s="19"/>
      <c r="F113" s="19"/>
      <c r="G113" s="19"/>
      <c r="H113" s="19"/>
      <c r="I113" s="19"/>
      <c r="J113" s="23"/>
      <c r="K113" s="23"/>
      <c r="L113" s="366"/>
      <c r="M113" s="408"/>
      <c r="N113" s="23"/>
      <c r="O113" s="23"/>
      <c r="P113" s="108">
        <f>+P110+P111+P112</f>
        <v>0.14459459459459462</v>
      </c>
      <c r="Q113" s="108">
        <f>Q104/N104-1</f>
        <v>0.16460201620384707</v>
      </c>
      <c r="R113" s="108">
        <f>+R110+R111+R112</f>
        <v>0.15526315789473683</v>
      </c>
      <c r="S113" s="108">
        <f t="shared" ref="S113" si="952">+S110+S111+S112</f>
        <v>0.12954545454545457</v>
      </c>
      <c r="T113" s="108">
        <f t="shared" ref="T113" si="953">T104/Q104-1</f>
        <v>0.10289061568910451</v>
      </c>
      <c r="U113" s="108">
        <f t="shared" ref="U113:V113" si="954">+U110+U111+U112</f>
        <v>0.11521739130434777</v>
      </c>
      <c r="V113" s="108">
        <f t="shared" si="954"/>
        <v>6.9215686274509775E-2</v>
      </c>
      <c r="W113" s="108">
        <f t="shared" ref="W113" si="955">W104/T104-1</f>
        <v>6.7797046475458478E-2</v>
      </c>
      <c r="X113" s="108">
        <f t="shared" ref="X113:Y113" si="956">+X110+X111+X112</f>
        <v>6.8461538461538435E-2</v>
      </c>
      <c r="Y113" s="108">
        <f t="shared" si="956"/>
        <v>6.6363636363636375E-2</v>
      </c>
      <c r="Z113" s="108">
        <f t="shared" ref="Z113" si="957">Z104/W104-1</f>
        <v>6.5141372080791848E-2</v>
      </c>
      <c r="AA113" s="108">
        <f t="shared" ref="AA113:AB113" si="958">+AA110+AA111+AA112</f>
        <v>6.5714285714285697E-2</v>
      </c>
      <c r="AB113" s="108">
        <f t="shared" si="958"/>
        <v>6.3898305084745782E-2</v>
      </c>
      <c r="AC113" s="108">
        <f t="shared" ref="AC113" si="959">AC104/Z104-1</f>
        <v>6.2834294106233424E-2</v>
      </c>
      <c r="AD113" s="108">
        <f t="shared" ref="AD113:AE113" si="960">+AD110+AD111+AD112</f>
        <v>6.3333333333333325E-2</v>
      </c>
      <c r="AE113" s="108">
        <f t="shared" si="960"/>
        <v>6.1746031746031743E-2</v>
      </c>
      <c r="AF113" s="108">
        <f t="shared" ref="AF113" si="961">AF104/AC104-1</f>
        <v>6.081141681085489E-2</v>
      </c>
      <c r="AG113" s="108">
        <f t="shared" ref="AG113:AH113" si="962">+AG110+AG111+AG112</f>
        <v>6.1249999999999999E-2</v>
      </c>
      <c r="AH113" s="108">
        <f t="shared" si="962"/>
        <v>5.985074626865669E-2</v>
      </c>
      <c r="AI113" s="108">
        <f t="shared" ref="AI113" si="963">AI104/AF104-1</f>
        <v>5.9023282393077636E-2</v>
      </c>
      <c r="AJ113" s="108">
        <f t="shared" ref="AJ113:AK113" si="964">+AJ110+AJ111+AJ112</f>
        <v>5.9411764705882358E-2</v>
      </c>
      <c r="AK113" s="108">
        <f t="shared" si="964"/>
        <v>5.8169014084507004E-2</v>
      </c>
      <c r="AL113" s="108">
        <f t="shared" ref="AL113" si="965">AL104/AI104-1</f>
        <v>5.7431277710928486E-2</v>
      </c>
      <c r="AM113" s="108">
        <f t="shared" ref="AM113:AQ113" si="966">+AM110+AM111+AM112</f>
        <v>5.7777777777777789E-2</v>
      </c>
      <c r="AN113" s="108">
        <f t="shared" si="966"/>
        <v>5.6666666666666615E-2</v>
      </c>
      <c r="AO113" s="108">
        <f t="shared" ref="AO113" si="967">AO104/AL104-1</f>
        <v>5.6004816819724912E-2</v>
      </c>
      <c r="AP113" s="108">
        <f t="shared" ref="AP113" si="968">+AP110+AP111+AP112</f>
        <v>5.631578947368418E-2</v>
      </c>
      <c r="AQ113" s="108">
        <f t="shared" si="966"/>
        <v>5.5316455696202554E-2</v>
      </c>
      <c r="AR113" s="108">
        <f t="shared" ref="AR113" si="969">AR104/AO104-1</f>
        <v>5.4719358375374894E-2</v>
      </c>
      <c r="AS113" s="108">
        <f t="shared" ref="AS113:AT113" si="970">+AS110+AS111+AS112</f>
        <v>5.5000000000000021E-2</v>
      </c>
      <c r="AT113" s="108">
        <f t="shared" si="970"/>
        <v>5.409638554216864E-2</v>
      </c>
      <c r="AU113" s="108">
        <f t="shared" ref="AU113" si="971">AU104/AR104-1</f>
        <v>5.3554982907549897E-2</v>
      </c>
      <c r="AV113" s="108">
        <f t="shared" ref="AV113" si="972">+AV110+AV111+AV112</f>
        <v>5.3809523809523835E-2</v>
      </c>
    </row>
    <row r="114" spans="1:48" outlineLevel="1" x14ac:dyDescent="0.25">
      <c r="E114" s="19"/>
      <c r="F114" s="19"/>
      <c r="G114" s="19"/>
      <c r="H114" s="19"/>
      <c r="I114" s="19"/>
      <c r="J114" s="23"/>
      <c r="K114" s="23"/>
      <c r="L114" s="366"/>
      <c r="M114" s="408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  <c r="AM114" s="23"/>
      <c r="AN114" s="23"/>
      <c r="AO114" s="23"/>
      <c r="AP114" s="23"/>
      <c r="AQ114" s="23"/>
      <c r="AR114" s="23"/>
      <c r="AS114" s="23"/>
      <c r="AT114" s="23"/>
      <c r="AU114" s="23"/>
      <c r="AV114" s="23"/>
    </row>
    <row r="115" spans="1:48" outlineLevel="1" x14ac:dyDescent="0.25">
      <c r="L115" s="365"/>
      <c r="M115" s="41"/>
      <c r="N115" s="19"/>
      <c r="O115" s="38"/>
    </row>
    <row r="116" spans="1:48" outlineLevel="1" x14ac:dyDescent="0.25">
      <c r="B116" s="8" t="s">
        <v>46</v>
      </c>
      <c r="C116" s="22" t="s">
        <v>28</v>
      </c>
      <c r="F116" s="17">
        <f>+F104*F118</f>
        <v>1.099</v>
      </c>
      <c r="G116" s="17">
        <f>+G104*G118</f>
        <v>0.75250000000000006</v>
      </c>
      <c r="H116" s="17">
        <f>+H104*H118</f>
        <v>0.75600000000000012</v>
      </c>
      <c r="I116" s="17">
        <f>+I104*I118</f>
        <v>1.5085000000000002</v>
      </c>
      <c r="J116" s="17">
        <f>+J104*J118</f>
        <v>0.77700000000000002</v>
      </c>
      <c r="K116" s="17">
        <f>+L116-J116</f>
        <v>0.84700000000000009</v>
      </c>
      <c r="L116" s="361">
        <f>+L104*L118</f>
        <v>1.6240000000000001</v>
      </c>
      <c r="M116" s="17">
        <f>+M104*M118</f>
        <v>1.0570000000000002</v>
      </c>
      <c r="N116" s="17">
        <f>+O116-M116</f>
        <v>1.2075000000000002</v>
      </c>
      <c r="O116" s="361">
        <f>+O104*O118</f>
        <v>2.2645000000000004</v>
      </c>
      <c r="P116" s="17">
        <f>+P104*P118</f>
        <v>1.2098364864864866</v>
      </c>
      <c r="Q116" s="17">
        <f>+R116-P116</f>
        <v>1.4062569345661455</v>
      </c>
      <c r="R116" s="17">
        <f>+R104*R118</f>
        <v>2.6160934210526321</v>
      </c>
      <c r="S116" s="17">
        <f>+S104*S118</f>
        <v>1.3665653040540542</v>
      </c>
      <c r="T116" s="17">
        <f>+U116-S116</f>
        <v>1.5509475763807286</v>
      </c>
      <c r="U116" s="17">
        <f>+U104*U118</f>
        <v>2.9175128804347827</v>
      </c>
      <c r="V116" s="17">
        <f>+V104*V118</f>
        <v>1.4611530594130895</v>
      </c>
      <c r="W116" s="17">
        <f>+X116-V116</f>
        <v>1.6560972412976129</v>
      </c>
      <c r="X116" s="17">
        <f>+X104*X118</f>
        <v>3.1172503007107024</v>
      </c>
      <c r="Y116" s="17">
        <f>+Y104*Y118</f>
        <v>1.5581204897195944</v>
      </c>
      <c r="Z116" s="17">
        <f>+AA116-Y116</f>
        <v>1.763977687894954</v>
      </c>
      <c r="AA116" s="17">
        <f>+AA104*AA118</f>
        <v>3.3220981776145484</v>
      </c>
      <c r="AB116" s="17">
        <f t="shared" ref="AB116" si="973">+AB104*AB118</f>
        <v>1.6576817481304906</v>
      </c>
      <c r="AC116" s="17">
        <f t="shared" ref="AC116" si="974">+AD116-AB116</f>
        <v>1.8748159807329787</v>
      </c>
      <c r="AD116" s="17">
        <f t="shared" ref="AD116:AE116" si="975">+AD104*AD118</f>
        <v>3.5324977288634694</v>
      </c>
      <c r="AE116" s="17">
        <f t="shared" si="975"/>
        <v>1.7600370179753733</v>
      </c>
      <c r="AF116" s="17">
        <f t="shared" ref="AF116" si="976">+AG116-AE116</f>
        <v>1.9888261967809835</v>
      </c>
      <c r="AG116" s="17">
        <f t="shared" ref="AG116:AH116" si="977">+AG104*AG118</f>
        <v>3.7488632147563568</v>
      </c>
      <c r="AH116" s="17">
        <f t="shared" si="977"/>
        <v>1.8653765469616603</v>
      </c>
      <c r="AI116" s="17">
        <f t="shared" ref="AI116" si="978">+AJ116-AH116</f>
        <v>2.1062132470243382</v>
      </c>
      <c r="AJ116" s="17">
        <f t="shared" ref="AJ116:AK116" si="979">+AJ104*AJ118</f>
        <v>3.9715897939859985</v>
      </c>
      <c r="AK116" s="17">
        <f t="shared" si="979"/>
        <v>1.9738836615947821</v>
      </c>
      <c r="AL116" s="17">
        <f t="shared" ref="AL116" si="980">+AM116-AK116</f>
        <v>2.2271757649326291</v>
      </c>
      <c r="AM116" s="17">
        <f t="shared" ref="AM116:AN116" si="981">+AM104*AM118</f>
        <v>4.2010594265274115</v>
      </c>
      <c r="AN116" s="17">
        <f t="shared" si="981"/>
        <v>2.0857370690851531</v>
      </c>
      <c r="AO116" s="17">
        <f t="shared" ref="AO116" si="982">+AP116-AN116</f>
        <v>2.3519083356730124</v>
      </c>
      <c r="AP116" s="17">
        <f t="shared" ref="AP116:AQ116" si="983">+AP104*AP118</f>
        <v>4.4376454047581655</v>
      </c>
      <c r="AQ116" s="17">
        <f t="shared" si="983"/>
        <v>2.2011126512611292</v>
      </c>
      <c r="AR116" s="17">
        <f t="shared" ref="AR116" si="984">+AS116-AQ116</f>
        <v>2.4806032507587354</v>
      </c>
      <c r="AS116" s="17">
        <f t="shared" ref="AS116:AT116" si="985">+AS104*AS118</f>
        <v>4.6817159020198647</v>
      </c>
      <c r="AT116" s="17">
        <f t="shared" si="985"/>
        <v>2.3201848898654962</v>
      </c>
      <c r="AU116" s="17">
        <f t="shared" ref="AU116" si="986">+AV116-AT116</f>
        <v>2.6134519154535321</v>
      </c>
      <c r="AV116" s="17">
        <f t="shared" ref="AV116" si="987">+AV104*AV118</f>
        <v>4.9336368053190283</v>
      </c>
    </row>
    <row r="117" spans="1:48" outlineLevel="1" x14ac:dyDescent="0.25">
      <c r="B117" s="11" t="s">
        <v>39</v>
      </c>
      <c r="C117" s="22" t="s">
        <v>29</v>
      </c>
      <c r="I117" s="18">
        <f t="shared" ref="I117:X117" si="988">+I116/F116-1</f>
        <v>0.37261146496815312</v>
      </c>
      <c r="J117" s="304">
        <f t="shared" si="988"/>
        <v>3.2558139534883734E-2</v>
      </c>
      <c r="K117" s="31">
        <f t="shared" si="988"/>
        <v>0.12037037037037024</v>
      </c>
      <c r="L117" s="358">
        <f t="shared" si="988"/>
        <v>7.6566125290023157E-2</v>
      </c>
      <c r="M117" s="304">
        <f t="shared" ref="M117" si="989">+M116/J116-1</f>
        <v>0.36036036036036045</v>
      </c>
      <c r="N117" s="31">
        <f t="shared" ref="N117" si="990">+N116/K116-1</f>
        <v>0.42561983471074405</v>
      </c>
      <c r="O117" s="358">
        <f t="shared" ref="O117" si="991">+O116/L116-1</f>
        <v>0.39439655172413812</v>
      </c>
      <c r="P117" s="18">
        <f t="shared" si="988"/>
        <v>0.14459459459459456</v>
      </c>
      <c r="Q117" s="18">
        <f t="shared" si="988"/>
        <v>0.16460201620384707</v>
      </c>
      <c r="R117" s="18">
        <f t="shared" si="988"/>
        <v>0.15526315789473677</v>
      </c>
      <c r="S117" s="18">
        <f t="shared" si="988"/>
        <v>0.12954545454545463</v>
      </c>
      <c r="T117" s="18">
        <f t="shared" si="988"/>
        <v>0.10289061568910429</v>
      </c>
      <c r="U117" s="18">
        <f t="shared" si="988"/>
        <v>0.11521739130434772</v>
      </c>
      <c r="V117" s="18">
        <f t="shared" si="988"/>
        <v>6.9215686274509691E-2</v>
      </c>
      <c r="W117" s="18">
        <f t="shared" si="988"/>
        <v>6.77970464754587E-2</v>
      </c>
      <c r="X117" s="18">
        <f t="shared" si="988"/>
        <v>6.8461538461538352E-2</v>
      </c>
      <c r="Y117" s="18">
        <f t="shared" ref="Y117" si="992">+Y116/V116-1</f>
        <v>6.636363636363618E-2</v>
      </c>
      <c r="Z117" s="18">
        <f t="shared" ref="Z117" si="993">+Z116/W116-1</f>
        <v>6.514137208079207E-2</v>
      </c>
      <c r="AA117" s="18">
        <f t="shared" ref="AA117" si="994">+AA116/X116-1</f>
        <v>6.5714285714285614E-2</v>
      </c>
      <c r="AB117" s="18">
        <f t="shared" ref="AB117" si="995">+AB116/Y116-1</f>
        <v>6.3898305084745921E-2</v>
      </c>
      <c r="AC117" s="18">
        <f t="shared" ref="AC117" si="996">+AC116/Z116-1</f>
        <v>6.2834294106233202E-2</v>
      </c>
      <c r="AD117" s="18">
        <f t="shared" ref="AD117" si="997">+AD116/AA116-1</f>
        <v>6.3333333333333242E-2</v>
      </c>
      <c r="AE117" s="18">
        <f t="shared" ref="AE117" si="998">+AE116/AB116-1</f>
        <v>6.174603174603166E-2</v>
      </c>
      <c r="AF117" s="18">
        <f t="shared" ref="AF117" si="999">+AF116/AC116-1</f>
        <v>6.081141681085489E-2</v>
      </c>
      <c r="AG117" s="18">
        <f t="shared" ref="AG117" si="1000">+AG116/AD116-1</f>
        <v>6.1250000000000027E-2</v>
      </c>
      <c r="AH117" s="18">
        <f t="shared" ref="AH117" si="1001">+AH116/AE116-1</f>
        <v>5.9850746268656607E-2</v>
      </c>
      <c r="AI117" s="18">
        <f t="shared" ref="AI117" si="1002">+AI116/AF116-1</f>
        <v>5.9023282393077636E-2</v>
      </c>
      <c r="AJ117" s="18">
        <f t="shared" ref="AJ117" si="1003">+AJ116/AG116-1</f>
        <v>5.9411764705882275E-2</v>
      </c>
      <c r="AK117" s="18">
        <f t="shared" ref="AK117" si="1004">+AK116/AH116-1</f>
        <v>5.8169014084507031E-2</v>
      </c>
      <c r="AL117" s="18">
        <f t="shared" ref="AL117" si="1005">+AL116/AI116-1</f>
        <v>5.7431277710928264E-2</v>
      </c>
      <c r="AM117" s="18">
        <f t="shared" ref="AM117" si="1006">+AM116/AJ116-1</f>
        <v>5.7777777777777706E-2</v>
      </c>
      <c r="AN117" s="18">
        <f t="shared" ref="AN117" si="1007">+AN116/AK116-1</f>
        <v>5.6666666666666643E-2</v>
      </c>
      <c r="AO117" s="18">
        <f t="shared" ref="AO117" si="1008">+AO116/AL116-1</f>
        <v>5.6004816819725134E-2</v>
      </c>
      <c r="AP117" s="18">
        <f t="shared" ref="AP117" si="1009">+AP116/AM116-1</f>
        <v>5.6315789473684097E-2</v>
      </c>
      <c r="AQ117" s="18">
        <f t="shared" ref="AQ117" si="1010">+AQ116/AN116-1</f>
        <v>5.5316455696202471E-2</v>
      </c>
      <c r="AR117" s="18">
        <f t="shared" ref="AR117" si="1011">+AR116/AO116-1</f>
        <v>5.4719358375374894E-2</v>
      </c>
      <c r="AS117" s="18">
        <f t="shared" ref="AS117" si="1012">+AS116/AP116-1</f>
        <v>5.4999999999999938E-2</v>
      </c>
      <c r="AT117" s="18">
        <f t="shared" ref="AT117" si="1013">+AT116/AQ116-1</f>
        <v>5.4096385542168557E-2</v>
      </c>
      <c r="AU117" s="18">
        <f t="shared" ref="AU117" si="1014">+AU116/AR116-1</f>
        <v>5.3554982907549897E-2</v>
      </c>
      <c r="AV117" s="18">
        <f t="shared" ref="AV117" si="1015">+AV116/AS116-1</f>
        <v>5.3809523809523752E-2</v>
      </c>
    </row>
    <row r="118" spans="1:48" outlineLevel="1" x14ac:dyDescent="0.25">
      <c r="B118" s="11" t="s">
        <v>48</v>
      </c>
      <c r="C118" s="22" t="s">
        <v>29</v>
      </c>
      <c r="F118" s="199">
        <v>3.5000000000000003E-2</v>
      </c>
      <c r="G118" s="39">
        <f>+F118</f>
        <v>3.5000000000000003E-2</v>
      </c>
      <c r="H118" s="39">
        <f t="shared" ref="H118:J118" si="1016">+G118</f>
        <v>3.5000000000000003E-2</v>
      </c>
      <c r="I118" s="39">
        <f t="shared" si="1016"/>
        <v>3.5000000000000003E-2</v>
      </c>
      <c r="J118" s="39">
        <f t="shared" si="1016"/>
        <v>3.5000000000000003E-2</v>
      </c>
      <c r="K118" s="15">
        <f>K116/K104</f>
        <v>3.5000000000000003E-2</v>
      </c>
      <c r="L118" s="367">
        <v>3.5000000000000003E-2</v>
      </c>
      <c r="M118" s="39">
        <f t="shared" ref="M118" si="1017">+L118</f>
        <v>3.5000000000000003E-2</v>
      </c>
      <c r="N118" s="15">
        <f>N116/N104</f>
        <v>3.500000000000001E-2</v>
      </c>
      <c r="O118" s="367">
        <v>3.5000000000000003E-2</v>
      </c>
      <c r="P118" s="208">
        <f t="shared" ref="P118" si="1018">+O118</f>
        <v>3.5000000000000003E-2</v>
      </c>
      <c r="Q118" s="209">
        <f t="shared" ref="Q118" si="1019">Q116/Q104</f>
        <v>3.5000000000000003E-2</v>
      </c>
      <c r="R118" s="208">
        <f>+P118</f>
        <v>3.5000000000000003E-2</v>
      </c>
      <c r="S118" s="208">
        <f t="shared" ref="S118" si="1020">+R118</f>
        <v>3.5000000000000003E-2</v>
      </c>
      <c r="T118" s="209">
        <f t="shared" ref="T118" si="1021">T116/T104</f>
        <v>3.4999999999999996E-2</v>
      </c>
      <c r="U118" s="208">
        <f>+S118</f>
        <v>3.5000000000000003E-2</v>
      </c>
      <c r="V118" s="208">
        <f t="shared" ref="V118" si="1022">+U118</f>
        <v>3.5000000000000003E-2</v>
      </c>
      <c r="W118" s="209">
        <f t="shared" ref="W118" si="1023">W116/W104</f>
        <v>3.5000000000000003E-2</v>
      </c>
      <c r="X118" s="208">
        <f>+V118</f>
        <v>3.5000000000000003E-2</v>
      </c>
      <c r="Y118" s="208">
        <f t="shared" ref="Y118" si="1024">+X118</f>
        <v>3.5000000000000003E-2</v>
      </c>
      <c r="Z118" s="209">
        <f t="shared" ref="Z118" si="1025">Z116/Z104</f>
        <v>3.500000000000001E-2</v>
      </c>
      <c r="AA118" s="208">
        <f>+Y118</f>
        <v>3.5000000000000003E-2</v>
      </c>
      <c r="AB118" s="208">
        <f t="shared" ref="AB118" si="1026">+AA118</f>
        <v>3.5000000000000003E-2</v>
      </c>
      <c r="AC118" s="209">
        <f t="shared" ref="AC118:AO118" si="1027">AC116/AC104</f>
        <v>3.5000000000000003E-2</v>
      </c>
      <c r="AD118" s="208">
        <f t="shared" ref="AD118" si="1028">+AB118</f>
        <v>3.5000000000000003E-2</v>
      </c>
      <c r="AE118" s="208">
        <f t="shared" ref="AE118" si="1029">+AD118</f>
        <v>3.5000000000000003E-2</v>
      </c>
      <c r="AF118" s="209">
        <f t="shared" si="1027"/>
        <v>3.5000000000000003E-2</v>
      </c>
      <c r="AG118" s="208">
        <f t="shared" ref="AG118" si="1030">+AE118</f>
        <v>3.5000000000000003E-2</v>
      </c>
      <c r="AH118" s="208">
        <f t="shared" ref="AH118" si="1031">+AG118</f>
        <v>3.5000000000000003E-2</v>
      </c>
      <c r="AI118" s="209">
        <f t="shared" si="1027"/>
        <v>3.5000000000000003E-2</v>
      </c>
      <c r="AJ118" s="208">
        <f t="shared" ref="AJ118" si="1032">+AH118</f>
        <v>3.5000000000000003E-2</v>
      </c>
      <c r="AK118" s="208">
        <f t="shared" ref="AK118" si="1033">+AJ118</f>
        <v>3.5000000000000003E-2</v>
      </c>
      <c r="AL118" s="209">
        <f t="shared" si="1027"/>
        <v>3.4999999999999996E-2</v>
      </c>
      <c r="AM118" s="208">
        <f t="shared" ref="AM118" si="1034">+AK118</f>
        <v>3.5000000000000003E-2</v>
      </c>
      <c r="AN118" s="208">
        <f t="shared" ref="AN118" si="1035">+AM118</f>
        <v>3.5000000000000003E-2</v>
      </c>
      <c r="AO118" s="209">
        <f t="shared" si="1027"/>
        <v>3.5000000000000003E-2</v>
      </c>
      <c r="AP118" s="208">
        <f t="shared" ref="AP118" si="1036">+AN118</f>
        <v>3.5000000000000003E-2</v>
      </c>
      <c r="AQ118" s="208">
        <f t="shared" ref="AQ118" si="1037">+AP118</f>
        <v>3.5000000000000003E-2</v>
      </c>
      <c r="AR118" s="209">
        <f t="shared" ref="AR118" si="1038">AR116/AR104</f>
        <v>3.500000000000001E-2</v>
      </c>
      <c r="AS118" s="208">
        <f>+AQ118</f>
        <v>3.5000000000000003E-2</v>
      </c>
      <c r="AT118" s="208">
        <f t="shared" ref="AT118" si="1039">+AS118</f>
        <v>3.5000000000000003E-2</v>
      </c>
      <c r="AU118" s="209">
        <f t="shared" ref="AU118" si="1040">AU116/AU104</f>
        <v>3.5000000000000003E-2</v>
      </c>
      <c r="AV118" s="208">
        <f>+AT118</f>
        <v>3.5000000000000003E-2</v>
      </c>
    </row>
    <row r="119" spans="1:48" outlineLevel="1" x14ac:dyDescent="0.25"/>
    <row r="120" spans="1:48" outlineLevel="1" x14ac:dyDescent="0.25">
      <c r="J120" s="254"/>
    </row>
    <row r="121" spans="1:48" outlineLevel="1" x14ac:dyDescent="0.25">
      <c r="A121" s="9"/>
      <c r="B121" s="13" t="s">
        <v>52</v>
      </c>
      <c r="C121" s="194"/>
      <c r="D121" s="194"/>
      <c r="E121" s="194"/>
      <c r="F121" s="194"/>
      <c r="G121" s="195"/>
      <c r="H121" s="195"/>
      <c r="I121" s="195"/>
      <c r="J121" s="195"/>
      <c r="K121" s="195"/>
      <c r="L121" s="342"/>
      <c r="M121" s="195"/>
      <c r="N121" s="195"/>
      <c r="O121" s="195"/>
      <c r="P121" s="195"/>
      <c r="Q121" s="195"/>
      <c r="R121" s="195"/>
      <c r="S121" s="195"/>
      <c r="T121" s="195"/>
      <c r="U121" s="195"/>
      <c r="V121" s="60"/>
      <c r="W121" s="13"/>
      <c r="X121" s="194"/>
      <c r="Y121" s="60"/>
      <c r="Z121" s="13"/>
      <c r="AA121" s="194"/>
      <c r="AB121" s="60"/>
      <c r="AC121" s="13"/>
      <c r="AD121" s="194"/>
      <c r="AE121" s="60"/>
      <c r="AF121" s="13"/>
      <c r="AG121" s="194"/>
      <c r="AH121" s="60"/>
      <c r="AI121" s="13"/>
      <c r="AJ121" s="194"/>
      <c r="AK121" s="60"/>
      <c r="AL121" s="13"/>
      <c r="AM121" s="194"/>
      <c r="AN121" s="60"/>
      <c r="AO121" s="13"/>
      <c r="AP121" s="194"/>
      <c r="AQ121" s="60"/>
      <c r="AR121" s="13"/>
      <c r="AS121" s="194"/>
      <c r="AT121" s="60"/>
      <c r="AU121" s="13"/>
      <c r="AV121" s="194"/>
    </row>
    <row r="122" spans="1:48" outlineLevel="1" x14ac:dyDescent="0.25">
      <c r="M122" s="8"/>
    </row>
    <row r="123" spans="1:48" outlineLevel="1" x14ac:dyDescent="0.25">
      <c r="B123" s="8" t="s">
        <v>34</v>
      </c>
      <c r="C123" s="22" t="s">
        <v>274</v>
      </c>
      <c r="F123" s="17">
        <f>+E125</f>
        <v>2</v>
      </c>
      <c r="I123" s="17">
        <f>+F125</f>
        <v>2</v>
      </c>
      <c r="J123" s="17">
        <f>+I125</f>
        <v>4</v>
      </c>
      <c r="K123" s="20">
        <f>+J125</f>
        <v>4</v>
      </c>
      <c r="L123" s="368">
        <f>+I125</f>
        <v>4</v>
      </c>
      <c r="M123" s="409">
        <f>+L125</f>
        <v>5</v>
      </c>
      <c r="N123" s="20">
        <f>+M125</f>
        <v>5</v>
      </c>
      <c r="O123" s="368">
        <f>+L125</f>
        <v>5</v>
      </c>
      <c r="P123" s="20">
        <f t="shared" ref="P123:Q123" si="1041">+O125</f>
        <v>5</v>
      </c>
      <c r="Q123" s="20">
        <f t="shared" si="1041"/>
        <v>6</v>
      </c>
      <c r="R123" s="20">
        <f t="shared" ref="R123" si="1042">+O125</f>
        <v>5</v>
      </c>
      <c r="S123" s="20">
        <f t="shared" ref="S123:T123" si="1043">+R125</f>
        <v>7</v>
      </c>
      <c r="T123" s="20">
        <f t="shared" si="1043"/>
        <v>8</v>
      </c>
      <c r="U123" s="20">
        <f t="shared" ref="U123" si="1044">+R125</f>
        <v>7</v>
      </c>
      <c r="V123" s="20">
        <f t="shared" ref="V123:W123" si="1045">+U125</f>
        <v>9</v>
      </c>
      <c r="W123" s="20">
        <f t="shared" si="1045"/>
        <v>10</v>
      </c>
      <c r="X123" s="20">
        <f t="shared" ref="X123" si="1046">+U125</f>
        <v>9</v>
      </c>
      <c r="Y123" s="20">
        <f t="shared" ref="Y123:Z123" si="1047">+X125</f>
        <v>11</v>
      </c>
      <c r="Z123" s="20">
        <f t="shared" si="1047"/>
        <v>12</v>
      </c>
      <c r="AA123" s="20">
        <f t="shared" ref="AA123" si="1048">+X125</f>
        <v>11</v>
      </c>
      <c r="AB123" s="20">
        <f t="shared" ref="AB123" si="1049">+AA125</f>
        <v>13</v>
      </c>
      <c r="AC123" s="20">
        <f t="shared" ref="AC123" si="1050">+AB125</f>
        <v>14</v>
      </c>
      <c r="AD123" s="20">
        <f t="shared" ref="AD123" si="1051">+AA125</f>
        <v>13</v>
      </c>
      <c r="AE123" s="20">
        <f t="shared" ref="AE123" si="1052">+AD125</f>
        <v>15</v>
      </c>
      <c r="AF123" s="20">
        <f t="shared" ref="AF123" si="1053">+AE125</f>
        <v>16</v>
      </c>
      <c r="AG123" s="20">
        <f t="shared" ref="AG123" si="1054">+AD125</f>
        <v>15</v>
      </c>
      <c r="AH123" s="20">
        <f t="shared" ref="AH123" si="1055">+AG125</f>
        <v>17</v>
      </c>
      <c r="AI123" s="20">
        <f t="shared" ref="AI123" si="1056">+AH125</f>
        <v>18</v>
      </c>
      <c r="AJ123" s="20">
        <f t="shared" ref="AJ123" si="1057">+AG125</f>
        <v>17</v>
      </c>
      <c r="AK123" s="20">
        <f t="shared" ref="AK123" si="1058">+AJ125</f>
        <v>19</v>
      </c>
      <c r="AL123" s="20">
        <f t="shared" ref="AL123" si="1059">+AK125</f>
        <v>20</v>
      </c>
      <c r="AM123" s="20">
        <f t="shared" ref="AM123" si="1060">+AJ125</f>
        <v>19</v>
      </c>
      <c r="AN123" s="20">
        <f t="shared" ref="AN123" si="1061">+AM125</f>
        <v>21</v>
      </c>
      <c r="AO123" s="20">
        <f t="shared" ref="AO123" si="1062">+AN125</f>
        <v>22</v>
      </c>
      <c r="AP123" s="20">
        <f t="shared" ref="AP123" si="1063">+AM125</f>
        <v>21</v>
      </c>
      <c r="AQ123" s="20">
        <f t="shared" ref="AQ123" si="1064">+AP125</f>
        <v>23</v>
      </c>
      <c r="AR123" s="20">
        <f t="shared" ref="AR123" si="1065">+AQ125</f>
        <v>24</v>
      </c>
      <c r="AS123" s="20">
        <f t="shared" ref="AS123" si="1066">+AP125</f>
        <v>23</v>
      </c>
      <c r="AT123" s="20">
        <f t="shared" ref="AT123" si="1067">+AS125</f>
        <v>25</v>
      </c>
      <c r="AU123" s="20">
        <f t="shared" ref="AU123" si="1068">+AT125</f>
        <v>26</v>
      </c>
      <c r="AV123" s="20">
        <f t="shared" ref="AV123" si="1069">+AS125</f>
        <v>25</v>
      </c>
    </row>
    <row r="124" spans="1:48" outlineLevel="1" x14ac:dyDescent="0.25">
      <c r="B124" s="8" t="s">
        <v>47</v>
      </c>
      <c r="C124" s="22" t="s">
        <v>274</v>
      </c>
      <c r="I124" s="17">
        <v>2</v>
      </c>
      <c r="J124" s="38">
        <v>0</v>
      </c>
      <c r="K124" s="177">
        <f>+K125-K123</f>
        <v>1</v>
      </c>
      <c r="L124" s="368">
        <f>+J124+K124</f>
        <v>1</v>
      </c>
      <c r="M124" s="410">
        <f>+M125-M123</f>
        <v>0</v>
      </c>
      <c r="N124" s="177">
        <f>+N125-N123</f>
        <v>0</v>
      </c>
      <c r="O124" s="368">
        <f>+M124+N124</f>
        <v>0</v>
      </c>
      <c r="P124" s="177">
        <v>1</v>
      </c>
      <c r="Q124" s="177">
        <v>1</v>
      </c>
      <c r="R124" s="20">
        <f>+P124+Q124</f>
        <v>2</v>
      </c>
      <c r="S124" s="177">
        <v>1</v>
      </c>
      <c r="T124" s="177">
        <v>1</v>
      </c>
      <c r="U124" s="20">
        <f>+S124+T124</f>
        <v>2</v>
      </c>
      <c r="V124" s="177">
        <v>1</v>
      </c>
      <c r="W124" s="177">
        <v>1</v>
      </c>
      <c r="X124" s="20">
        <f>+V124+W124</f>
        <v>2</v>
      </c>
      <c r="Y124" s="177">
        <v>1</v>
      </c>
      <c r="Z124" s="177">
        <v>1</v>
      </c>
      <c r="AA124" s="20">
        <f>+Y124+Z124</f>
        <v>2</v>
      </c>
      <c r="AB124" s="177">
        <v>1</v>
      </c>
      <c r="AC124" s="177">
        <v>1</v>
      </c>
      <c r="AD124" s="20">
        <f t="shared" ref="AD124" si="1070">+AB124+AC124</f>
        <v>2</v>
      </c>
      <c r="AE124" s="177">
        <v>1</v>
      </c>
      <c r="AF124" s="177">
        <v>1</v>
      </c>
      <c r="AG124" s="20">
        <f t="shared" ref="AG124" si="1071">+AE124+AF124</f>
        <v>2</v>
      </c>
      <c r="AH124" s="177">
        <v>1</v>
      </c>
      <c r="AI124" s="177">
        <v>1</v>
      </c>
      <c r="AJ124" s="20">
        <f t="shared" ref="AJ124" si="1072">+AH124+AI124</f>
        <v>2</v>
      </c>
      <c r="AK124" s="177">
        <v>1</v>
      </c>
      <c r="AL124" s="177">
        <v>1</v>
      </c>
      <c r="AM124" s="20">
        <f t="shared" ref="AM124" si="1073">+AK124+AL124</f>
        <v>2</v>
      </c>
      <c r="AN124" s="177">
        <v>1</v>
      </c>
      <c r="AO124" s="177">
        <v>1</v>
      </c>
      <c r="AP124" s="20">
        <f t="shared" ref="AP124" si="1074">+AN124+AO124</f>
        <v>2</v>
      </c>
      <c r="AQ124" s="177">
        <v>1</v>
      </c>
      <c r="AR124" s="177">
        <v>1</v>
      </c>
      <c r="AS124" s="20">
        <f t="shared" ref="AS124" si="1075">+AQ124+AR124</f>
        <v>2</v>
      </c>
      <c r="AT124" s="177">
        <v>1</v>
      </c>
      <c r="AU124" s="177">
        <v>1</v>
      </c>
      <c r="AV124" s="20">
        <f t="shared" ref="AV124" si="1076">+AT124+AU124</f>
        <v>2</v>
      </c>
    </row>
    <row r="125" spans="1:48" outlineLevel="1" x14ac:dyDescent="0.25">
      <c r="B125" s="8" t="s">
        <v>37</v>
      </c>
      <c r="C125" s="22" t="s">
        <v>274</v>
      </c>
      <c r="E125" s="36">
        <v>2</v>
      </c>
      <c r="F125" s="36">
        <v>2</v>
      </c>
      <c r="G125" s="36">
        <v>3</v>
      </c>
      <c r="H125" s="36">
        <v>3</v>
      </c>
      <c r="I125" s="36">
        <v>4</v>
      </c>
      <c r="J125" s="196">
        <f>+J123+J124</f>
        <v>4</v>
      </c>
      <c r="K125" s="20">
        <f>+L125</f>
        <v>5</v>
      </c>
      <c r="L125" s="362">
        <v>5</v>
      </c>
      <c r="M125" s="443">
        <v>5</v>
      </c>
      <c r="N125" s="20">
        <f>+O125</f>
        <v>5</v>
      </c>
      <c r="O125" s="362">
        <v>5</v>
      </c>
      <c r="P125" s="20">
        <f t="shared" ref="P125:X125" si="1077">+P123+P124</f>
        <v>6</v>
      </c>
      <c r="Q125" s="20">
        <f t="shared" si="1077"/>
        <v>7</v>
      </c>
      <c r="R125" s="20">
        <f t="shared" si="1077"/>
        <v>7</v>
      </c>
      <c r="S125" s="20">
        <f t="shared" si="1077"/>
        <v>8</v>
      </c>
      <c r="T125" s="20">
        <f t="shared" si="1077"/>
        <v>9</v>
      </c>
      <c r="U125" s="20">
        <f t="shared" si="1077"/>
        <v>9</v>
      </c>
      <c r="V125" s="20">
        <f t="shared" si="1077"/>
        <v>10</v>
      </c>
      <c r="W125" s="20">
        <f t="shared" si="1077"/>
        <v>11</v>
      </c>
      <c r="X125" s="20">
        <f t="shared" si="1077"/>
        <v>11</v>
      </c>
      <c r="Y125" s="20">
        <f t="shared" ref="Y125:AA125" si="1078">+Y123+Y124</f>
        <v>12</v>
      </c>
      <c r="Z125" s="20">
        <f t="shared" si="1078"/>
        <v>13</v>
      </c>
      <c r="AA125" s="20">
        <f t="shared" si="1078"/>
        <v>13</v>
      </c>
      <c r="AB125" s="20">
        <f t="shared" ref="AB125:AP125" si="1079">+AB123+AB124</f>
        <v>14</v>
      </c>
      <c r="AC125" s="20">
        <f t="shared" si="1079"/>
        <v>15</v>
      </c>
      <c r="AD125" s="20">
        <f t="shared" si="1079"/>
        <v>15</v>
      </c>
      <c r="AE125" s="20">
        <f t="shared" si="1079"/>
        <v>16</v>
      </c>
      <c r="AF125" s="20">
        <f t="shared" si="1079"/>
        <v>17</v>
      </c>
      <c r="AG125" s="20">
        <f t="shared" si="1079"/>
        <v>17</v>
      </c>
      <c r="AH125" s="20">
        <f t="shared" si="1079"/>
        <v>18</v>
      </c>
      <c r="AI125" s="20">
        <f t="shared" si="1079"/>
        <v>19</v>
      </c>
      <c r="AJ125" s="20">
        <f t="shared" si="1079"/>
        <v>19</v>
      </c>
      <c r="AK125" s="20">
        <f t="shared" si="1079"/>
        <v>20</v>
      </c>
      <c r="AL125" s="20">
        <f t="shared" si="1079"/>
        <v>21</v>
      </c>
      <c r="AM125" s="20">
        <f t="shared" si="1079"/>
        <v>21</v>
      </c>
      <c r="AN125" s="20">
        <f t="shared" si="1079"/>
        <v>22</v>
      </c>
      <c r="AO125" s="20">
        <f t="shared" si="1079"/>
        <v>23</v>
      </c>
      <c r="AP125" s="20">
        <f t="shared" si="1079"/>
        <v>23</v>
      </c>
      <c r="AQ125" s="20">
        <f t="shared" ref="AQ125:AS125" si="1080">+AQ123+AQ124</f>
        <v>24</v>
      </c>
      <c r="AR125" s="20">
        <f t="shared" si="1080"/>
        <v>25</v>
      </c>
      <c r="AS125" s="20">
        <f t="shared" si="1080"/>
        <v>25</v>
      </c>
      <c r="AT125" s="20">
        <f t="shared" ref="AT125:AV125" si="1081">+AT123+AT124</f>
        <v>26</v>
      </c>
      <c r="AU125" s="20">
        <f t="shared" si="1081"/>
        <v>27</v>
      </c>
      <c r="AV125" s="20">
        <f t="shared" si="1081"/>
        <v>27</v>
      </c>
    </row>
    <row r="126" spans="1:48" outlineLevel="1" x14ac:dyDescent="0.25">
      <c r="B126" s="8" t="s">
        <v>38</v>
      </c>
      <c r="C126" s="22" t="s">
        <v>274</v>
      </c>
      <c r="E126" s="36"/>
      <c r="F126" s="36"/>
      <c r="G126" s="36">
        <f>+AVERAGE(F125:G125)</f>
        <v>2.5</v>
      </c>
      <c r="H126" s="37">
        <f>+AVERAGE(G125:H125)</f>
        <v>3</v>
      </c>
      <c r="I126" s="37">
        <f>+(I125+F125)/2</f>
        <v>3</v>
      </c>
      <c r="J126" s="37">
        <f>+AVERAGE(I125:J125)</f>
        <v>4</v>
      </c>
      <c r="K126" s="34">
        <f>+AVERAGE(J125:K125)</f>
        <v>4.5</v>
      </c>
      <c r="L126" s="369">
        <f>+(L125+I125)/2</f>
        <v>4.5</v>
      </c>
      <c r="M126" s="411">
        <f>+AVERAGE(L125:M125)</f>
        <v>5</v>
      </c>
      <c r="N126" s="34">
        <f>+AVERAGE(M125:N125)</f>
        <v>5</v>
      </c>
      <c r="O126" s="369">
        <f>+(O125+L125)/2</f>
        <v>5</v>
      </c>
      <c r="P126" s="34">
        <f>+AVERAGE(O125:P125)</f>
        <v>5.5</v>
      </c>
      <c r="Q126" s="34">
        <f>+AVERAGE(P125:Q125)</f>
        <v>6.5</v>
      </c>
      <c r="R126" s="34">
        <f>+(R125+O125)/2</f>
        <v>6</v>
      </c>
      <c r="S126" s="34">
        <f>+AVERAGE(R125:S125)</f>
        <v>7.5</v>
      </c>
      <c r="T126" s="34">
        <f>+AVERAGE(S125:T125)</f>
        <v>8.5</v>
      </c>
      <c r="U126" s="34">
        <f>+(U125+R125)/2</f>
        <v>8</v>
      </c>
      <c r="V126" s="34">
        <f>+AVERAGE(U125:V125)</f>
        <v>9.5</v>
      </c>
      <c r="W126" s="34">
        <f>+AVERAGE(V125:W125)</f>
        <v>10.5</v>
      </c>
      <c r="X126" s="34">
        <f>+(X125+U125)/2</f>
        <v>10</v>
      </c>
      <c r="Y126" s="34">
        <f>+AVERAGE(X125:Y125)</f>
        <v>11.5</v>
      </c>
      <c r="Z126" s="34">
        <f>+AVERAGE(Y125:Z125)</f>
        <v>12.5</v>
      </c>
      <c r="AA126" s="34">
        <f>+(AA125+X125)/2</f>
        <v>12</v>
      </c>
      <c r="AB126" s="34">
        <f t="shared" ref="AB126:AC126" si="1082">+AVERAGE(AA125:AB125)</f>
        <v>13.5</v>
      </c>
      <c r="AC126" s="34">
        <f t="shared" si="1082"/>
        <v>14.5</v>
      </c>
      <c r="AD126" s="34">
        <f t="shared" ref="AD126" si="1083">+(AD125+AA125)/2</f>
        <v>14</v>
      </c>
      <c r="AE126" s="34">
        <f t="shared" ref="AE126:AF126" si="1084">+AVERAGE(AD125:AE125)</f>
        <v>15.5</v>
      </c>
      <c r="AF126" s="34">
        <f t="shared" si="1084"/>
        <v>16.5</v>
      </c>
      <c r="AG126" s="34">
        <f t="shared" ref="AG126" si="1085">+(AG125+AD125)/2</f>
        <v>16</v>
      </c>
      <c r="AH126" s="34">
        <f t="shared" ref="AH126:AI126" si="1086">+AVERAGE(AG125:AH125)</f>
        <v>17.5</v>
      </c>
      <c r="AI126" s="34">
        <f t="shared" si="1086"/>
        <v>18.5</v>
      </c>
      <c r="AJ126" s="34">
        <f t="shared" ref="AJ126" si="1087">+(AJ125+AG125)/2</f>
        <v>18</v>
      </c>
      <c r="AK126" s="34">
        <f t="shared" ref="AK126:AL126" si="1088">+AVERAGE(AJ125:AK125)</f>
        <v>19.5</v>
      </c>
      <c r="AL126" s="34">
        <f t="shared" si="1088"/>
        <v>20.5</v>
      </c>
      <c r="AM126" s="34">
        <f t="shared" ref="AM126" si="1089">+(AM125+AJ125)/2</f>
        <v>20</v>
      </c>
      <c r="AN126" s="34">
        <f t="shared" ref="AN126:AO126" si="1090">+AVERAGE(AM125:AN125)</f>
        <v>21.5</v>
      </c>
      <c r="AO126" s="34">
        <f t="shared" si="1090"/>
        <v>22.5</v>
      </c>
      <c r="AP126" s="34">
        <f t="shared" ref="AP126" si="1091">+(AP125+AM125)/2</f>
        <v>22</v>
      </c>
      <c r="AQ126" s="34">
        <f t="shared" ref="AQ126" si="1092">+AVERAGE(AP125:AQ125)</f>
        <v>23.5</v>
      </c>
      <c r="AR126" s="34">
        <f t="shared" ref="AR126" si="1093">+AVERAGE(AQ125:AR125)</f>
        <v>24.5</v>
      </c>
      <c r="AS126" s="34">
        <f t="shared" ref="AS126" si="1094">+(AS125+AP125)/2</f>
        <v>24</v>
      </c>
      <c r="AT126" s="34">
        <f t="shared" ref="AT126" si="1095">+AVERAGE(AS125:AT125)</f>
        <v>25.5</v>
      </c>
      <c r="AU126" s="34">
        <f t="shared" ref="AU126" si="1096">+AVERAGE(AT125:AU125)</f>
        <v>26.5</v>
      </c>
      <c r="AV126" s="34">
        <f t="shared" ref="AV126" si="1097">+(AV125+AS125)/2</f>
        <v>26</v>
      </c>
    </row>
    <row r="127" spans="1:48" outlineLevel="1" x14ac:dyDescent="0.25">
      <c r="O127" s="14"/>
      <c r="Q127" s="18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  <c r="AL127" s="14"/>
      <c r="AM127" s="14"/>
      <c r="AN127" s="14"/>
      <c r="AO127" s="14"/>
      <c r="AP127" s="14"/>
      <c r="AQ127" s="14"/>
      <c r="AR127" s="14"/>
      <c r="AS127" s="14"/>
      <c r="AT127" s="14"/>
      <c r="AU127" s="14"/>
      <c r="AV127" s="14"/>
    </row>
    <row r="128" spans="1:48" outlineLevel="1" x14ac:dyDescent="0.25">
      <c r="A128" s="8" t="s">
        <v>662</v>
      </c>
      <c r="B128" s="8" t="s">
        <v>25</v>
      </c>
      <c r="C128" s="22" t="s">
        <v>28</v>
      </c>
      <c r="D128" s="200">
        <v>5</v>
      </c>
      <c r="E128" s="200">
        <v>5</v>
      </c>
      <c r="F128" s="200">
        <v>5.8</v>
      </c>
      <c r="G128" s="200">
        <v>3.2</v>
      </c>
      <c r="H128" s="201">
        <f>+I128-G128</f>
        <v>3.8</v>
      </c>
      <c r="I128" s="200">
        <v>7</v>
      </c>
      <c r="J128" s="200">
        <v>4.2</v>
      </c>
      <c r="K128" s="17">
        <f>L128-J128</f>
        <v>3.7</v>
      </c>
      <c r="L128" s="362">
        <v>7.9</v>
      </c>
      <c r="M128" s="443">
        <v>4.5999999999999996</v>
      </c>
      <c r="N128" s="17">
        <f>O128-M128</f>
        <v>4.5</v>
      </c>
      <c r="O128" s="362">
        <v>9.1</v>
      </c>
      <c r="P128" s="17">
        <f>(1+P137)*M128</f>
        <v>5.0599999999999996</v>
      </c>
      <c r="Q128" s="17">
        <f>+R128-P128</f>
        <v>5.4049999999999985</v>
      </c>
      <c r="R128" s="17">
        <f>(1+R137)*O128</f>
        <v>10.464999999999998</v>
      </c>
      <c r="S128" s="17">
        <f t="shared" ref="S128" si="1098">(1+S137)*P128</f>
        <v>6.2329999999999988</v>
      </c>
      <c r="T128" s="17">
        <f t="shared" ref="T128" si="1099">+U128-S128</f>
        <v>6.4994166666666651</v>
      </c>
      <c r="U128" s="17">
        <f t="shared" ref="U128:V128" si="1100">(1+U137)*R128</f>
        <v>12.732416666666664</v>
      </c>
      <c r="V128" s="17">
        <f t="shared" si="1100"/>
        <v>7.2510566666666652</v>
      </c>
      <c r="W128" s="17">
        <f t="shared" ref="W128" si="1101">+X128-V128</f>
        <v>7.4548845833333317</v>
      </c>
      <c r="X128" s="17">
        <f t="shared" ref="X128:Y128" si="1102">(1+X137)*U128</f>
        <v>14.705941249999997</v>
      </c>
      <c r="Y128" s="17">
        <f t="shared" si="1102"/>
        <v>8.2318574894736827</v>
      </c>
      <c r="Z128" s="17">
        <f t="shared" ref="Z128" si="1103">+AA128-Y128</f>
        <v>8.3858561230263113</v>
      </c>
      <c r="AA128" s="17">
        <f t="shared" ref="AA128" si="1104">(1+AA137)*X128</f>
        <v>16.617713612499994</v>
      </c>
      <c r="AB128" s="17">
        <f t="shared" ref="AB128" si="1105">(1+AB137)*Y128</f>
        <v>9.194626908894735</v>
      </c>
      <c r="AC128" s="17">
        <f t="shared" ref="AC128" si="1106">+AD128-AB128</f>
        <v>9.3064275796885898</v>
      </c>
      <c r="AD128" s="17">
        <f t="shared" ref="AD128" si="1107">(1+AD137)*AA128</f>
        <v>18.501054488583325</v>
      </c>
      <c r="AE128" s="17">
        <f t="shared" ref="AE128" si="1108">(1+AE137)*AB128</f>
        <v>10.151549190894519</v>
      </c>
      <c r="AF128" s="17">
        <f t="shared" ref="AF128" si="1109">+AG128-AE128</f>
        <v>10.226040824387971</v>
      </c>
      <c r="AG128" s="17">
        <f t="shared" ref="AG128" si="1110">(1+AG137)*AD128</f>
        <v>20.37759001528249</v>
      </c>
      <c r="AH128" s="17">
        <f t="shared" ref="AH128" si="1111">(1+AH137)*AE128</f>
        <v>11.111034324098419</v>
      </c>
      <c r="AI128" s="17">
        <f t="shared" ref="AI128" si="1112">+AJ128-AH128</f>
        <v>11.151482767597702</v>
      </c>
      <c r="AJ128" s="17">
        <f t="shared" ref="AJ128" si="1113">(1+AJ137)*AG128</f>
        <v>22.262517091696122</v>
      </c>
      <c r="AK128" s="17">
        <f t="shared" ref="AK128" si="1114">(1+AK137)*AH128</f>
        <v>12.07928160091271</v>
      </c>
      <c r="AL128" s="17">
        <f t="shared" ref="AL128" si="1115">+AM128-AK128</f>
        <v>12.087917508628527</v>
      </c>
      <c r="AM128" s="17">
        <f t="shared" ref="AM128" si="1116">(1+AM137)*AJ128</f>
        <v>24.167199109541237</v>
      </c>
      <c r="AN128" s="17">
        <f t="shared" ref="AN128" si="1117">(1+AN137)*AK128</f>
        <v>13.061110387448435</v>
      </c>
      <c r="AO128" s="17">
        <f t="shared" ref="AO128" si="1118">+AP128-AN128</f>
        <v>13.039464650856102</v>
      </c>
      <c r="AP128" s="17">
        <f t="shared" ref="AP128" si="1119">(1+AP137)*AM128</f>
        <v>26.100575038304537</v>
      </c>
      <c r="AQ128" s="17">
        <f t="shared" ref="AQ128" si="1120">(1+AQ137)*AN128</f>
        <v>14.060437205464837</v>
      </c>
      <c r="AR128" s="17">
        <f t="shared" ref="AR128" si="1121">+AS128-AQ128</f>
        <v>14.009544858457225</v>
      </c>
      <c r="AS128" s="17">
        <f t="shared" ref="AS128" si="1122">(1+AS137)*AP128</f>
        <v>28.069982063922062</v>
      </c>
      <c r="AT128" s="17">
        <f t="shared" ref="AT128" si="1123">(1+AT137)*AQ128</f>
        <v>15.08056679845707</v>
      </c>
      <c r="AU128" s="17">
        <f t="shared" ref="AU128" si="1124">+AV128-AT128</f>
        <v>15.001097313379404</v>
      </c>
      <c r="AV128" s="17">
        <f t="shared" ref="AV128" si="1125">(1+AV137)*AS128</f>
        <v>30.081664111836474</v>
      </c>
    </row>
    <row r="129" spans="1:48" outlineLevel="1" x14ac:dyDescent="0.25">
      <c r="A129" s="8" t="s">
        <v>663</v>
      </c>
      <c r="B129" s="8" t="s">
        <v>39</v>
      </c>
      <c r="C129" s="22" t="s">
        <v>29</v>
      </c>
      <c r="D129" s="196"/>
      <c r="E129" s="197">
        <f>+E128/D128-1</f>
        <v>0</v>
      </c>
      <c r="F129" s="197">
        <f>+F128/E128-1</f>
        <v>0.15999999999999992</v>
      </c>
      <c r="G129" s="198"/>
      <c r="H129" s="17"/>
      <c r="I129" s="197">
        <f t="shared" ref="I129:L129" si="1126">+I128/F128-1</f>
        <v>0.2068965517241379</v>
      </c>
      <c r="J129" s="320">
        <f t="shared" si="1126"/>
        <v>0.3125</v>
      </c>
      <c r="K129" s="197">
        <f t="shared" si="1126"/>
        <v>-2.631578947368407E-2</v>
      </c>
      <c r="L129" s="370">
        <f t="shared" si="1126"/>
        <v>0.12857142857142856</v>
      </c>
      <c r="M129" s="320">
        <f>+M128/J128-1</f>
        <v>9.5238095238095122E-2</v>
      </c>
      <c r="N129" s="197">
        <f t="shared" ref="N129" si="1127">+N128/K128-1</f>
        <v>0.21621621621621623</v>
      </c>
      <c r="O129" s="370">
        <f>+O128/L128-1</f>
        <v>0.15189873417721511</v>
      </c>
      <c r="P129" s="35">
        <f>+P128/M128-1</f>
        <v>0.10000000000000009</v>
      </c>
      <c r="Q129" s="108">
        <f>+Q128/N128-1</f>
        <v>0.2011111111111108</v>
      </c>
      <c r="R129" s="108">
        <f>+R128/O128-1</f>
        <v>0.14999999999999991</v>
      </c>
      <c r="S129" s="35">
        <f t="shared" ref="S129:AA129" si="1128">+S128/P128-1</f>
        <v>0.2318181818181817</v>
      </c>
      <c r="T129" s="108">
        <f t="shared" si="1128"/>
        <v>0.2024822695035462</v>
      </c>
      <c r="U129" s="108">
        <f t="shared" si="1128"/>
        <v>0.21666666666666656</v>
      </c>
      <c r="V129" s="35">
        <f t="shared" si="1128"/>
        <v>0.16333333333333333</v>
      </c>
      <c r="W129" s="108">
        <f t="shared" si="1128"/>
        <v>0.14700825715128274</v>
      </c>
      <c r="X129" s="108">
        <f t="shared" si="1128"/>
        <v>0.15500000000000003</v>
      </c>
      <c r="Y129" s="35">
        <f t="shared" si="1128"/>
        <v>0.13526315789473697</v>
      </c>
      <c r="Z129" s="108">
        <f t="shared" si="1128"/>
        <v>0.12488074487086309</v>
      </c>
      <c r="AA129" s="108">
        <f t="shared" si="1128"/>
        <v>0.12999999999999989</v>
      </c>
      <c r="AB129" s="35">
        <f t="shared" ref="AB129" si="1129">+AB128/Y128-1</f>
        <v>0.1169565217391304</v>
      </c>
      <c r="AC129" s="108">
        <f t="shared" ref="AC129" si="1130">+AC128/Z128-1</f>
        <v>0.10977668149284447</v>
      </c>
      <c r="AD129" s="108">
        <f t="shared" ref="AD129" si="1131">+AD128/AA128-1</f>
        <v>0.11333333333333329</v>
      </c>
      <c r="AE129" s="35">
        <f t="shared" ref="AE129" si="1132">+AE128/AB128-1</f>
        <v>0.10407407407407399</v>
      </c>
      <c r="AF129" s="108">
        <f t="shared" ref="AF129" si="1133">+AF128/AC128-1</f>
        <v>9.8814849933013038E-2</v>
      </c>
      <c r="AG129" s="108">
        <f t="shared" ref="AG129" si="1134">+AG128/AD128-1</f>
        <v>0.10142857142857142</v>
      </c>
      <c r="AH129" s="35">
        <f t="shared" ref="AH129" si="1135">+AH128/AE128-1</f>
        <v>9.4516129032258034E-2</v>
      </c>
      <c r="AI129" s="108">
        <f t="shared" ref="AI129" si="1136">+AI128/AF128-1</f>
        <v>9.0498557467388219E-2</v>
      </c>
      <c r="AJ129" s="108">
        <f t="shared" ref="AJ129" si="1137">+AJ128/AG128-1</f>
        <v>9.2500000000000027E-2</v>
      </c>
      <c r="AK129" s="35">
        <f t="shared" ref="AK129" si="1138">+AK128/AH128-1</f>
        <v>8.7142857142857189E-2</v>
      </c>
      <c r="AL129" s="108">
        <f t="shared" ref="AL129" si="1139">+AL128/AI128-1</f>
        <v>8.397401139799765E-2</v>
      </c>
      <c r="AM129" s="108">
        <f t="shared" ref="AM129" si="1140">+AM128/AJ128-1</f>
        <v>8.5555555555555607E-2</v>
      </c>
      <c r="AN129" s="35">
        <f t="shared" ref="AN129" si="1141">+AN128/AK128-1</f>
        <v>8.1282051282051349E-2</v>
      </c>
      <c r="AO129" s="108">
        <f t="shared" ref="AO129" si="1142">+AO128/AL128-1</f>
        <v>7.8718864647144393E-2</v>
      </c>
      <c r="AP129" s="108">
        <f t="shared" ref="AP129" si="1143">+AP128/AM128-1</f>
        <v>8.0000000000000071E-2</v>
      </c>
      <c r="AQ129" s="35">
        <f t="shared" ref="AQ129" si="1144">+AQ128/AN128-1</f>
        <v>7.6511627906976631E-2</v>
      </c>
      <c r="AR129" s="108">
        <f t="shared" ref="AR129" si="1145">+AR128/AO128-1</f>
        <v>7.439570822698105E-2</v>
      </c>
      <c r="AS129" s="108">
        <f t="shared" ref="AS129" si="1146">+AS128/AP128-1</f>
        <v>7.5454545454545441E-2</v>
      </c>
      <c r="AT129" s="35">
        <f t="shared" ref="AT129" si="1147">+AT128/AQ128-1</f>
        <v>7.2553191489361568E-2</v>
      </c>
      <c r="AU129" s="108">
        <f t="shared" ref="AU129" si="1148">+AU128/AR128-1</f>
        <v>7.0776921373259416E-2</v>
      </c>
      <c r="AV129" s="108">
        <f t="shared" ref="AV129" si="1149">+AV128/AS128-1</f>
        <v>7.1666666666666545E-2</v>
      </c>
    </row>
    <row r="130" spans="1:48" outlineLevel="1" x14ac:dyDescent="0.25">
      <c r="D130" s="196"/>
      <c r="E130" s="197"/>
      <c r="F130" s="197"/>
      <c r="G130" s="198"/>
      <c r="H130" s="17"/>
      <c r="I130" s="197"/>
      <c r="J130" s="320"/>
      <c r="K130" s="197"/>
      <c r="L130" s="364"/>
      <c r="M130" s="320"/>
      <c r="N130" s="35"/>
      <c r="O130" s="35"/>
      <c r="P130" s="35"/>
      <c r="Q130" s="108"/>
      <c r="R130" s="108"/>
      <c r="S130" s="35"/>
      <c r="T130" s="108"/>
      <c r="U130" s="108"/>
      <c r="V130" s="35"/>
      <c r="W130" s="108"/>
      <c r="X130" s="108"/>
      <c r="Y130" s="35"/>
      <c r="Z130" s="108"/>
      <c r="AA130" s="108"/>
      <c r="AB130" s="35"/>
      <c r="AC130" s="108"/>
      <c r="AD130" s="108"/>
      <c r="AE130" s="35"/>
      <c r="AF130" s="108"/>
      <c r="AG130" s="108"/>
      <c r="AH130" s="35"/>
      <c r="AI130" s="108"/>
      <c r="AJ130" s="108"/>
      <c r="AK130" s="35"/>
      <c r="AL130" s="108"/>
      <c r="AM130" s="108"/>
      <c r="AN130" s="35"/>
      <c r="AO130" s="108"/>
      <c r="AP130" s="108"/>
      <c r="AQ130" s="35"/>
      <c r="AR130" s="108"/>
      <c r="AS130" s="108"/>
      <c r="AT130" s="35"/>
      <c r="AU130" s="108"/>
      <c r="AV130" s="108"/>
    </row>
    <row r="131" spans="1:48" outlineLevel="1" x14ac:dyDescent="0.25">
      <c r="B131" s="8" t="s">
        <v>361</v>
      </c>
      <c r="C131" s="22" t="s">
        <v>28</v>
      </c>
      <c r="G131" s="19">
        <f t="shared" ref="G131:AA131" si="1150">G128/G126</f>
        <v>1.28</v>
      </c>
      <c r="H131" s="19">
        <f t="shared" si="1150"/>
        <v>1.2666666666666666</v>
      </c>
      <c r="I131" s="19">
        <f t="shared" si="1150"/>
        <v>2.3333333333333335</v>
      </c>
      <c r="J131" s="19">
        <f t="shared" si="1150"/>
        <v>1.05</v>
      </c>
      <c r="K131" s="19">
        <f t="shared" si="1150"/>
        <v>0.8222222222222223</v>
      </c>
      <c r="L131" s="309">
        <f t="shared" si="1150"/>
        <v>1.7555555555555555</v>
      </c>
      <c r="M131" s="19">
        <f t="shared" ref="M131" si="1151">M128/M126</f>
        <v>0.91999999999999993</v>
      </c>
      <c r="N131" s="23">
        <f t="shared" si="1150"/>
        <v>0.9</v>
      </c>
      <c r="O131" s="23">
        <f>O128/O126</f>
        <v>1.8199999999999998</v>
      </c>
      <c r="P131" s="23">
        <f t="shared" si="1150"/>
        <v>0.91999999999999993</v>
      </c>
      <c r="Q131" s="23">
        <f t="shared" si="1150"/>
        <v>0.83153846153846134</v>
      </c>
      <c r="R131" s="23">
        <f t="shared" si="1150"/>
        <v>1.7441666666666664</v>
      </c>
      <c r="S131" s="23">
        <f t="shared" si="1150"/>
        <v>0.83106666666666651</v>
      </c>
      <c r="T131" s="23">
        <f t="shared" si="1150"/>
        <v>0.76463725490196055</v>
      </c>
      <c r="U131" s="23">
        <f t="shared" si="1150"/>
        <v>1.591552083333333</v>
      </c>
      <c r="V131" s="23">
        <f t="shared" si="1150"/>
        <v>0.76326912280701742</v>
      </c>
      <c r="W131" s="23">
        <f t="shared" si="1150"/>
        <v>0.70998900793650777</v>
      </c>
      <c r="X131" s="23">
        <f t="shared" si="1150"/>
        <v>1.4705941249999996</v>
      </c>
      <c r="Y131" s="23">
        <f t="shared" si="1150"/>
        <v>0.71581369473684198</v>
      </c>
      <c r="Z131" s="23">
        <f t="shared" si="1150"/>
        <v>0.6708684898421049</v>
      </c>
      <c r="AA131" s="23">
        <f t="shared" si="1150"/>
        <v>1.3848094677083329</v>
      </c>
      <c r="AB131" s="23">
        <f t="shared" ref="AB131:AP131" si="1152">AB128/AB126</f>
        <v>0.68108347473294328</v>
      </c>
      <c r="AC131" s="23">
        <f t="shared" si="1152"/>
        <v>0.64182259170266132</v>
      </c>
      <c r="AD131" s="23">
        <f t="shared" si="1152"/>
        <v>1.321503892041666</v>
      </c>
      <c r="AE131" s="23">
        <f t="shared" si="1152"/>
        <v>0.6549386574770657</v>
      </c>
      <c r="AF131" s="23">
        <f t="shared" si="1152"/>
        <v>0.61976004996290734</v>
      </c>
      <c r="AG131" s="23">
        <f t="shared" si="1152"/>
        <v>1.2735993759551556</v>
      </c>
      <c r="AH131" s="23">
        <f t="shared" si="1152"/>
        <v>0.6349162470913382</v>
      </c>
      <c r="AI131" s="23">
        <f t="shared" si="1152"/>
        <v>0.60278285230257855</v>
      </c>
      <c r="AJ131" s="23">
        <f t="shared" si="1152"/>
        <v>1.236806505094229</v>
      </c>
      <c r="AK131" s="23">
        <f t="shared" si="1152"/>
        <v>0.61945033850834408</v>
      </c>
      <c r="AL131" s="23">
        <f t="shared" si="1152"/>
        <v>0.58965451261602575</v>
      </c>
      <c r="AM131" s="23">
        <f t="shared" si="1152"/>
        <v>1.2083599554770619</v>
      </c>
      <c r="AN131" s="23">
        <f t="shared" si="1152"/>
        <v>0.60749350639295052</v>
      </c>
      <c r="AO131" s="23">
        <f t="shared" si="1152"/>
        <v>0.57953176226027125</v>
      </c>
      <c r="AP131" s="23">
        <f t="shared" si="1152"/>
        <v>1.186389774468388</v>
      </c>
      <c r="AQ131" s="23">
        <f t="shared" ref="AQ131:AS131" si="1153">AQ128/AQ126</f>
        <v>0.59831647682829092</v>
      </c>
      <c r="AR131" s="23">
        <f t="shared" si="1153"/>
        <v>0.57181815748804998</v>
      </c>
      <c r="AS131" s="23">
        <f t="shared" si="1153"/>
        <v>1.1695825859967526</v>
      </c>
      <c r="AT131" s="23">
        <f t="shared" ref="AT131:AV131" si="1154">AT128/AT126</f>
        <v>0.5913947764100812</v>
      </c>
      <c r="AU131" s="23">
        <f t="shared" si="1154"/>
        <v>0.56607914390110958</v>
      </c>
      <c r="AV131" s="23">
        <f t="shared" si="1154"/>
        <v>1.1569870812244798</v>
      </c>
    </row>
    <row r="132" spans="1:48" outlineLevel="1" x14ac:dyDescent="0.25">
      <c r="D132" s="196"/>
      <c r="E132" s="197"/>
      <c r="F132" s="197"/>
      <c r="G132" s="198"/>
      <c r="H132" s="17"/>
      <c r="I132" s="197"/>
      <c r="J132" s="320"/>
      <c r="K132" s="197"/>
      <c r="L132" s="364"/>
      <c r="M132" s="320"/>
      <c r="N132" s="35"/>
      <c r="O132" s="35"/>
      <c r="P132" s="35"/>
      <c r="Q132" s="108"/>
      <c r="R132" s="108"/>
      <c r="S132" s="108"/>
      <c r="T132" s="108"/>
      <c r="U132" s="108"/>
      <c r="V132" s="108"/>
      <c r="W132" s="108"/>
      <c r="X132" s="108"/>
      <c r="Y132" s="108"/>
      <c r="Z132" s="108"/>
      <c r="AA132" s="108"/>
      <c r="AB132" s="108"/>
      <c r="AC132" s="108"/>
      <c r="AD132" s="108"/>
      <c r="AE132" s="108"/>
      <c r="AF132" s="108"/>
      <c r="AG132" s="108"/>
      <c r="AH132" s="108"/>
      <c r="AI132" s="108"/>
      <c r="AJ132" s="108"/>
      <c r="AK132" s="108"/>
      <c r="AL132" s="108"/>
      <c r="AM132" s="108"/>
      <c r="AN132" s="108"/>
      <c r="AO132" s="108"/>
      <c r="AP132" s="108"/>
      <c r="AQ132" s="108"/>
      <c r="AR132" s="108"/>
      <c r="AS132" s="108"/>
      <c r="AT132" s="108"/>
      <c r="AU132" s="108"/>
      <c r="AV132" s="108"/>
    </row>
    <row r="133" spans="1:48" outlineLevel="1" x14ac:dyDescent="0.25">
      <c r="B133" s="48" t="s">
        <v>364</v>
      </c>
      <c r="D133" s="200"/>
      <c r="E133" s="200"/>
      <c r="F133" s="200"/>
      <c r="G133" s="200"/>
      <c r="H133" s="201"/>
      <c r="I133" s="200"/>
      <c r="J133" s="200"/>
      <c r="K133" s="30"/>
      <c r="L133" s="366"/>
      <c r="M133" s="200"/>
      <c r="N133" s="39"/>
      <c r="O133" s="23"/>
      <c r="P133" s="35"/>
      <c r="Q133" s="108"/>
      <c r="R133" s="108"/>
      <c r="S133" s="108"/>
      <c r="T133" s="108"/>
      <c r="U133" s="108"/>
      <c r="V133" s="108"/>
      <c r="W133" s="108"/>
      <c r="X133" s="108"/>
      <c r="Y133" s="108"/>
      <c r="Z133" s="108"/>
      <c r="AA133" s="108"/>
      <c r="AB133" s="108"/>
      <c r="AC133" s="108"/>
      <c r="AD133" s="108"/>
      <c r="AE133" s="108"/>
      <c r="AF133" s="108"/>
      <c r="AG133" s="108"/>
      <c r="AH133" s="108"/>
      <c r="AI133" s="108"/>
      <c r="AJ133" s="108"/>
      <c r="AK133" s="108"/>
      <c r="AL133" s="108"/>
      <c r="AM133" s="108"/>
      <c r="AN133" s="108"/>
      <c r="AO133" s="108"/>
      <c r="AP133" s="108"/>
      <c r="AQ133" s="108"/>
      <c r="AR133" s="108"/>
      <c r="AS133" s="108"/>
      <c r="AT133" s="108"/>
      <c r="AU133" s="108"/>
      <c r="AV133" s="108"/>
    </row>
    <row r="134" spans="1:48" outlineLevel="1" x14ac:dyDescent="0.25">
      <c r="B134" s="11" t="s">
        <v>365</v>
      </c>
      <c r="C134" s="22" t="s">
        <v>29</v>
      </c>
      <c r="F134" s="199"/>
      <c r="G134" s="39"/>
      <c r="H134" s="39"/>
      <c r="I134" s="39"/>
      <c r="J134" s="39"/>
      <c r="K134" s="30"/>
      <c r="L134" s="355"/>
      <c r="M134" s="39"/>
      <c r="N134" s="39"/>
      <c r="O134" s="39"/>
      <c r="P134" s="208">
        <v>0.05</v>
      </c>
      <c r="Q134" s="209">
        <f>+(2*R134)-P134</f>
        <v>0.05</v>
      </c>
      <c r="R134" s="208">
        <f>+P134</f>
        <v>0.05</v>
      </c>
      <c r="S134" s="208">
        <f>+R134</f>
        <v>0.05</v>
      </c>
      <c r="T134" s="209">
        <f>+(2*U134)-S134</f>
        <v>0.05</v>
      </c>
      <c r="U134" s="208">
        <f>+S134</f>
        <v>0.05</v>
      </c>
      <c r="V134" s="208">
        <v>0.03</v>
      </c>
      <c r="W134" s="209">
        <f t="shared" ref="W134" si="1155">+(2*X134)-V134</f>
        <v>0.03</v>
      </c>
      <c r="X134" s="208">
        <f t="shared" ref="X134" si="1156">+V134</f>
        <v>0.03</v>
      </c>
      <c r="Y134" s="208">
        <f t="shared" ref="Y134" si="1157">+X134</f>
        <v>0.03</v>
      </c>
      <c r="Z134" s="209">
        <f t="shared" ref="Z134" si="1158">+(2*AA134)-Y134</f>
        <v>0.03</v>
      </c>
      <c r="AA134" s="208">
        <f t="shared" ref="AA134" si="1159">+Y134</f>
        <v>0.03</v>
      </c>
      <c r="AB134" s="208">
        <f t="shared" ref="AB134" si="1160">+AA134</f>
        <v>0.03</v>
      </c>
      <c r="AC134" s="209">
        <f t="shared" ref="AC134" si="1161">+(2*AD134)-AB134</f>
        <v>0.03</v>
      </c>
      <c r="AD134" s="208">
        <f t="shared" ref="AD134" si="1162">+AB134</f>
        <v>0.03</v>
      </c>
      <c r="AE134" s="208">
        <f t="shared" ref="AE134" si="1163">+AD134</f>
        <v>0.03</v>
      </c>
      <c r="AF134" s="209">
        <f t="shared" ref="AF134" si="1164">+(2*AG134)-AE134</f>
        <v>0.03</v>
      </c>
      <c r="AG134" s="208">
        <f t="shared" ref="AG134" si="1165">+AE134</f>
        <v>0.03</v>
      </c>
      <c r="AH134" s="208">
        <f t="shared" ref="AH134" si="1166">+AG134</f>
        <v>0.03</v>
      </c>
      <c r="AI134" s="209">
        <f t="shared" ref="AI134" si="1167">+(2*AJ134)-AH134</f>
        <v>0.03</v>
      </c>
      <c r="AJ134" s="208">
        <f t="shared" ref="AJ134" si="1168">+AH134</f>
        <v>0.03</v>
      </c>
      <c r="AK134" s="208">
        <f t="shared" ref="AK134" si="1169">+AJ134</f>
        <v>0.03</v>
      </c>
      <c r="AL134" s="209">
        <f t="shared" ref="AL134" si="1170">+(2*AM134)-AK134</f>
        <v>0.03</v>
      </c>
      <c r="AM134" s="208">
        <f t="shared" ref="AM134" si="1171">+AK134</f>
        <v>0.03</v>
      </c>
      <c r="AN134" s="208">
        <f t="shared" ref="AN134" si="1172">+AM134</f>
        <v>0.03</v>
      </c>
      <c r="AO134" s="209">
        <f t="shared" ref="AO134" si="1173">+(2*AP134)-AN134</f>
        <v>0.03</v>
      </c>
      <c r="AP134" s="208">
        <f t="shared" ref="AP134" si="1174">+AN134</f>
        <v>0.03</v>
      </c>
      <c r="AQ134" s="208">
        <f t="shared" ref="AQ134" si="1175">+AP134</f>
        <v>0.03</v>
      </c>
      <c r="AR134" s="209">
        <f t="shared" ref="AR134" si="1176">+(2*AS134)-AQ134</f>
        <v>0.03</v>
      </c>
      <c r="AS134" s="208">
        <f t="shared" ref="AS134" si="1177">+AQ134</f>
        <v>0.03</v>
      </c>
      <c r="AT134" s="208">
        <f t="shared" ref="AT134" si="1178">+AS134</f>
        <v>0.03</v>
      </c>
      <c r="AU134" s="209">
        <f t="shared" ref="AU134" si="1179">+(2*AV134)-AT134</f>
        <v>0.03</v>
      </c>
      <c r="AV134" s="208">
        <f t="shared" ref="AV134" si="1180">+AT134</f>
        <v>0.03</v>
      </c>
    </row>
    <row r="135" spans="1:48" outlineLevel="1" x14ac:dyDescent="0.25">
      <c r="B135" s="11" t="s">
        <v>366</v>
      </c>
      <c r="C135" s="22" t="s">
        <v>29</v>
      </c>
      <c r="F135" s="199"/>
      <c r="G135" s="39"/>
      <c r="H135" s="39"/>
      <c r="I135" s="39"/>
      <c r="J135" s="39"/>
      <c r="K135" s="30"/>
      <c r="L135" s="355"/>
      <c r="M135" s="39"/>
      <c r="N135" s="39"/>
      <c r="O135" s="39"/>
      <c r="P135" s="108">
        <f>P126/M126-1</f>
        <v>0.10000000000000009</v>
      </c>
      <c r="Q135" s="108">
        <f>Q126/N126-1</f>
        <v>0.30000000000000004</v>
      </c>
      <c r="R135" s="108">
        <f>R126/O126-1</f>
        <v>0.19999999999999996</v>
      </c>
      <c r="S135" s="108">
        <f t="shared" ref="S135:AA135" si="1181">S126/P126-1</f>
        <v>0.36363636363636354</v>
      </c>
      <c r="T135" s="108">
        <f t="shared" si="1181"/>
        <v>0.30769230769230771</v>
      </c>
      <c r="U135" s="108">
        <f t="shared" si="1181"/>
        <v>0.33333333333333326</v>
      </c>
      <c r="V135" s="108">
        <f t="shared" si="1181"/>
        <v>0.26666666666666661</v>
      </c>
      <c r="W135" s="108">
        <f t="shared" si="1181"/>
        <v>0.23529411764705888</v>
      </c>
      <c r="X135" s="108">
        <f t="shared" si="1181"/>
        <v>0.25</v>
      </c>
      <c r="Y135" s="108">
        <f t="shared" si="1181"/>
        <v>0.21052631578947367</v>
      </c>
      <c r="Z135" s="108">
        <f t="shared" si="1181"/>
        <v>0.19047619047619047</v>
      </c>
      <c r="AA135" s="108">
        <f t="shared" si="1181"/>
        <v>0.19999999999999996</v>
      </c>
      <c r="AB135" s="108">
        <f t="shared" ref="AB135" si="1182">AB126/Y126-1</f>
        <v>0.17391304347826098</v>
      </c>
      <c r="AC135" s="108">
        <f t="shared" ref="AC135" si="1183">AC126/Z126-1</f>
        <v>0.15999999999999992</v>
      </c>
      <c r="AD135" s="108">
        <f t="shared" ref="AD135" si="1184">AD126/AA126-1</f>
        <v>0.16666666666666674</v>
      </c>
      <c r="AE135" s="108">
        <f t="shared" ref="AE135" si="1185">AE126/AB126-1</f>
        <v>0.14814814814814814</v>
      </c>
      <c r="AF135" s="108">
        <f t="shared" ref="AF135" si="1186">AF126/AC126-1</f>
        <v>0.13793103448275867</v>
      </c>
      <c r="AG135" s="108">
        <f t="shared" ref="AG135" si="1187">AG126/AD126-1</f>
        <v>0.14285714285714279</v>
      </c>
      <c r="AH135" s="108">
        <f t="shared" ref="AH135" si="1188">AH126/AE126-1</f>
        <v>0.12903225806451624</v>
      </c>
      <c r="AI135" s="108">
        <f t="shared" ref="AI135" si="1189">AI126/AF126-1</f>
        <v>0.1212121212121211</v>
      </c>
      <c r="AJ135" s="108">
        <f t="shared" ref="AJ135" si="1190">AJ126/AG126-1</f>
        <v>0.125</v>
      </c>
      <c r="AK135" s="108">
        <f t="shared" ref="AK135" si="1191">AK126/AH126-1</f>
        <v>0.11428571428571432</v>
      </c>
      <c r="AL135" s="108">
        <f t="shared" ref="AL135" si="1192">AL126/AI126-1</f>
        <v>0.10810810810810811</v>
      </c>
      <c r="AM135" s="108">
        <f t="shared" ref="AM135" si="1193">AM126/AJ126-1</f>
        <v>0.11111111111111116</v>
      </c>
      <c r="AN135" s="108">
        <f t="shared" ref="AN135" si="1194">AN126/AK126-1</f>
        <v>0.10256410256410264</v>
      </c>
      <c r="AO135" s="108">
        <f t="shared" ref="AO135" si="1195">AO126/AL126-1</f>
        <v>9.7560975609756184E-2</v>
      </c>
      <c r="AP135" s="108">
        <f t="shared" ref="AP135" si="1196">AP126/AM126-1</f>
        <v>0.10000000000000009</v>
      </c>
      <c r="AQ135" s="108">
        <f t="shared" ref="AQ135" si="1197">AQ126/AN126-1</f>
        <v>9.3023255813953432E-2</v>
      </c>
      <c r="AR135" s="108">
        <f t="shared" ref="AR135" si="1198">AR126/AO126-1</f>
        <v>8.8888888888888795E-2</v>
      </c>
      <c r="AS135" s="108">
        <f t="shared" ref="AS135" si="1199">AS126/AP126-1</f>
        <v>9.0909090909090828E-2</v>
      </c>
      <c r="AT135" s="108">
        <f t="shared" ref="AT135" si="1200">AT126/AQ126-1</f>
        <v>8.5106382978723305E-2</v>
      </c>
      <c r="AU135" s="108">
        <f t="shared" ref="AU135" si="1201">AU126/AR126-1</f>
        <v>8.163265306122458E-2</v>
      </c>
      <c r="AV135" s="108">
        <f t="shared" ref="AV135" si="1202">AV126/AS126-1</f>
        <v>8.3333333333333259E-2</v>
      </c>
    </row>
    <row r="136" spans="1:48" outlineLevel="1" x14ac:dyDescent="0.25">
      <c r="B136" s="11" t="s">
        <v>367</v>
      </c>
      <c r="C136" s="22" t="s">
        <v>29</v>
      </c>
      <c r="F136" s="199"/>
      <c r="G136" s="39"/>
      <c r="H136" s="39"/>
      <c r="I136" s="39"/>
      <c r="J136" s="39"/>
      <c r="K136" s="30"/>
      <c r="L136" s="355"/>
      <c r="M136" s="39"/>
      <c r="N136" s="39"/>
      <c r="O136" s="39"/>
      <c r="P136" s="208">
        <f>-50%*P135</f>
        <v>-5.0000000000000044E-2</v>
      </c>
      <c r="Q136" s="209">
        <f>+Q137-Q134-Q135</f>
        <v>-0.14888888888888924</v>
      </c>
      <c r="R136" s="208">
        <f>-50%*R135</f>
        <v>-9.9999999999999978E-2</v>
      </c>
      <c r="S136" s="208">
        <f t="shared" ref="S136" si="1203">-50%*S135</f>
        <v>-0.18181818181818177</v>
      </c>
      <c r="T136" s="209">
        <f t="shared" ref="T136" si="1204">+T137-T134-T135</f>
        <v>-0.1552100381887615</v>
      </c>
      <c r="U136" s="208">
        <f t="shared" ref="U136:V136" si="1205">-50%*U135</f>
        <v>-0.16666666666666663</v>
      </c>
      <c r="V136" s="208">
        <f t="shared" si="1205"/>
        <v>-0.1333333333333333</v>
      </c>
      <c r="W136" s="209">
        <f t="shared" ref="W136" si="1206">+W137-W134-W135</f>
        <v>-0.11828586049577614</v>
      </c>
      <c r="X136" s="208">
        <f t="shared" ref="X136:Y136" si="1207">-50%*X135</f>
        <v>-0.125</v>
      </c>
      <c r="Y136" s="208">
        <f t="shared" si="1207"/>
        <v>-0.10526315789473684</v>
      </c>
      <c r="Z136" s="209">
        <f t="shared" ref="Z136" si="1208">+Z137-Z134-Z135</f>
        <v>-9.5595445605327373E-2</v>
      </c>
      <c r="AA136" s="208">
        <f t="shared" ref="AA136:AB136" si="1209">-50%*AA135</f>
        <v>-9.9999999999999978E-2</v>
      </c>
      <c r="AB136" s="208">
        <f t="shared" si="1209"/>
        <v>-8.6956521739130488E-2</v>
      </c>
      <c r="AC136" s="209">
        <f t="shared" ref="AC136:AR136" si="1210">+AC137-AC134-AC135</f>
        <v>-8.0223318507155444E-2</v>
      </c>
      <c r="AD136" s="208">
        <f t="shared" ref="AD136:AE136" si="1211">-50%*AD135</f>
        <v>-8.333333333333337E-2</v>
      </c>
      <c r="AE136" s="208">
        <f t="shared" si="1211"/>
        <v>-7.407407407407407E-2</v>
      </c>
      <c r="AF136" s="209">
        <f t="shared" si="1210"/>
        <v>-6.9116184549745635E-2</v>
      </c>
      <c r="AG136" s="208">
        <f t="shared" ref="AG136:AH136" si="1212">-50%*AG135</f>
        <v>-7.1428571428571397E-2</v>
      </c>
      <c r="AH136" s="208">
        <f t="shared" si="1212"/>
        <v>-6.4516129032258118E-2</v>
      </c>
      <c r="AI136" s="209">
        <f t="shared" si="1210"/>
        <v>-6.0713563744732885E-2</v>
      </c>
      <c r="AJ136" s="208">
        <f t="shared" ref="AJ136:AK136" si="1213">-50%*AJ135</f>
        <v>-6.25E-2</v>
      </c>
      <c r="AK136" s="208">
        <f t="shared" si="1213"/>
        <v>-5.7142857142857162E-2</v>
      </c>
      <c r="AL136" s="209">
        <f t="shared" si="1210"/>
        <v>-5.4134096710110463E-2</v>
      </c>
      <c r="AM136" s="208">
        <f t="shared" ref="AM136:AQ136" si="1214">-50%*AM135</f>
        <v>-5.555555555555558E-2</v>
      </c>
      <c r="AN136" s="208">
        <f t="shared" si="1214"/>
        <v>-5.1282051282051322E-2</v>
      </c>
      <c r="AO136" s="209">
        <f t="shared" si="1210"/>
        <v>-4.884211096261179E-2</v>
      </c>
      <c r="AP136" s="208">
        <f t="shared" ref="AP136" si="1215">-50%*AP135</f>
        <v>-5.0000000000000044E-2</v>
      </c>
      <c r="AQ136" s="208">
        <f t="shared" si="1214"/>
        <v>-4.6511627906976716E-2</v>
      </c>
      <c r="AR136" s="209">
        <f t="shared" si="1210"/>
        <v>-4.4493180661907744E-2</v>
      </c>
      <c r="AS136" s="208">
        <f t="shared" ref="AS136:AT136" si="1216">-50%*AS135</f>
        <v>-4.5454545454545414E-2</v>
      </c>
      <c r="AT136" s="208">
        <f t="shared" si="1216"/>
        <v>-4.2553191489361653E-2</v>
      </c>
      <c r="AU136" s="209">
        <f t="shared" ref="AU136" si="1217">+AU137-AU134-AU135</f>
        <v>-4.0855731687965163E-2</v>
      </c>
      <c r="AV136" s="208">
        <f t="shared" ref="AV136" si="1218">-50%*AV135</f>
        <v>-4.166666666666663E-2</v>
      </c>
    </row>
    <row r="137" spans="1:48" outlineLevel="1" x14ac:dyDescent="0.25">
      <c r="B137" s="11" t="s">
        <v>368</v>
      </c>
      <c r="C137" s="22" t="s">
        <v>29</v>
      </c>
      <c r="F137" s="199"/>
      <c r="G137" s="39"/>
      <c r="H137" s="39"/>
      <c r="I137" s="39"/>
      <c r="J137" s="39"/>
      <c r="K137" s="30"/>
      <c r="L137" s="355"/>
      <c r="M137" s="39"/>
      <c r="N137" s="39"/>
      <c r="O137" s="39"/>
      <c r="P137" s="108">
        <f>+P134+P135+P136</f>
        <v>0.10000000000000003</v>
      </c>
      <c r="Q137" s="108">
        <f>Q128/N128-1</f>
        <v>0.2011111111111108</v>
      </c>
      <c r="R137" s="108">
        <f>+R134+R135+R136</f>
        <v>0.14999999999999997</v>
      </c>
      <c r="S137" s="108">
        <f t="shared" ref="S137" si="1219">+S134+S135+S136</f>
        <v>0.23181818181818176</v>
      </c>
      <c r="T137" s="108">
        <f t="shared" ref="T137" si="1220">T128/Q128-1</f>
        <v>0.2024822695035462</v>
      </c>
      <c r="U137" s="108">
        <f t="shared" ref="U137:V137" si="1221">+U134+U135+U136</f>
        <v>0.21666666666666662</v>
      </c>
      <c r="V137" s="108">
        <f t="shared" si="1221"/>
        <v>0.16333333333333333</v>
      </c>
      <c r="W137" s="108">
        <f t="shared" ref="W137" si="1222">W128/T128-1</f>
        <v>0.14700825715128274</v>
      </c>
      <c r="X137" s="108">
        <f t="shared" ref="X137:Y137" si="1223">+X134+X135+X136</f>
        <v>0.15500000000000003</v>
      </c>
      <c r="Y137" s="108">
        <f t="shared" si="1223"/>
        <v>0.13526315789473684</v>
      </c>
      <c r="Z137" s="108">
        <f t="shared" ref="Z137" si="1224">Z128/W128-1</f>
        <v>0.12488074487086309</v>
      </c>
      <c r="AA137" s="108">
        <f t="shared" ref="AA137:AB137" si="1225">+AA134+AA135+AA136</f>
        <v>0.12999999999999998</v>
      </c>
      <c r="AB137" s="108">
        <f t="shared" si="1225"/>
        <v>0.11695652173913049</v>
      </c>
      <c r="AC137" s="108">
        <f t="shared" ref="AC137" si="1226">AC128/Z128-1</f>
        <v>0.10977668149284447</v>
      </c>
      <c r="AD137" s="108">
        <f t="shared" ref="AD137:AE137" si="1227">+AD134+AD135+AD136</f>
        <v>0.11333333333333337</v>
      </c>
      <c r="AE137" s="108">
        <f t="shared" si="1227"/>
        <v>0.10407407407407407</v>
      </c>
      <c r="AF137" s="108">
        <f t="shared" ref="AF137" si="1228">AF128/AC128-1</f>
        <v>9.8814849933013038E-2</v>
      </c>
      <c r="AG137" s="108">
        <f t="shared" ref="AG137:AH137" si="1229">+AG134+AG135+AG136</f>
        <v>0.1014285714285714</v>
      </c>
      <c r="AH137" s="108">
        <f t="shared" si="1229"/>
        <v>9.4516129032258117E-2</v>
      </c>
      <c r="AI137" s="108">
        <f t="shared" ref="AI137" si="1230">AI128/AF128-1</f>
        <v>9.0498557467388219E-2</v>
      </c>
      <c r="AJ137" s="108">
        <f t="shared" ref="AJ137:AK137" si="1231">+AJ134+AJ135+AJ136</f>
        <v>9.2499999999999999E-2</v>
      </c>
      <c r="AK137" s="108">
        <f t="shared" si="1231"/>
        <v>8.7142857142857161E-2</v>
      </c>
      <c r="AL137" s="108">
        <f t="shared" ref="AL137" si="1232">AL128/AI128-1</f>
        <v>8.397401139799765E-2</v>
      </c>
      <c r="AM137" s="108">
        <f t="shared" ref="AM137:AQ137" si="1233">+AM134+AM135+AM136</f>
        <v>8.5555555555555579E-2</v>
      </c>
      <c r="AN137" s="108">
        <f t="shared" si="1233"/>
        <v>8.1282051282051321E-2</v>
      </c>
      <c r="AO137" s="108">
        <f t="shared" ref="AO137" si="1234">AO128/AL128-1</f>
        <v>7.8718864647144393E-2</v>
      </c>
      <c r="AP137" s="108">
        <f t="shared" ref="AP137" si="1235">+AP134+AP135+AP136</f>
        <v>8.0000000000000043E-2</v>
      </c>
      <c r="AQ137" s="108">
        <f t="shared" si="1233"/>
        <v>7.6511627906976715E-2</v>
      </c>
      <c r="AR137" s="108">
        <f t="shared" ref="AR137" si="1236">AR128/AO128-1</f>
        <v>7.439570822698105E-2</v>
      </c>
      <c r="AS137" s="108">
        <f t="shared" ref="AS137:AT137" si="1237">+AS134+AS135+AS136</f>
        <v>7.5454545454545413E-2</v>
      </c>
      <c r="AT137" s="108">
        <f t="shared" si="1237"/>
        <v>7.2553191489361651E-2</v>
      </c>
      <c r="AU137" s="108">
        <f t="shared" ref="AU137" si="1238">AU128/AR128-1</f>
        <v>7.0776921373259416E-2</v>
      </c>
      <c r="AV137" s="108">
        <f t="shared" ref="AV137" si="1239">+AV134+AV135+AV136</f>
        <v>7.1666666666666629E-2</v>
      </c>
    </row>
    <row r="138" spans="1:48" outlineLevel="1" x14ac:dyDescent="0.25">
      <c r="B138" s="11"/>
      <c r="F138" s="199"/>
      <c r="G138" s="39"/>
      <c r="H138" s="39"/>
      <c r="I138" s="39"/>
      <c r="J138" s="39"/>
      <c r="K138" s="30"/>
      <c r="L138" s="355"/>
      <c r="M138" s="39"/>
      <c r="N138" s="39"/>
      <c r="O138" s="39"/>
      <c r="P138" s="35"/>
      <c r="Q138" s="108"/>
      <c r="R138" s="108"/>
      <c r="S138" s="108"/>
      <c r="T138" s="108"/>
      <c r="U138" s="108"/>
      <c r="V138" s="108"/>
      <c r="W138" s="108"/>
      <c r="X138" s="108"/>
      <c r="Y138" s="108"/>
      <c r="Z138" s="108"/>
      <c r="AA138" s="108"/>
      <c r="AB138" s="108"/>
      <c r="AC138" s="108"/>
      <c r="AD138" s="108"/>
      <c r="AE138" s="108"/>
      <c r="AF138" s="108"/>
      <c r="AG138" s="108"/>
      <c r="AH138" s="108"/>
      <c r="AI138" s="108"/>
      <c r="AJ138" s="108"/>
      <c r="AK138" s="108"/>
      <c r="AL138" s="108"/>
      <c r="AM138" s="108"/>
      <c r="AN138" s="108"/>
      <c r="AO138" s="108"/>
      <c r="AP138" s="108"/>
      <c r="AQ138" s="108"/>
      <c r="AR138" s="108"/>
      <c r="AS138" s="108"/>
      <c r="AT138" s="108"/>
      <c r="AU138" s="108"/>
      <c r="AV138" s="108"/>
    </row>
    <row r="139" spans="1:48" outlineLevel="1" x14ac:dyDescent="0.25">
      <c r="B139" s="8" t="s">
        <v>46</v>
      </c>
      <c r="C139" s="22" t="s">
        <v>28</v>
      </c>
      <c r="F139" s="17">
        <f>+F128*F141</f>
        <v>0.17399999999999999</v>
      </c>
      <c r="G139" s="17">
        <f>+G128*G141</f>
        <v>9.6000000000000002E-2</v>
      </c>
      <c r="H139" s="17">
        <f>+H128*H141</f>
        <v>0.11399999999999999</v>
      </c>
      <c r="I139" s="17">
        <f>+I128*I141</f>
        <v>0.21</v>
      </c>
      <c r="J139" s="17">
        <f>+J128*J141</f>
        <v>0.126</v>
      </c>
      <c r="K139" s="17">
        <f>+L139-J139</f>
        <v>0.11099999999999999</v>
      </c>
      <c r="L139" s="361">
        <f>+L128*L141</f>
        <v>0.23699999999999999</v>
      </c>
      <c r="M139" s="17">
        <f>+M128*M141</f>
        <v>0.13799999999999998</v>
      </c>
      <c r="N139" s="17">
        <f>+O139-M139</f>
        <v>0.13499999999999998</v>
      </c>
      <c r="O139" s="361">
        <f>+O128*O141</f>
        <v>0.27299999999999996</v>
      </c>
      <c r="P139" s="17">
        <f t="shared" ref="P139:Y139" si="1240">+P128*P141</f>
        <v>0.15179999999999999</v>
      </c>
      <c r="Q139" s="17">
        <f>+R139-P139</f>
        <v>0.16214999999999996</v>
      </c>
      <c r="R139" s="17">
        <f t="shared" si="1240"/>
        <v>0.31394999999999995</v>
      </c>
      <c r="S139" s="17">
        <f t="shared" si="1240"/>
        <v>0.18698999999999996</v>
      </c>
      <c r="T139" s="17">
        <f>+U139-S139</f>
        <v>0.19498249999999992</v>
      </c>
      <c r="U139" s="17">
        <f t="shared" ref="U139" si="1241">+U128*U141</f>
        <v>0.38197249999999988</v>
      </c>
      <c r="V139" s="17">
        <f t="shared" si="1240"/>
        <v>0.21753169999999994</v>
      </c>
      <c r="W139" s="17">
        <f>+X139-V139</f>
        <v>0.22364653749999996</v>
      </c>
      <c r="X139" s="17">
        <f t="shared" ref="X139" si="1242">+X128*X141</f>
        <v>0.4411782374999999</v>
      </c>
      <c r="Y139" s="17">
        <f t="shared" si="1240"/>
        <v>0.24695572468421048</v>
      </c>
      <c r="Z139" s="17">
        <f>+AA139-Y139</f>
        <v>0.25157568369078931</v>
      </c>
      <c r="AA139" s="17">
        <f t="shared" ref="AA139" si="1243">+AA128*AA141</f>
        <v>0.49853140837499982</v>
      </c>
      <c r="AB139" s="17">
        <f t="shared" ref="AB139:AQ139" si="1244">+AB128*AB141</f>
        <v>0.27583880726684201</v>
      </c>
      <c r="AC139" s="17">
        <f>+AD139-AB139</f>
        <v>0.27919282739065771</v>
      </c>
      <c r="AD139" s="17">
        <f t="shared" ref="AD139" si="1245">+AD128*AD141</f>
        <v>0.55503163465749972</v>
      </c>
      <c r="AE139" s="17">
        <f t="shared" si="1244"/>
        <v>0.30454647572683557</v>
      </c>
      <c r="AF139" s="17">
        <f>+AG139-AE139</f>
        <v>0.30678122473163905</v>
      </c>
      <c r="AG139" s="17">
        <f t="shared" ref="AG139" si="1246">+AG128*AG141</f>
        <v>0.61132770045847462</v>
      </c>
      <c r="AH139" s="17">
        <f t="shared" si="1244"/>
        <v>0.33333102972295259</v>
      </c>
      <c r="AI139" s="17">
        <f>+AJ139-AH139</f>
        <v>0.33454448302793105</v>
      </c>
      <c r="AJ139" s="17">
        <f t="shared" ref="AJ139" si="1247">+AJ128*AJ141</f>
        <v>0.66787551275088364</v>
      </c>
      <c r="AK139" s="17">
        <f t="shared" si="1244"/>
        <v>0.36237844802738128</v>
      </c>
      <c r="AL139" s="17">
        <f>+AM139-AK139</f>
        <v>0.36263752525885584</v>
      </c>
      <c r="AM139" s="17">
        <f t="shared" ref="AM139" si="1248">+AM128*AM141</f>
        <v>0.72501597328623713</v>
      </c>
      <c r="AN139" s="17">
        <f t="shared" si="1244"/>
        <v>0.39183331162345303</v>
      </c>
      <c r="AO139" s="17">
        <f>+AP139-AN139</f>
        <v>0.39118393952568309</v>
      </c>
      <c r="AP139" s="17">
        <f t="shared" ref="AP139" si="1249">+AP128*AP141</f>
        <v>0.78301725114913612</v>
      </c>
      <c r="AQ139" s="17">
        <f t="shared" si="1244"/>
        <v>0.42181311616394507</v>
      </c>
      <c r="AR139" s="17">
        <f>+AS139-AQ139</f>
        <v>0.42028634575371676</v>
      </c>
      <c r="AS139" s="17">
        <f t="shared" ref="AS139:AT139" si="1250">+AS128*AS141</f>
        <v>0.84209946191766183</v>
      </c>
      <c r="AT139" s="17">
        <f t="shared" si="1250"/>
        <v>0.45241700395371209</v>
      </c>
      <c r="AU139" s="17">
        <f>+AV139-AT139</f>
        <v>0.45003291940138213</v>
      </c>
      <c r="AV139" s="17">
        <f t="shared" ref="AV139" si="1251">+AV128*AV141</f>
        <v>0.90244992335509422</v>
      </c>
    </row>
    <row r="140" spans="1:48" outlineLevel="1" x14ac:dyDescent="0.25">
      <c r="B140" s="11" t="s">
        <v>39</v>
      </c>
      <c r="C140" s="22" t="s">
        <v>29</v>
      </c>
      <c r="I140" s="14">
        <f>+I139/F139-1</f>
        <v>0.2068965517241379</v>
      </c>
      <c r="J140" s="254">
        <f t="shared" ref="J140:V140" si="1252">+J139/G139-1</f>
        <v>0.3125</v>
      </c>
      <c r="K140" s="28">
        <f t="shared" si="1252"/>
        <v>-2.6315789473684181E-2</v>
      </c>
      <c r="L140" s="310">
        <f t="shared" si="1252"/>
        <v>0.12857142857142856</v>
      </c>
      <c r="M140" s="254">
        <f t="shared" si="1252"/>
        <v>9.5238095238095122E-2</v>
      </c>
      <c r="N140" s="28">
        <f t="shared" ref="N140" si="1253">+N139/K139-1</f>
        <v>0.21621621621621623</v>
      </c>
      <c r="O140" s="310">
        <f t="shared" ref="O140" si="1254">+O139/L139-1</f>
        <v>0.15189873417721511</v>
      </c>
      <c r="P140" s="14">
        <f t="shared" si="1252"/>
        <v>0.10000000000000009</v>
      </c>
      <c r="Q140" s="14">
        <f t="shared" si="1252"/>
        <v>0.20111111111111102</v>
      </c>
      <c r="R140" s="14">
        <f t="shared" si="1252"/>
        <v>0.14999999999999991</v>
      </c>
      <c r="S140" s="14">
        <f t="shared" si="1252"/>
        <v>0.2318181818181817</v>
      </c>
      <c r="T140" s="14">
        <f t="shared" ref="T140" si="1255">+T139/Q139-1</f>
        <v>0.20248226950354598</v>
      </c>
      <c r="U140" s="14">
        <f t="shared" ref="U140" si="1256">+U139/R139-1</f>
        <v>0.21666666666666656</v>
      </c>
      <c r="V140" s="14">
        <f t="shared" si="1252"/>
        <v>0.16333333333333333</v>
      </c>
      <c r="W140" s="14">
        <f t="shared" ref="W140" si="1257">+W139/T139-1</f>
        <v>0.14700825715128318</v>
      </c>
      <c r="X140" s="14">
        <f t="shared" ref="X140" si="1258">+X139/U139-1</f>
        <v>0.15500000000000003</v>
      </c>
      <c r="Y140" s="14">
        <f t="shared" ref="Y140" si="1259">+Y139/V139-1</f>
        <v>0.13526315789473697</v>
      </c>
      <c r="Z140" s="14">
        <f t="shared" ref="Z140" si="1260">+Z139/W139-1</f>
        <v>0.12488074487086287</v>
      </c>
      <c r="AA140" s="14">
        <f t="shared" ref="AA140" si="1261">+AA139/X139-1</f>
        <v>0.12999999999999989</v>
      </c>
      <c r="AB140" s="14">
        <f t="shared" ref="AB140" si="1262">+AB139/Y139-1</f>
        <v>0.11695652173913018</v>
      </c>
      <c r="AC140" s="14">
        <f t="shared" ref="AC140" si="1263">+AC139/Z139-1</f>
        <v>0.1097766814928447</v>
      </c>
      <c r="AD140" s="14">
        <f t="shared" ref="AD140" si="1264">+AD139/AA139-1</f>
        <v>0.11333333333333306</v>
      </c>
      <c r="AE140" s="14">
        <f t="shared" ref="AE140" si="1265">+AE139/AB139-1</f>
        <v>0.10407407407407399</v>
      </c>
      <c r="AF140" s="14">
        <f t="shared" ref="AF140" si="1266">+AF139/AC139-1</f>
        <v>9.8814849933012594E-2</v>
      </c>
      <c r="AG140" s="14">
        <f t="shared" ref="AG140" si="1267">+AG139/AD139-1</f>
        <v>0.1014285714285712</v>
      </c>
      <c r="AH140" s="14">
        <f t="shared" ref="AH140" si="1268">+AH139/AE139-1</f>
        <v>9.4516129032258034E-2</v>
      </c>
      <c r="AI140" s="14">
        <f t="shared" ref="AI140" si="1269">+AI139/AF139-1</f>
        <v>9.0498557467388219E-2</v>
      </c>
      <c r="AJ140" s="14">
        <f t="shared" ref="AJ140" si="1270">+AJ139/AG139-1</f>
        <v>9.2500000000000249E-2</v>
      </c>
      <c r="AK140" s="14">
        <f t="shared" ref="AK140" si="1271">+AK139/AH139-1</f>
        <v>8.7142857142856966E-2</v>
      </c>
      <c r="AL140" s="14">
        <f t="shared" ref="AL140" si="1272">+AL139/AI139-1</f>
        <v>8.3974011397997872E-2</v>
      </c>
      <c r="AM140" s="14">
        <f t="shared" ref="AM140" si="1273">+AM139/AJ139-1</f>
        <v>8.5555555555555829E-2</v>
      </c>
      <c r="AN140" s="14">
        <f t="shared" ref="AN140" si="1274">+AN139/AK139-1</f>
        <v>8.1282051282051349E-2</v>
      </c>
      <c r="AO140" s="14">
        <f t="shared" ref="AO140" si="1275">+AO139/AL139-1</f>
        <v>7.8718864647144393E-2</v>
      </c>
      <c r="AP140" s="14">
        <f t="shared" ref="AP140" si="1276">+AP139/AM139-1</f>
        <v>8.0000000000000071E-2</v>
      </c>
      <c r="AQ140" s="14">
        <f t="shared" ref="AQ140" si="1277">+AQ139/AN139-1</f>
        <v>7.6511627906976631E-2</v>
      </c>
      <c r="AR140" s="14">
        <f t="shared" ref="AR140" si="1278">+AR139/AO139-1</f>
        <v>7.4395708226980828E-2</v>
      </c>
      <c r="AS140" s="14">
        <f t="shared" ref="AS140" si="1279">+AS139/AP139-1</f>
        <v>7.5454545454545441E-2</v>
      </c>
      <c r="AT140" s="14">
        <f t="shared" ref="AT140" si="1280">+AT139/AQ139-1</f>
        <v>7.2553191489361568E-2</v>
      </c>
      <c r="AU140" s="14">
        <f t="shared" ref="AU140" si="1281">+AU139/AR139-1</f>
        <v>7.0776921373259416E-2</v>
      </c>
      <c r="AV140" s="14">
        <f t="shared" ref="AV140" si="1282">+AV139/AS139-1</f>
        <v>7.1666666666666545E-2</v>
      </c>
    </row>
    <row r="141" spans="1:48" outlineLevel="1" x14ac:dyDescent="0.25">
      <c r="B141" s="11" t="s">
        <v>48</v>
      </c>
      <c r="C141" s="22" t="s">
        <v>29</v>
      </c>
      <c r="F141" s="199">
        <v>0.03</v>
      </c>
      <c r="G141" s="39">
        <f>+F141</f>
        <v>0.03</v>
      </c>
      <c r="H141" s="39">
        <f t="shared" ref="H141:M141" si="1283">+G141</f>
        <v>0.03</v>
      </c>
      <c r="I141" s="39">
        <f t="shared" si="1283"/>
        <v>0.03</v>
      </c>
      <c r="J141" s="39">
        <f t="shared" si="1283"/>
        <v>0.03</v>
      </c>
      <c r="K141" s="15">
        <f>K139/K128</f>
        <v>2.9999999999999995E-2</v>
      </c>
      <c r="L141" s="444">
        <v>0.03</v>
      </c>
      <c r="M141" s="39">
        <f t="shared" si="1283"/>
        <v>0.03</v>
      </c>
      <c r="N141" s="15">
        <f>N139/N128</f>
        <v>2.9999999999999995E-2</v>
      </c>
      <c r="O141" s="444">
        <v>0.03</v>
      </c>
      <c r="P141" s="208">
        <f>+O141</f>
        <v>0.03</v>
      </c>
      <c r="Q141" s="209">
        <f>Q139/Q128</f>
        <v>3.0000000000000002E-2</v>
      </c>
      <c r="R141" s="208">
        <f>+P141</f>
        <v>0.03</v>
      </c>
      <c r="S141" s="208">
        <f t="shared" ref="S141:V141" si="1284">+R141</f>
        <v>0.03</v>
      </c>
      <c r="T141" s="209">
        <f>T139/T128</f>
        <v>2.9999999999999995E-2</v>
      </c>
      <c r="U141" s="208">
        <f>+S141</f>
        <v>0.03</v>
      </c>
      <c r="V141" s="208">
        <f t="shared" si="1284"/>
        <v>0.03</v>
      </c>
      <c r="W141" s="209">
        <f>W139/W128</f>
        <v>3.0000000000000002E-2</v>
      </c>
      <c r="X141" s="208">
        <f>+V141</f>
        <v>0.03</v>
      </c>
      <c r="Y141" s="208">
        <f t="shared" ref="Y141" si="1285">+X141</f>
        <v>0.03</v>
      </c>
      <c r="Z141" s="209">
        <f>Z139/Z128</f>
        <v>2.9999999999999995E-2</v>
      </c>
      <c r="AA141" s="208">
        <f>+Y141</f>
        <v>0.03</v>
      </c>
      <c r="AB141" s="208">
        <f t="shared" ref="AB141" si="1286">+AA141</f>
        <v>0.03</v>
      </c>
      <c r="AC141" s="209">
        <f>AC139/AC128</f>
        <v>3.0000000000000002E-2</v>
      </c>
      <c r="AD141" s="208">
        <f>+AB141</f>
        <v>0.03</v>
      </c>
      <c r="AE141" s="208">
        <f t="shared" ref="AE141" si="1287">+AD141</f>
        <v>0.03</v>
      </c>
      <c r="AF141" s="209">
        <f>AF139/AF128</f>
        <v>2.9999999999999992E-2</v>
      </c>
      <c r="AG141" s="208">
        <f>+AE141</f>
        <v>0.03</v>
      </c>
      <c r="AH141" s="208">
        <f t="shared" ref="AH141" si="1288">+AG141</f>
        <v>0.03</v>
      </c>
      <c r="AI141" s="209">
        <f>AI139/AI128</f>
        <v>0.03</v>
      </c>
      <c r="AJ141" s="208">
        <f>+AH141</f>
        <v>0.03</v>
      </c>
      <c r="AK141" s="208">
        <f t="shared" ref="AK141" si="1289">+AJ141</f>
        <v>0.03</v>
      </c>
      <c r="AL141" s="209">
        <f>AL139/AL128</f>
        <v>3.0000000000000002E-2</v>
      </c>
      <c r="AM141" s="208">
        <f>+AK141</f>
        <v>0.03</v>
      </c>
      <c r="AN141" s="208">
        <f t="shared" ref="AN141" si="1290">+AM141</f>
        <v>0.03</v>
      </c>
      <c r="AO141" s="209">
        <f>AO139/AO128</f>
        <v>3.0000000000000002E-2</v>
      </c>
      <c r="AP141" s="208">
        <f>+AN141</f>
        <v>0.03</v>
      </c>
      <c r="AQ141" s="208">
        <f t="shared" ref="AQ141" si="1291">+AP141</f>
        <v>0.03</v>
      </c>
      <c r="AR141" s="209">
        <f>AR139/AR128</f>
        <v>0.03</v>
      </c>
      <c r="AS141" s="208">
        <f>+AQ141</f>
        <v>0.03</v>
      </c>
      <c r="AT141" s="208">
        <f t="shared" ref="AT141" si="1292">+AS141</f>
        <v>0.03</v>
      </c>
      <c r="AU141" s="209">
        <f>AU139/AU128</f>
        <v>0.03</v>
      </c>
      <c r="AV141" s="208">
        <f>+AT141</f>
        <v>0.03</v>
      </c>
    </row>
    <row r="142" spans="1:48" outlineLevel="1" x14ac:dyDescent="0.25">
      <c r="B142" s="11"/>
      <c r="F142" s="199"/>
      <c r="G142" s="39"/>
      <c r="H142" s="39"/>
      <c r="I142" s="39"/>
      <c r="J142" s="39"/>
      <c r="K142" s="30"/>
      <c r="L142" s="355"/>
      <c r="M142" s="39"/>
      <c r="N142" s="39"/>
      <c r="O142" s="39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  <c r="AA142" s="30"/>
      <c r="AB142" s="30"/>
      <c r="AC142" s="30"/>
      <c r="AD142" s="30"/>
      <c r="AE142" s="30"/>
      <c r="AF142" s="30"/>
      <c r="AG142" s="30"/>
      <c r="AH142" s="30"/>
      <c r="AI142" s="30"/>
      <c r="AJ142" s="30"/>
      <c r="AK142" s="30"/>
      <c r="AL142" s="30"/>
      <c r="AM142" s="30"/>
      <c r="AN142" s="30"/>
      <c r="AO142" s="30"/>
      <c r="AP142" s="30"/>
      <c r="AQ142" s="30"/>
      <c r="AR142" s="30"/>
      <c r="AS142" s="30"/>
      <c r="AT142" s="30"/>
      <c r="AU142" s="30"/>
      <c r="AV142" s="30"/>
    </row>
    <row r="143" spans="1:48" outlineLevel="1" x14ac:dyDescent="0.25">
      <c r="B143" s="11"/>
      <c r="F143" s="199"/>
      <c r="G143" s="39"/>
      <c r="H143" s="39"/>
      <c r="I143" s="39"/>
      <c r="J143" s="39"/>
      <c r="K143" s="30"/>
      <c r="L143" s="355"/>
      <c r="M143" s="39"/>
      <c r="N143" s="39"/>
      <c r="O143" s="39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  <c r="AA143" s="30"/>
      <c r="AB143" s="30"/>
      <c r="AC143" s="30"/>
      <c r="AD143" s="30"/>
      <c r="AE143" s="30"/>
      <c r="AF143" s="30"/>
      <c r="AG143" s="30"/>
      <c r="AH143" s="30"/>
      <c r="AI143" s="30"/>
      <c r="AJ143" s="30"/>
      <c r="AK143" s="30"/>
      <c r="AL143" s="30"/>
      <c r="AM143" s="30"/>
      <c r="AN143" s="30"/>
      <c r="AO143" s="30"/>
      <c r="AP143" s="30"/>
      <c r="AQ143" s="30"/>
      <c r="AR143" s="30"/>
      <c r="AS143" s="30"/>
      <c r="AT143" s="30"/>
      <c r="AU143" s="30"/>
      <c r="AV143" s="30"/>
    </row>
    <row r="144" spans="1:48" outlineLevel="1" x14ac:dyDescent="0.25">
      <c r="M144" s="8"/>
    </row>
    <row r="145" spans="1:48" ht="15.75" x14ac:dyDescent="0.25">
      <c r="A145" s="49" t="s">
        <v>23</v>
      </c>
      <c r="B145" s="50" t="s">
        <v>26</v>
      </c>
      <c r="C145" s="2"/>
      <c r="D145" s="2"/>
      <c r="E145" s="2"/>
      <c r="F145" s="158"/>
      <c r="G145" s="86"/>
      <c r="H145" s="86"/>
      <c r="I145" s="86"/>
      <c r="J145" s="86"/>
      <c r="K145" s="86"/>
      <c r="L145" s="371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  <c r="AP145" s="86"/>
      <c r="AQ145" s="86"/>
      <c r="AR145" s="86"/>
      <c r="AS145" s="86"/>
      <c r="AT145" s="86"/>
      <c r="AU145" s="86"/>
      <c r="AV145" s="86"/>
    </row>
    <row r="146" spans="1:48" outlineLevel="1" x14ac:dyDescent="0.25"/>
    <row r="147" spans="1:48" ht="14.1" customHeight="1" outlineLevel="1" x14ac:dyDescent="0.25">
      <c r="B147" s="8" t="s">
        <v>40</v>
      </c>
      <c r="C147" s="22" t="s">
        <v>274</v>
      </c>
      <c r="F147" s="21"/>
      <c r="G147" s="21">
        <f>+F150</f>
        <v>1</v>
      </c>
      <c r="H147" s="21">
        <f>+G150</f>
        <v>2</v>
      </c>
      <c r="I147" s="21">
        <f>+F150</f>
        <v>1</v>
      </c>
      <c r="J147" s="21">
        <f>+I150</f>
        <v>3</v>
      </c>
      <c r="K147" s="21">
        <f>+J150</f>
        <v>4</v>
      </c>
      <c r="L147" s="308">
        <f>+I150</f>
        <v>3</v>
      </c>
      <c r="M147" s="267">
        <f t="shared" ref="M147:W147" si="1293">+L150</f>
        <v>4</v>
      </c>
      <c r="N147" s="21">
        <f>+M150</f>
        <v>4</v>
      </c>
      <c r="O147" s="308">
        <f>+L150</f>
        <v>4</v>
      </c>
      <c r="P147" s="21">
        <f>+O150</f>
        <v>6</v>
      </c>
      <c r="Q147" s="21">
        <f t="shared" si="1293"/>
        <v>8</v>
      </c>
      <c r="R147" s="21">
        <f>+O150</f>
        <v>6</v>
      </c>
      <c r="S147" s="21">
        <f t="shared" si="1293"/>
        <v>8</v>
      </c>
      <c r="T147" s="21">
        <f t="shared" si="1293"/>
        <v>10</v>
      </c>
      <c r="U147" s="21">
        <f>+R150</f>
        <v>8</v>
      </c>
      <c r="V147" s="21">
        <f t="shared" si="1293"/>
        <v>12</v>
      </c>
      <c r="W147" s="21">
        <f t="shared" si="1293"/>
        <v>12</v>
      </c>
      <c r="X147" s="21">
        <f>+U150</f>
        <v>12</v>
      </c>
      <c r="Y147" s="21">
        <f t="shared" ref="Y147" si="1294">+X150</f>
        <v>12</v>
      </c>
      <c r="Z147" s="21">
        <f>+Y150</f>
        <v>12</v>
      </c>
      <c r="AA147" s="21">
        <f>+X150</f>
        <v>12</v>
      </c>
      <c r="AB147" s="21">
        <f t="shared" ref="AB147" si="1295">+AA150</f>
        <v>12</v>
      </c>
      <c r="AC147" s="21">
        <f t="shared" ref="AC147" si="1296">+AB150</f>
        <v>12</v>
      </c>
      <c r="AD147" s="21">
        <f t="shared" ref="AD147" si="1297">+AA150</f>
        <v>12</v>
      </c>
      <c r="AE147" s="21">
        <f t="shared" ref="AE147" si="1298">+AD150</f>
        <v>12</v>
      </c>
      <c r="AF147" s="21">
        <f t="shared" ref="AF147" si="1299">+AE150</f>
        <v>12</v>
      </c>
      <c r="AG147" s="21">
        <f t="shared" ref="AG147" si="1300">+AD150</f>
        <v>12</v>
      </c>
      <c r="AH147" s="21">
        <f t="shared" ref="AH147" si="1301">+AG150</f>
        <v>12</v>
      </c>
      <c r="AI147" s="21">
        <f t="shared" ref="AI147" si="1302">+AH150</f>
        <v>12</v>
      </c>
      <c r="AJ147" s="21">
        <f t="shared" ref="AJ147" si="1303">+AG150</f>
        <v>12</v>
      </c>
      <c r="AK147" s="21">
        <f t="shared" ref="AK147" si="1304">+AJ150</f>
        <v>12</v>
      </c>
      <c r="AL147" s="21">
        <f t="shared" ref="AL147" si="1305">+AK150</f>
        <v>12</v>
      </c>
      <c r="AM147" s="21">
        <f t="shared" ref="AM147" si="1306">+AJ150</f>
        <v>12</v>
      </c>
      <c r="AN147" s="21">
        <f t="shared" ref="AN147" si="1307">+AM150</f>
        <v>12</v>
      </c>
      <c r="AO147" s="21">
        <f t="shared" ref="AO147" si="1308">+AN150</f>
        <v>12</v>
      </c>
      <c r="AP147" s="21">
        <f t="shared" ref="AP147" si="1309">+AM150</f>
        <v>12</v>
      </c>
      <c r="AQ147" s="21">
        <f t="shared" ref="AQ147" si="1310">+AP150</f>
        <v>12</v>
      </c>
      <c r="AR147" s="21">
        <f t="shared" ref="AR147" si="1311">+AQ150</f>
        <v>12</v>
      </c>
      <c r="AS147" s="21">
        <f t="shared" ref="AS147" si="1312">+AP150</f>
        <v>12</v>
      </c>
      <c r="AT147" s="21">
        <f t="shared" ref="AT147" si="1313">+AS150</f>
        <v>12</v>
      </c>
      <c r="AU147" s="21">
        <f t="shared" ref="AU147" si="1314">+AT150</f>
        <v>12</v>
      </c>
      <c r="AV147" s="21">
        <f t="shared" ref="AV147" si="1315">+AS150</f>
        <v>12</v>
      </c>
    </row>
    <row r="148" spans="1:48" ht="14.1" customHeight="1" outlineLevel="1" x14ac:dyDescent="0.25">
      <c r="B148" s="25" t="s">
        <v>35</v>
      </c>
      <c r="C148" s="22" t="s">
        <v>274</v>
      </c>
      <c r="F148" s="21"/>
      <c r="G148" s="21">
        <v>0</v>
      </c>
      <c r="H148" s="21">
        <v>0</v>
      </c>
      <c r="I148" s="21">
        <v>0</v>
      </c>
      <c r="J148" s="21">
        <v>0</v>
      </c>
      <c r="K148" s="21">
        <v>0</v>
      </c>
      <c r="L148" s="308">
        <f>+J148+K148</f>
        <v>0</v>
      </c>
      <c r="M148" s="267">
        <v>0</v>
      </c>
      <c r="N148" s="21">
        <v>0</v>
      </c>
      <c r="O148" s="308">
        <f>+M148+N148</f>
        <v>0</v>
      </c>
      <c r="P148" s="27">
        <v>0</v>
      </c>
      <c r="Q148" s="27">
        <v>0</v>
      </c>
      <c r="R148" s="21">
        <f>+P148+Q148</f>
        <v>0</v>
      </c>
      <c r="S148" s="27">
        <v>0</v>
      </c>
      <c r="T148" s="27">
        <v>0</v>
      </c>
      <c r="U148" s="21">
        <f>+S148+T148</f>
        <v>0</v>
      </c>
      <c r="V148" s="27">
        <v>0</v>
      </c>
      <c r="W148" s="27">
        <v>0</v>
      </c>
      <c r="X148" s="21">
        <f>+V148+W148</f>
        <v>0</v>
      </c>
      <c r="Y148" s="27">
        <v>0</v>
      </c>
      <c r="Z148" s="27">
        <v>0</v>
      </c>
      <c r="AA148" s="21">
        <f>+Y148+Z148</f>
        <v>0</v>
      </c>
      <c r="AB148" s="27">
        <v>0</v>
      </c>
      <c r="AC148" s="27">
        <v>0</v>
      </c>
      <c r="AD148" s="21">
        <f t="shared" ref="AD148" si="1316">+AB148+AC148</f>
        <v>0</v>
      </c>
      <c r="AE148" s="27">
        <v>0</v>
      </c>
      <c r="AF148" s="27">
        <v>0</v>
      </c>
      <c r="AG148" s="21">
        <f t="shared" ref="AG148" si="1317">+AE148+AF148</f>
        <v>0</v>
      </c>
      <c r="AH148" s="27">
        <v>0</v>
      </c>
      <c r="AI148" s="27">
        <v>0</v>
      </c>
      <c r="AJ148" s="21">
        <f t="shared" ref="AJ148" si="1318">+AH148+AI148</f>
        <v>0</v>
      </c>
      <c r="AK148" s="27">
        <v>0</v>
      </c>
      <c r="AL148" s="27">
        <v>0</v>
      </c>
      <c r="AM148" s="21">
        <f t="shared" ref="AM148" si="1319">+AK148+AL148</f>
        <v>0</v>
      </c>
      <c r="AN148" s="27">
        <v>0</v>
      </c>
      <c r="AO148" s="27">
        <v>0</v>
      </c>
      <c r="AP148" s="21">
        <f t="shared" ref="AP148" si="1320">+AN148+AO148</f>
        <v>0</v>
      </c>
      <c r="AQ148" s="27">
        <v>0</v>
      </c>
      <c r="AR148" s="27">
        <v>0</v>
      </c>
      <c r="AS148" s="21">
        <f t="shared" ref="AS148" si="1321">+AQ148+AR148</f>
        <v>0</v>
      </c>
      <c r="AT148" s="27">
        <v>0</v>
      </c>
      <c r="AU148" s="27">
        <v>0</v>
      </c>
      <c r="AV148" s="21">
        <f t="shared" ref="AV148" si="1322">+AT148+AU148</f>
        <v>0</v>
      </c>
    </row>
    <row r="149" spans="1:48" ht="14.1" customHeight="1" outlineLevel="1" x14ac:dyDescent="0.25">
      <c r="A149" t="s">
        <v>532</v>
      </c>
      <c r="B149" s="8" t="s">
        <v>36</v>
      </c>
      <c r="C149" s="22" t="s">
        <v>274</v>
      </c>
      <c r="F149" s="21"/>
      <c r="G149" s="43">
        <v>1</v>
      </c>
      <c r="H149" s="21">
        <f>+H150-H147+H148</f>
        <v>1</v>
      </c>
      <c r="I149" s="21">
        <f>+I150-I147+I148</f>
        <v>2</v>
      </c>
      <c r="J149" s="43">
        <v>1</v>
      </c>
      <c r="K149" s="21">
        <v>0</v>
      </c>
      <c r="L149" s="308">
        <f>+J149+K149</f>
        <v>1</v>
      </c>
      <c r="M149" s="267">
        <f>+M150-M147</f>
        <v>0</v>
      </c>
      <c r="N149" s="21">
        <v>0</v>
      </c>
      <c r="O149" s="308">
        <f>+M149+N149</f>
        <v>0</v>
      </c>
      <c r="P149" s="27">
        <v>2</v>
      </c>
      <c r="Q149" s="27">
        <v>0</v>
      </c>
      <c r="R149" s="21">
        <f>+P149+Q149</f>
        <v>2</v>
      </c>
      <c r="S149" s="27">
        <v>2</v>
      </c>
      <c r="T149" s="27">
        <v>2</v>
      </c>
      <c r="U149" s="21">
        <f>+S149+T149</f>
        <v>4</v>
      </c>
      <c r="V149" s="27">
        <v>0</v>
      </c>
      <c r="W149" s="27">
        <v>0</v>
      </c>
      <c r="X149" s="21">
        <f>+V149+W149</f>
        <v>0</v>
      </c>
      <c r="Y149" s="27">
        <v>0</v>
      </c>
      <c r="Z149" s="27">
        <v>0</v>
      </c>
      <c r="AA149" s="21">
        <f>+Y149+Z149</f>
        <v>0</v>
      </c>
      <c r="AB149" s="27">
        <v>0</v>
      </c>
      <c r="AC149" s="27">
        <v>0</v>
      </c>
      <c r="AD149" s="21">
        <f>+AB149+AC149</f>
        <v>0</v>
      </c>
      <c r="AE149" s="27">
        <v>0</v>
      </c>
      <c r="AF149" s="27">
        <v>0</v>
      </c>
      <c r="AG149" s="21">
        <f>+AE149+AF149</f>
        <v>0</v>
      </c>
      <c r="AH149" s="27">
        <v>0</v>
      </c>
      <c r="AI149" s="27">
        <v>0</v>
      </c>
      <c r="AJ149" s="21">
        <f>+AH149+AI149</f>
        <v>0</v>
      </c>
      <c r="AK149" s="27">
        <v>0</v>
      </c>
      <c r="AL149" s="27">
        <v>0</v>
      </c>
      <c r="AM149" s="21">
        <f>+AK149+AL149</f>
        <v>0</v>
      </c>
      <c r="AN149" s="27">
        <v>0</v>
      </c>
      <c r="AO149" s="27">
        <v>0</v>
      </c>
      <c r="AP149" s="21">
        <f>+AN149+AO149</f>
        <v>0</v>
      </c>
      <c r="AQ149" s="27">
        <v>0</v>
      </c>
      <c r="AR149" s="27">
        <v>0</v>
      </c>
      <c r="AS149" s="21">
        <f>+AQ149+AR149</f>
        <v>0</v>
      </c>
      <c r="AT149" s="27">
        <v>0</v>
      </c>
      <c r="AU149" s="27">
        <v>0</v>
      </c>
      <c r="AV149" s="21">
        <f>+AT149+AU149</f>
        <v>0</v>
      </c>
    </row>
    <row r="150" spans="1:48" ht="14.1" customHeight="1" outlineLevel="1" x14ac:dyDescent="0.25">
      <c r="A150" t="s">
        <v>638</v>
      </c>
      <c r="B150" s="12" t="s">
        <v>37</v>
      </c>
      <c r="C150" s="22" t="s">
        <v>274</v>
      </c>
      <c r="F150" s="43">
        <v>1</v>
      </c>
      <c r="G150" s="21">
        <f>+G147+G148+G149</f>
        <v>2</v>
      </c>
      <c r="H150" s="21">
        <f>+I150</f>
        <v>3</v>
      </c>
      <c r="I150" s="43">
        <v>3</v>
      </c>
      <c r="J150" s="43">
        <f>+J147+J148+J149</f>
        <v>4</v>
      </c>
      <c r="K150" s="21">
        <f>L150</f>
        <v>4</v>
      </c>
      <c r="L150" s="357">
        <f>+L147+L148+L149</f>
        <v>4</v>
      </c>
      <c r="M150" s="442">
        <v>4</v>
      </c>
      <c r="N150" s="21">
        <f>O150</f>
        <v>6</v>
      </c>
      <c r="O150" s="357">
        <v>6</v>
      </c>
      <c r="P150" s="21">
        <f>+P147+P148+P149</f>
        <v>8</v>
      </c>
      <c r="Q150" s="21">
        <f>+R150</f>
        <v>8</v>
      </c>
      <c r="R150" s="21">
        <f>+R147+R148+R149</f>
        <v>8</v>
      </c>
      <c r="S150" s="21">
        <f>+S147+S148+S149</f>
        <v>10</v>
      </c>
      <c r="T150" s="21">
        <f>+U150</f>
        <v>12</v>
      </c>
      <c r="U150" s="21">
        <f>+U147+U148+U149</f>
        <v>12</v>
      </c>
      <c r="V150" s="21">
        <f>+V147+V148+V149</f>
        <v>12</v>
      </c>
      <c r="W150" s="21">
        <f>+X150</f>
        <v>12</v>
      </c>
      <c r="X150" s="21">
        <f>+X147+X148+X149</f>
        <v>12</v>
      </c>
      <c r="Y150" s="21">
        <f>+Y147+Y148+Y149</f>
        <v>12</v>
      </c>
      <c r="Z150" s="21">
        <f>+AA150</f>
        <v>12</v>
      </c>
      <c r="AA150" s="21">
        <f>+AA147+AA148+AA149</f>
        <v>12</v>
      </c>
      <c r="AB150" s="21">
        <f t="shared" ref="AB150" si="1323">+AB147+AB148+AB149</f>
        <v>12</v>
      </c>
      <c r="AC150" s="21">
        <f t="shared" ref="AC150" si="1324">+AD150</f>
        <v>12</v>
      </c>
      <c r="AD150" s="21">
        <f t="shared" ref="AD150:AE150" si="1325">+AD147+AD148+AD149</f>
        <v>12</v>
      </c>
      <c r="AE150" s="21">
        <f t="shared" si="1325"/>
        <v>12</v>
      </c>
      <c r="AF150" s="21">
        <f t="shared" ref="AF150" si="1326">+AG150</f>
        <v>12</v>
      </c>
      <c r="AG150" s="21">
        <f t="shared" ref="AG150:AH150" si="1327">+AG147+AG148+AG149</f>
        <v>12</v>
      </c>
      <c r="AH150" s="21">
        <f t="shared" si="1327"/>
        <v>12</v>
      </c>
      <c r="AI150" s="21">
        <f t="shared" ref="AI150" si="1328">+AJ150</f>
        <v>12</v>
      </c>
      <c r="AJ150" s="21">
        <f t="shared" ref="AJ150:AK150" si="1329">+AJ147+AJ148+AJ149</f>
        <v>12</v>
      </c>
      <c r="AK150" s="21">
        <f t="shared" si="1329"/>
        <v>12</v>
      </c>
      <c r="AL150" s="21">
        <f t="shared" ref="AL150" si="1330">+AM150</f>
        <v>12</v>
      </c>
      <c r="AM150" s="21">
        <f t="shared" ref="AM150:AN150" si="1331">+AM147+AM148+AM149</f>
        <v>12</v>
      </c>
      <c r="AN150" s="21">
        <f t="shared" si="1331"/>
        <v>12</v>
      </c>
      <c r="AO150" s="21">
        <f t="shared" ref="AO150" si="1332">+AP150</f>
        <v>12</v>
      </c>
      <c r="AP150" s="21">
        <f t="shared" ref="AP150" si="1333">+AP147+AP148+AP149</f>
        <v>12</v>
      </c>
      <c r="AQ150" s="21">
        <f t="shared" ref="AQ150" si="1334">+AQ147+AQ148+AQ149</f>
        <v>12</v>
      </c>
      <c r="AR150" s="21">
        <f t="shared" ref="AR150" si="1335">+AS150</f>
        <v>12</v>
      </c>
      <c r="AS150" s="21">
        <f t="shared" ref="AS150:AT150" si="1336">+AS147+AS148+AS149</f>
        <v>12</v>
      </c>
      <c r="AT150" s="21">
        <f t="shared" si="1336"/>
        <v>12</v>
      </c>
      <c r="AU150" s="21">
        <f t="shared" ref="AU150" si="1337">+AV150</f>
        <v>12</v>
      </c>
      <c r="AV150" s="21">
        <f t="shared" ref="AV150" si="1338">+AV147+AV148+AV149</f>
        <v>12</v>
      </c>
    </row>
    <row r="151" spans="1:48" ht="14.1" customHeight="1" outlineLevel="1" x14ac:dyDescent="0.25">
      <c r="B151" s="8" t="s">
        <v>38</v>
      </c>
      <c r="C151" s="22" t="s">
        <v>274</v>
      </c>
      <c r="F151" s="21"/>
      <c r="G151" s="21">
        <f>+AVERAGE(F150:G150)</f>
        <v>1.5</v>
      </c>
      <c r="H151" s="21">
        <f>+AVERAGE(G150:H150)</f>
        <v>2.5</v>
      </c>
      <c r="I151" s="21">
        <f>+(I150+F150)/2</f>
        <v>2</v>
      </c>
      <c r="J151" s="21">
        <f>+AVERAGE(I150:J150)</f>
        <v>3.5</v>
      </c>
      <c r="K151" s="21">
        <f>+AVERAGE(J150:K150)</f>
        <v>4</v>
      </c>
      <c r="L151" s="308">
        <f>+(L150+I150)/2</f>
        <v>3.5</v>
      </c>
      <c r="M151" s="21">
        <f>+AVERAGE(L150:M150)</f>
        <v>4</v>
      </c>
      <c r="N151" s="21">
        <f>+AVERAGE(M150:N150)</f>
        <v>5</v>
      </c>
      <c r="O151" s="308">
        <f>+(O150+L150)/2</f>
        <v>5</v>
      </c>
      <c r="P151" s="21">
        <f>+AVERAGE(O150:P150)</f>
        <v>7</v>
      </c>
      <c r="Q151" s="21">
        <f>+AVERAGE(P150:Q150)</f>
        <v>8</v>
      </c>
      <c r="R151" s="21">
        <f>+(R150+O150)/2</f>
        <v>7</v>
      </c>
      <c r="S151" s="21">
        <f>+AVERAGE(R150:S150)</f>
        <v>9</v>
      </c>
      <c r="T151" s="21">
        <f>+AVERAGE(S150:T150)</f>
        <v>11</v>
      </c>
      <c r="U151" s="21">
        <f>+(U150+R150)/2</f>
        <v>10</v>
      </c>
      <c r="V151" s="21">
        <f>+AVERAGE(U150:V150)</f>
        <v>12</v>
      </c>
      <c r="W151" s="21">
        <f>+AVERAGE(V150:W150)</f>
        <v>12</v>
      </c>
      <c r="X151" s="21">
        <f>+(X150+U150)/2</f>
        <v>12</v>
      </c>
      <c r="Y151" s="21">
        <f>+AVERAGE(X150:Y150)</f>
        <v>12</v>
      </c>
      <c r="Z151" s="21">
        <f>+AVERAGE(Y150:Z150)</f>
        <v>12</v>
      </c>
      <c r="AA151" s="21">
        <f>+(AA150+X150)/2</f>
        <v>12</v>
      </c>
      <c r="AB151" s="21">
        <f t="shared" ref="AB151:AC151" si="1339">+AVERAGE(AA150:AB150)</f>
        <v>12</v>
      </c>
      <c r="AC151" s="21">
        <f t="shared" si="1339"/>
        <v>12</v>
      </c>
      <c r="AD151" s="21">
        <f t="shared" ref="AD151" si="1340">+(AD150+AA150)/2</f>
        <v>12</v>
      </c>
      <c r="AE151" s="21">
        <f t="shared" ref="AE151:AF151" si="1341">+AVERAGE(AD150:AE150)</f>
        <v>12</v>
      </c>
      <c r="AF151" s="21">
        <f t="shared" si="1341"/>
        <v>12</v>
      </c>
      <c r="AG151" s="21">
        <f t="shared" ref="AG151" si="1342">+(AG150+AD150)/2</f>
        <v>12</v>
      </c>
      <c r="AH151" s="21">
        <f t="shared" ref="AH151:AI151" si="1343">+AVERAGE(AG150:AH150)</f>
        <v>12</v>
      </c>
      <c r="AI151" s="21">
        <f t="shared" si="1343"/>
        <v>12</v>
      </c>
      <c r="AJ151" s="21">
        <f t="shared" ref="AJ151" si="1344">+(AJ150+AG150)/2</f>
        <v>12</v>
      </c>
      <c r="AK151" s="21">
        <f t="shared" ref="AK151:AL151" si="1345">+AVERAGE(AJ150:AK150)</f>
        <v>12</v>
      </c>
      <c r="AL151" s="21">
        <f t="shared" si="1345"/>
        <v>12</v>
      </c>
      <c r="AM151" s="21">
        <f t="shared" ref="AM151" si="1346">+(AM150+AJ150)/2</f>
        <v>12</v>
      </c>
      <c r="AN151" s="21">
        <f t="shared" ref="AN151:AO151" si="1347">+AVERAGE(AM150:AN150)</f>
        <v>12</v>
      </c>
      <c r="AO151" s="21">
        <f t="shared" si="1347"/>
        <v>12</v>
      </c>
      <c r="AP151" s="21">
        <f t="shared" ref="AP151" si="1348">+(AP150+AM150)/2</f>
        <v>12</v>
      </c>
      <c r="AQ151" s="21">
        <f t="shared" ref="AQ151" si="1349">+AVERAGE(AP150:AQ150)</f>
        <v>12</v>
      </c>
      <c r="AR151" s="21">
        <f t="shared" ref="AR151" si="1350">+AVERAGE(AQ150:AR150)</f>
        <v>12</v>
      </c>
      <c r="AS151" s="21">
        <f t="shared" ref="AS151" si="1351">+(AS150+AP150)/2</f>
        <v>12</v>
      </c>
      <c r="AT151" s="21">
        <f t="shared" ref="AT151" si="1352">+AVERAGE(AS150:AT150)</f>
        <v>12</v>
      </c>
      <c r="AU151" s="21">
        <f t="shared" ref="AU151" si="1353">+AVERAGE(AT150:AU150)</f>
        <v>12</v>
      </c>
      <c r="AV151" s="21">
        <f t="shared" ref="AV151" si="1354">+(AV150+AS150)/2</f>
        <v>12</v>
      </c>
    </row>
    <row r="152" spans="1:48" ht="14.1" customHeight="1" outlineLevel="1" x14ac:dyDescent="0.25">
      <c r="B152" s="8" t="s">
        <v>39</v>
      </c>
      <c r="C152" s="22" t="s">
        <v>29</v>
      </c>
      <c r="J152" s="254">
        <f t="shared" ref="J152:X152" si="1355">+J151/G151-1</f>
        <v>1.3333333333333335</v>
      </c>
      <c r="K152" s="28">
        <f t="shared" si="1355"/>
        <v>0.60000000000000009</v>
      </c>
      <c r="L152" s="310">
        <f t="shared" si="1355"/>
        <v>0.75</v>
      </c>
      <c r="M152" s="254">
        <f t="shared" si="1355"/>
        <v>0.14285714285714279</v>
      </c>
      <c r="N152" s="28">
        <f t="shared" ref="N152" si="1356">+N151/K151-1</f>
        <v>0.25</v>
      </c>
      <c r="O152" s="310">
        <f t="shared" ref="O152" si="1357">+O151/L151-1</f>
        <v>0.4285714285714286</v>
      </c>
      <c r="P152" s="14">
        <f t="shared" si="1355"/>
        <v>0.75</v>
      </c>
      <c r="Q152" s="14">
        <f t="shared" si="1355"/>
        <v>0.60000000000000009</v>
      </c>
      <c r="R152" s="14">
        <f t="shared" si="1355"/>
        <v>0.39999999999999991</v>
      </c>
      <c r="S152" s="14">
        <f t="shared" si="1355"/>
        <v>0.28571428571428581</v>
      </c>
      <c r="T152" s="14">
        <f t="shared" si="1355"/>
        <v>0.375</v>
      </c>
      <c r="U152" s="14">
        <f t="shared" si="1355"/>
        <v>0.4285714285714286</v>
      </c>
      <c r="V152" s="14">
        <f t="shared" si="1355"/>
        <v>0.33333333333333326</v>
      </c>
      <c r="W152" s="14">
        <f t="shared" si="1355"/>
        <v>9.0909090909090828E-2</v>
      </c>
      <c r="X152" s="14">
        <f t="shared" si="1355"/>
        <v>0.19999999999999996</v>
      </c>
      <c r="Y152" s="14">
        <f t="shared" ref="Y152" si="1358">+Y151/V151-1</f>
        <v>0</v>
      </c>
      <c r="Z152" s="14">
        <f t="shared" ref="Z152" si="1359">+Z151/W151-1</f>
        <v>0</v>
      </c>
      <c r="AA152" s="14">
        <f t="shared" ref="AA152" si="1360">+AA151/X151-1</f>
        <v>0</v>
      </c>
      <c r="AB152" s="14">
        <f t="shared" ref="AB152" si="1361">+AB151/Y151-1</f>
        <v>0</v>
      </c>
      <c r="AC152" s="14">
        <f t="shared" ref="AC152" si="1362">+AC151/Z151-1</f>
        <v>0</v>
      </c>
      <c r="AD152" s="14">
        <f t="shared" ref="AD152" si="1363">+AD151/AA151-1</f>
        <v>0</v>
      </c>
      <c r="AE152" s="14">
        <f t="shared" ref="AE152" si="1364">+AE151/AB151-1</f>
        <v>0</v>
      </c>
      <c r="AF152" s="14">
        <f t="shared" ref="AF152" si="1365">+AF151/AC151-1</f>
        <v>0</v>
      </c>
      <c r="AG152" s="14">
        <f t="shared" ref="AG152" si="1366">+AG151/AD151-1</f>
        <v>0</v>
      </c>
      <c r="AH152" s="14">
        <f t="shared" ref="AH152" si="1367">+AH151/AE151-1</f>
        <v>0</v>
      </c>
      <c r="AI152" s="14">
        <f t="shared" ref="AI152" si="1368">+AI151/AF151-1</f>
        <v>0</v>
      </c>
      <c r="AJ152" s="14">
        <f t="shared" ref="AJ152" si="1369">+AJ151/AG151-1</f>
        <v>0</v>
      </c>
      <c r="AK152" s="14">
        <f t="shared" ref="AK152" si="1370">+AK151/AH151-1</f>
        <v>0</v>
      </c>
      <c r="AL152" s="14">
        <f t="shared" ref="AL152" si="1371">+AL151/AI151-1</f>
        <v>0</v>
      </c>
      <c r="AM152" s="14">
        <f t="shared" ref="AM152" si="1372">+AM151/AJ151-1</f>
        <v>0</v>
      </c>
      <c r="AN152" s="14">
        <f t="shared" ref="AN152" si="1373">+AN151/AK151-1</f>
        <v>0</v>
      </c>
      <c r="AO152" s="14">
        <f t="shared" ref="AO152" si="1374">+AO151/AL151-1</f>
        <v>0</v>
      </c>
      <c r="AP152" s="14">
        <f t="shared" ref="AP152" si="1375">+AP151/AM151-1</f>
        <v>0</v>
      </c>
      <c r="AQ152" s="14">
        <f t="shared" ref="AQ152" si="1376">+AQ151/AN151-1</f>
        <v>0</v>
      </c>
      <c r="AR152" s="14">
        <f t="shared" ref="AR152" si="1377">+AR151/AO151-1</f>
        <v>0</v>
      </c>
      <c r="AS152" s="14">
        <f t="shared" ref="AS152" si="1378">+AS151/AP151-1</f>
        <v>0</v>
      </c>
      <c r="AT152" s="14">
        <f t="shared" ref="AT152" si="1379">+AT151/AQ151-1</f>
        <v>0</v>
      </c>
      <c r="AU152" s="14">
        <f t="shared" ref="AU152" si="1380">+AU151/AR151-1</f>
        <v>0</v>
      </c>
      <c r="AV152" s="14">
        <f t="shared" ref="AV152" si="1381">+AV151/AS151-1</f>
        <v>0</v>
      </c>
    </row>
    <row r="153" spans="1:48" ht="14.1" customHeight="1" outlineLevel="1" x14ac:dyDescent="0.25">
      <c r="M153" s="8"/>
    </row>
    <row r="154" spans="1:48" ht="14.1" customHeight="1" outlineLevel="1" x14ac:dyDescent="0.25">
      <c r="B154" s="12" t="s">
        <v>41</v>
      </c>
      <c r="C154" s="22" t="s">
        <v>28</v>
      </c>
      <c r="G154" s="19">
        <f>+G165/G151</f>
        <v>1</v>
      </c>
      <c r="H154" s="19">
        <f t="shared" ref="H154:O154" si="1382">+H165/H151</f>
        <v>1.8</v>
      </c>
      <c r="I154" s="19">
        <f t="shared" si="1382"/>
        <v>3</v>
      </c>
      <c r="J154" s="19">
        <f t="shared" si="1382"/>
        <v>1.5999999999999999</v>
      </c>
      <c r="K154" s="19">
        <f t="shared" si="1382"/>
        <v>1.3000000000000003</v>
      </c>
      <c r="L154" s="309">
        <f t="shared" si="1382"/>
        <v>3.0857142857142859</v>
      </c>
      <c r="M154" s="19">
        <f t="shared" ref="M154" si="1383">+M165/M151</f>
        <v>1.2250000000000001</v>
      </c>
      <c r="N154" s="19">
        <f t="shared" si="1382"/>
        <v>1.4599999999999997</v>
      </c>
      <c r="O154" s="19">
        <f t="shared" si="1382"/>
        <v>2.44</v>
      </c>
      <c r="P154" s="19">
        <f>+M154*(1+P161)</f>
        <v>1.316875</v>
      </c>
      <c r="Q154" s="19">
        <f t="shared" ref="Q154:AA154" si="1384">+N154*(1+Q161)</f>
        <v>1.5694999999999997</v>
      </c>
      <c r="R154" s="19">
        <f>+O154*(1+R161)</f>
        <v>2.6229999999999998</v>
      </c>
      <c r="S154" s="19">
        <f t="shared" si="1384"/>
        <v>1.38271875</v>
      </c>
      <c r="T154" s="19">
        <f t="shared" si="1384"/>
        <v>1.6479749999999997</v>
      </c>
      <c r="U154" s="19">
        <f t="shared" si="1384"/>
        <v>2.7541500000000001</v>
      </c>
      <c r="V154" s="19">
        <f t="shared" si="1384"/>
        <v>1.4518546875</v>
      </c>
      <c r="W154" s="19">
        <f t="shared" si="1384"/>
        <v>1.7303737499999998</v>
      </c>
      <c r="X154" s="19">
        <f t="shared" si="1384"/>
        <v>2.8918575000000004</v>
      </c>
      <c r="Y154" s="19">
        <f t="shared" si="1384"/>
        <v>1.5244474218750002</v>
      </c>
      <c r="Z154" s="19">
        <f t="shared" si="1384"/>
        <v>1.8168924375</v>
      </c>
      <c r="AA154" s="19">
        <f t="shared" si="1384"/>
        <v>3.0364503750000007</v>
      </c>
      <c r="AB154" s="19">
        <f t="shared" ref="AB154" si="1385">+Y154*(1+AB161)</f>
        <v>1.6006697929687503</v>
      </c>
      <c r="AC154" s="19">
        <f t="shared" ref="AC154" si="1386">+Z154*(1+AC161)</f>
        <v>1.907737059375</v>
      </c>
      <c r="AD154" s="19">
        <f t="shared" ref="AD154" si="1387">+AA154*(1+AD161)</f>
        <v>3.1882728937500007</v>
      </c>
      <c r="AE154" s="19">
        <f t="shared" ref="AE154" si="1388">+AB154*(1+AE161)</f>
        <v>1.6807032826171879</v>
      </c>
      <c r="AF154" s="19">
        <f t="shared" ref="AF154" si="1389">+AC154*(1+AF161)</f>
        <v>2.0031239123437503</v>
      </c>
      <c r="AG154" s="19">
        <f t="shared" ref="AG154" si="1390">+AD154*(1+AG161)</f>
        <v>3.3476865384375007</v>
      </c>
      <c r="AH154" s="19">
        <f t="shared" ref="AH154" si="1391">+AE154*(1+AH161)</f>
        <v>1.7647384467480474</v>
      </c>
      <c r="AI154" s="19">
        <f t="shared" ref="AI154" si="1392">+AF154*(1+AI161)</f>
        <v>2.1032801079609378</v>
      </c>
      <c r="AJ154" s="19">
        <f t="shared" ref="AJ154" si="1393">+AG154*(1+AJ161)</f>
        <v>3.5150708653593759</v>
      </c>
      <c r="AK154" s="19">
        <f t="shared" ref="AK154" si="1394">+AH154*(1+AK161)</f>
        <v>1.8529753690854498</v>
      </c>
      <c r="AL154" s="19">
        <f t="shared" ref="AL154" si="1395">+AI154*(1+AL161)</f>
        <v>2.2084441133589849</v>
      </c>
      <c r="AM154" s="19">
        <f t="shared" ref="AM154" si="1396">+AJ154*(1+AM161)</f>
        <v>3.690824408627345</v>
      </c>
      <c r="AN154" s="19">
        <f t="shared" ref="AN154" si="1397">+AK154*(1+AN161)</f>
        <v>1.9456241375397223</v>
      </c>
      <c r="AO154" s="19">
        <f t="shared" ref="AO154" si="1398">+AL154*(1+AO161)</f>
        <v>2.3188663190269341</v>
      </c>
      <c r="AP154" s="19">
        <f t="shared" ref="AP154" si="1399">+AM154*(1+AP161)</f>
        <v>3.8753656290587122</v>
      </c>
      <c r="AQ154" s="19">
        <f t="shared" ref="AQ154" si="1400">+AN154*(1+AQ161)</f>
        <v>2.0429053444167087</v>
      </c>
      <c r="AR154" s="19">
        <f t="shared" ref="AR154" si="1401">+AO154*(1+AR161)</f>
        <v>2.4348096349782811</v>
      </c>
      <c r="AS154" s="19">
        <f t="shared" ref="AS154" si="1402">+AP154*(1+AS161)</f>
        <v>4.0691339105116482</v>
      </c>
      <c r="AT154" s="19">
        <f t="shared" ref="AT154" si="1403">+AQ154*(1+AT161)</f>
        <v>2.1450506116375441</v>
      </c>
      <c r="AU154" s="19">
        <f t="shared" ref="AU154" si="1404">+AR154*(1+AU161)</f>
        <v>2.5565501167271951</v>
      </c>
      <c r="AV154" s="19">
        <f t="shared" ref="AV154" si="1405">+AS154*(1+AV161)</f>
        <v>4.2725906060372312</v>
      </c>
    </row>
    <row r="155" spans="1:48" ht="14.1" customHeight="1" outlineLevel="1" x14ac:dyDescent="0.25">
      <c r="B155" s="11" t="s">
        <v>39</v>
      </c>
      <c r="C155" s="22" t="s">
        <v>29</v>
      </c>
      <c r="I155" s="14"/>
      <c r="J155" s="254">
        <f>+J154/G154-1</f>
        <v>0.59999999999999987</v>
      </c>
      <c r="K155" s="28">
        <f t="shared" ref="K155:X155" si="1406">+K154/H154-1</f>
        <v>-0.27777777777777768</v>
      </c>
      <c r="L155" s="310">
        <f>+L154/I154-1</f>
        <v>2.8571428571428692E-2</v>
      </c>
      <c r="M155" s="254">
        <f>+M154/J154-1</f>
        <v>-0.23437499999999989</v>
      </c>
      <c r="N155" s="14">
        <f t="shared" si="1406"/>
        <v>0.12307692307692264</v>
      </c>
      <c r="O155" s="14">
        <f t="shared" si="1406"/>
        <v>-0.20925925925925937</v>
      </c>
      <c r="P155" s="14">
        <f t="shared" si="1406"/>
        <v>7.4999999999999956E-2</v>
      </c>
      <c r="Q155" s="14">
        <f t="shared" si="1406"/>
        <v>7.4999999999999956E-2</v>
      </c>
      <c r="R155" s="14">
        <f t="shared" si="1406"/>
        <v>7.4999999999999956E-2</v>
      </c>
      <c r="S155" s="14">
        <f t="shared" si="1406"/>
        <v>5.0000000000000044E-2</v>
      </c>
      <c r="T155" s="14">
        <f t="shared" si="1406"/>
        <v>5.0000000000000044E-2</v>
      </c>
      <c r="U155" s="14">
        <f t="shared" si="1406"/>
        <v>5.0000000000000044E-2</v>
      </c>
      <c r="V155" s="14">
        <f t="shared" si="1406"/>
        <v>5.0000000000000044E-2</v>
      </c>
      <c r="W155" s="14">
        <f t="shared" si="1406"/>
        <v>5.0000000000000044E-2</v>
      </c>
      <c r="X155" s="14">
        <f t="shared" si="1406"/>
        <v>5.0000000000000044E-2</v>
      </c>
      <c r="Y155" s="14">
        <f t="shared" ref="Y155" si="1407">+Y154/V154-1</f>
        <v>5.0000000000000044E-2</v>
      </c>
      <c r="Z155" s="14">
        <f t="shared" ref="Z155" si="1408">+Z154/W154-1</f>
        <v>5.0000000000000044E-2</v>
      </c>
      <c r="AA155" s="14">
        <f t="shared" ref="AA155" si="1409">+AA154/X154-1</f>
        <v>5.0000000000000044E-2</v>
      </c>
      <c r="AB155" s="14">
        <f t="shared" ref="AB155" si="1410">+AB154/Y154-1</f>
        <v>5.0000000000000044E-2</v>
      </c>
      <c r="AC155" s="14">
        <f t="shared" ref="AC155" si="1411">+AC154/Z154-1</f>
        <v>5.0000000000000044E-2</v>
      </c>
      <c r="AD155" s="14">
        <f t="shared" ref="AD155" si="1412">+AD154/AA154-1</f>
        <v>5.0000000000000044E-2</v>
      </c>
      <c r="AE155" s="14">
        <f t="shared" ref="AE155" si="1413">+AE154/AB154-1</f>
        <v>5.0000000000000044E-2</v>
      </c>
      <c r="AF155" s="14">
        <f t="shared" ref="AF155" si="1414">+AF154/AC154-1</f>
        <v>5.0000000000000044E-2</v>
      </c>
      <c r="AG155" s="14">
        <f t="shared" ref="AG155" si="1415">+AG154/AD154-1</f>
        <v>5.0000000000000044E-2</v>
      </c>
      <c r="AH155" s="14">
        <f t="shared" ref="AH155" si="1416">+AH154/AE154-1</f>
        <v>5.0000000000000044E-2</v>
      </c>
      <c r="AI155" s="14">
        <f t="shared" ref="AI155" si="1417">+AI154/AF154-1</f>
        <v>5.0000000000000044E-2</v>
      </c>
      <c r="AJ155" s="14">
        <f t="shared" ref="AJ155" si="1418">+AJ154/AG154-1</f>
        <v>5.0000000000000044E-2</v>
      </c>
      <c r="AK155" s="14">
        <f t="shared" ref="AK155" si="1419">+AK154/AH154-1</f>
        <v>5.0000000000000044E-2</v>
      </c>
      <c r="AL155" s="14">
        <f t="shared" ref="AL155" si="1420">+AL154/AI154-1</f>
        <v>5.0000000000000044E-2</v>
      </c>
      <c r="AM155" s="14">
        <f t="shared" ref="AM155" si="1421">+AM154/AJ154-1</f>
        <v>5.0000000000000044E-2</v>
      </c>
      <c r="AN155" s="14">
        <f t="shared" ref="AN155" si="1422">+AN154/AK154-1</f>
        <v>5.0000000000000044E-2</v>
      </c>
      <c r="AO155" s="14">
        <f t="shared" ref="AO155" si="1423">+AO154/AL154-1</f>
        <v>5.0000000000000044E-2</v>
      </c>
      <c r="AP155" s="14">
        <f t="shared" ref="AP155" si="1424">+AP154/AM154-1</f>
        <v>5.0000000000000044E-2</v>
      </c>
      <c r="AQ155" s="14">
        <f t="shared" ref="AQ155" si="1425">+AQ154/AN154-1</f>
        <v>5.0000000000000044E-2</v>
      </c>
      <c r="AR155" s="14">
        <f t="shared" ref="AR155" si="1426">+AR154/AO154-1</f>
        <v>5.0000000000000044E-2</v>
      </c>
      <c r="AS155" s="14">
        <f t="shared" ref="AS155" si="1427">+AS154/AP154-1</f>
        <v>5.0000000000000044E-2</v>
      </c>
      <c r="AT155" s="14">
        <f t="shared" ref="AT155" si="1428">+AT154/AQ154-1</f>
        <v>5.0000000000000044E-2</v>
      </c>
      <c r="AU155" s="14">
        <f t="shared" ref="AU155" si="1429">+AU154/AR154-1</f>
        <v>5.0000000000000044E-2</v>
      </c>
      <c r="AV155" s="14">
        <f t="shared" ref="AV155" si="1430">+AV154/AS154-1</f>
        <v>5.0000000000000044E-2</v>
      </c>
    </row>
    <row r="156" spans="1:48" ht="14.1" customHeight="1" outlineLevel="1" x14ac:dyDescent="0.25">
      <c r="M156" s="8"/>
    </row>
    <row r="157" spans="1:48" ht="14.1" customHeight="1" outlineLevel="1" x14ac:dyDescent="0.25">
      <c r="B157" s="12" t="s">
        <v>42</v>
      </c>
      <c r="C157" s="22" t="s">
        <v>28</v>
      </c>
      <c r="G157" s="19">
        <f>+G158*G154</f>
        <v>0.5</v>
      </c>
      <c r="H157" s="19">
        <f>+H158*H154</f>
        <v>0.9</v>
      </c>
      <c r="I157" s="19">
        <f>+I158*I154</f>
        <v>0.75</v>
      </c>
      <c r="J157" s="19">
        <f t="shared" ref="J157:X157" si="1431">+J158*J154</f>
        <v>0.39999999999999997</v>
      </c>
      <c r="K157" s="19">
        <f>+K158*K154</f>
        <v>0.32500000000000007</v>
      </c>
      <c r="L157" s="309">
        <f>+L158*L154</f>
        <v>0.77142857142857146</v>
      </c>
      <c r="M157" s="19">
        <f t="shared" ref="M157" si="1432">+M158*M154</f>
        <v>0.30625000000000002</v>
      </c>
      <c r="N157" s="19">
        <f t="shared" si="1431"/>
        <v>0.36499999999999994</v>
      </c>
      <c r="O157" s="19">
        <f t="shared" si="1431"/>
        <v>0.61</v>
      </c>
      <c r="P157" s="19">
        <f>+P158*P154</f>
        <v>0.32921875</v>
      </c>
      <c r="Q157" s="19">
        <f t="shared" si="1431"/>
        <v>0.39237499999999992</v>
      </c>
      <c r="R157" s="19">
        <f>+R158*R154</f>
        <v>0.65574999999999994</v>
      </c>
      <c r="S157" s="19">
        <f t="shared" si="1431"/>
        <v>0.3456796875</v>
      </c>
      <c r="T157" s="19">
        <f t="shared" si="1431"/>
        <v>0.41199374999999994</v>
      </c>
      <c r="U157" s="19">
        <f t="shared" si="1431"/>
        <v>0.68853750000000002</v>
      </c>
      <c r="V157" s="19">
        <f t="shared" si="1431"/>
        <v>0.362963671875</v>
      </c>
      <c r="W157" s="19">
        <f t="shared" si="1431"/>
        <v>0.43259343749999996</v>
      </c>
      <c r="X157" s="19">
        <f t="shared" si="1431"/>
        <v>0.7229643750000001</v>
      </c>
      <c r="Y157" s="19">
        <f t="shared" ref="Y157:AA157" si="1433">+Y158*Y154</f>
        <v>0.38111185546875004</v>
      </c>
      <c r="Z157" s="19">
        <f t="shared" si="1433"/>
        <v>0.45422310937499999</v>
      </c>
      <c r="AA157" s="19">
        <f t="shared" si="1433"/>
        <v>0.75911259375000018</v>
      </c>
      <c r="AB157" s="19">
        <f t="shared" ref="AB157:AS157" si="1434">+AB158*AB154</f>
        <v>0.40016744824218758</v>
      </c>
      <c r="AC157" s="19">
        <f t="shared" si="1434"/>
        <v>0.47693426484375001</v>
      </c>
      <c r="AD157" s="19">
        <f t="shared" si="1434"/>
        <v>0.79706822343750017</v>
      </c>
      <c r="AE157" s="19">
        <f t="shared" si="1434"/>
        <v>0.42017582065429698</v>
      </c>
      <c r="AF157" s="19">
        <f t="shared" si="1434"/>
        <v>0.50078097808593758</v>
      </c>
      <c r="AG157" s="19">
        <f t="shared" si="1434"/>
        <v>0.83692163460937519</v>
      </c>
      <c r="AH157" s="19">
        <f t="shared" si="1434"/>
        <v>0.44118461168701184</v>
      </c>
      <c r="AI157" s="19">
        <f t="shared" si="1434"/>
        <v>0.52582002699023445</v>
      </c>
      <c r="AJ157" s="19">
        <f t="shared" si="1434"/>
        <v>0.87876771633984396</v>
      </c>
      <c r="AK157" s="19">
        <f t="shared" si="1434"/>
        <v>0.46324384227136245</v>
      </c>
      <c r="AL157" s="19">
        <f t="shared" si="1434"/>
        <v>0.55211102833974623</v>
      </c>
      <c r="AM157" s="19">
        <f t="shared" si="1434"/>
        <v>0.92270610215683624</v>
      </c>
      <c r="AN157" s="19">
        <f t="shared" si="1434"/>
        <v>0.48640603438493057</v>
      </c>
      <c r="AO157" s="19">
        <f t="shared" si="1434"/>
        <v>0.57971657975673352</v>
      </c>
      <c r="AP157" s="19">
        <f t="shared" si="1434"/>
        <v>0.96884140726467805</v>
      </c>
      <c r="AQ157" s="19">
        <f t="shared" si="1434"/>
        <v>0.51072633610417717</v>
      </c>
      <c r="AR157" s="19">
        <f t="shared" si="1434"/>
        <v>0.60870240874457027</v>
      </c>
      <c r="AS157" s="19">
        <f t="shared" si="1434"/>
        <v>1.017283477627912</v>
      </c>
      <c r="AT157" s="19">
        <f t="shared" ref="AT157:AV157" si="1435">+AT158*AT154</f>
        <v>0.53626265290938602</v>
      </c>
      <c r="AU157" s="19">
        <f t="shared" si="1435"/>
        <v>0.63913752918179878</v>
      </c>
      <c r="AV157" s="19">
        <f t="shared" si="1435"/>
        <v>1.0681476515093078</v>
      </c>
    </row>
    <row r="158" spans="1:48" ht="14.1" customHeight="1" outlineLevel="1" x14ac:dyDescent="0.25">
      <c r="B158" s="11" t="s">
        <v>55</v>
      </c>
      <c r="C158" s="22" t="s">
        <v>29</v>
      </c>
      <c r="G158" s="24">
        <v>0.5</v>
      </c>
      <c r="H158" s="24">
        <f>+G158</f>
        <v>0.5</v>
      </c>
      <c r="I158" s="44">
        <v>0.25</v>
      </c>
      <c r="J158" s="321">
        <f t="shared" ref="J158:X158" si="1436">+I158</f>
        <v>0.25</v>
      </c>
      <c r="K158" s="321">
        <f t="shared" ref="K158" si="1437">+J158</f>
        <v>0.25</v>
      </c>
      <c r="L158" s="372">
        <f t="shared" ref="L158" si="1438">+K158</f>
        <v>0.25</v>
      </c>
      <c r="M158" s="412">
        <f t="shared" si="1436"/>
        <v>0.25</v>
      </c>
      <c r="N158" s="44">
        <f t="shared" si="1436"/>
        <v>0.25</v>
      </c>
      <c r="O158" s="44">
        <v>0.25</v>
      </c>
      <c r="P158" s="208">
        <f t="shared" si="1436"/>
        <v>0.25</v>
      </c>
      <c r="Q158" s="208">
        <v>0.25</v>
      </c>
      <c r="R158" s="208">
        <f>+AVERAGE(P158:Q158)</f>
        <v>0.25</v>
      </c>
      <c r="S158" s="208">
        <v>0.25</v>
      </c>
      <c r="T158" s="208">
        <f t="shared" si="1436"/>
        <v>0.25</v>
      </c>
      <c r="U158" s="208">
        <f t="shared" si="1436"/>
        <v>0.25</v>
      </c>
      <c r="V158" s="208">
        <f t="shared" si="1436"/>
        <v>0.25</v>
      </c>
      <c r="W158" s="208">
        <f t="shared" si="1436"/>
        <v>0.25</v>
      </c>
      <c r="X158" s="208">
        <f t="shared" si="1436"/>
        <v>0.25</v>
      </c>
      <c r="Y158" s="208">
        <f t="shared" ref="Y158" si="1439">+X158</f>
        <v>0.25</v>
      </c>
      <c r="Z158" s="208">
        <f t="shared" ref="Z158" si="1440">+Y158</f>
        <v>0.25</v>
      </c>
      <c r="AA158" s="208">
        <f t="shared" ref="AA158" si="1441">+Z158</f>
        <v>0.25</v>
      </c>
      <c r="AB158" s="208">
        <f t="shared" ref="AB158" si="1442">+AA158</f>
        <v>0.25</v>
      </c>
      <c r="AC158" s="208">
        <f t="shared" ref="AC158" si="1443">+AB158</f>
        <v>0.25</v>
      </c>
      <c r="AD158" s="208">
        <f t="shared" ref="AD158" si="1444">+AC158</f>
        <v>0.25</v>
      </c>
      <c r="AE158" s="208">
        <f t="shared" ref="AE158" si="1445">+AD158</f>
        <v>0.25</v>
      </c>
      <c r="AF158" s="208">
        <f t="shared" ref="AF158" si="1446">+AE158</f>
        <v>0.25</v>
      </c>
      <c r="AG158" s="208">
        <f t="shared" ref="AG158" si="1447">+AF158</f>
        <v>0.25</v>
      </c>
      <c r="AH158" s="208">
        <f t="shared" ref="AH158" si="1448">+AG158</f>
        <v>0.25</v>
      </c>
      <c r="AI158" s="208">
        <f t="shared" ref="AI158" si="1449">+AH158</f>
        <v>0.25</v>
      </c>
      <c r="AJ158" s="208">
        <f t="shared" ref="AJ158" si="1450">+AI158</f>
        <v>0.25</v>
      </c>
      <c r="AK158" s="208">
        <f t="shared" ref="AK158" si="1451">+AJ158</f>
        <v>0.25</v>
      </c>
      <c r="AL158" s="208">
        <f t="shared" ref="AL158" si="1452">+AK158</f>
        <v>0.25</v>
      </c>
      <c r="AM158" s="208">
        <f t="shared" ref="AM158" si="1453">+AL158</f>
        <v>0.25</v>
      </c>
      <c r="AN158" s="208">
        <f t="shared" ref="AN158" si="1454">+AM158</f>
        <v>0.25</v>
      </c>
      <c r="AO158" s="208">
        <f t="shared" ref="AO158" si="1455">+AN158</f>
        <v>0.25</v>
      </c>
      <c r="AP158" s="208">
        <f t="shared" ref="AP158" si="1456">+AO158</f>
        <v>0.25</v>
      </c>
      <c r="AQ158" s="208">
        <f t="shared" ref="AQ158" si="1457">+AP158</f>
        <v>0.25</v>
      </c>
      <c r="AR158" s="208">
        <f t="shared" ref="AR158" si="1458">+AQ158</f>
        <v>0.25</v>
      </c>
      <c r="AS158" s="208">
        <f t="shared" ref="AS158" si="1459">+AR158</f>
        <v>0.25</v>
      </c>
      <c r="AT158" s="208">
        <f t="shared" ref="AT158" si="1460">+AS158</f>
        <v>0.25</v>
      </c>
      <c r="AU158" s="208">
        <f t="shared" ref="AU158" si="1461">+AT158</f>
        <v>0.25</v>
      </c>
      <c r="AV158" s="208">
        <f t="shared" ref="AV158" si="1462">+AU158</f>
        <v>0.25</v>
      </c>
    </row>
    <row r="159" spans="1:48" ht="14.1" customHeight="1" outlineLevel="1" x14ac:dyDescent="0.25"/>
    <row r="160" spans="1:48" ht="14.1" customHeight="1" outlineLevel="1" x14ac:dyDescent="0.25"/>
    <row r="161" spans="1:55" ht="14.1" customHeight="1" outlineLevel="1" x14ac:dyDescent="0.25">
      <c r="A161" t="s">
        <v>636</v>
      </c>
      <c r="B161" s="12" t="s">
        <v>30</v>
      </c>
      <c r="C161" s="22" t="s">
        <v>29</v>
      </c>
      <c r="J161" s="322"/>
      <c r="K161" s="15"/>
      <c r="L161" s="355"/>
      <c r="M161" s="39"/>
      <c r="N161" s="15"/>
      <c r="O161" s="30"/>
      <c r="P161" s="208">
        <v>7.4999999999999997E-2</v>
      </c>
      <c r="Q161" s="209">
        <f>2*R161-P161</f>
        <v>7.4999999999999997E-2</v>
      </c>
      <c r="R161" s="208">
        <v>7.4999999999999997E-2</v>
      </c>
      <c r="S161" s="208">
        <v>0.05</v>
      </c>
      <c r="T161" s="209">
        <f>2*U161-S161</f>
        <v>0.05</v>
      </c>
      <c r="U161" s="208">
        <f>+S161</f>
        <v>0.05</v>
      </c>
      <c r="V161" s="208">
        <f>+U161</f>
        <v>0.05</v>
      </c>
      <c r="W161" s="209">
        <f>2*X161-V161</f>
        <v>0.05</v>
      </c>
      <c r="X161" s="208">
        <v>0.05</v>
      </c>
      <c r="Y161" s="208">
        <f>+X161</f>
        <v>0.05</v>
      </c>
      <c r="Z161" s="209">
        <f>2*AA161-Y161</f>
        <v>0.05</v>
      </c>
      <c r="AA161" s="208">
        <f>+Y161</f>
        <v>0.05</v>
      </c>
      <c r="AB161" s="208">
        <f t="shared" ref="AB161" si="1463">+AA161</f>
        <v>0.05</v>
      </c>
      <c r="AC161" s="209">
        <f t="shared" ref="AC161" si="1464">2*AD161-AB161</f>
        <v>0.05</v>
      </c>
      <c r="AD161" s="208">
        <f t="shared" ref="AD161" si="1465">+AB161</f>
        <v>0.05</v>
      </c>
      <c r="AE161" s="208">
        <f t="shared" ref="AE161" si="1466">+AD161</f>
        <v>0.05</v>
      </c>
      <c r="AF161" s="209">
        <f t="shared" ref="AF161" si="1467">2*AG161-AE161</f>
        <v>0.05</v>
      </c>
      <c r="AG161" s="208">
        <v>0.05</v>
      </c>
      <c r="AH161" s="208">
        <f t="shared" ref="AH161" si="1468">+AG161</f>
        <v>0.05</v>
      </c>
      <c r="AI161" s="209">
        <f t="shared" ref="AI161" si="1469">2*AJ161-AH161</f>
        <v>0.05</v>
      </c>
      <c r="AJ161" s="208">
        <f t="shared" ref="AJ161" si="1470">+AH161</f>
        <v>0.05</v>
      </c>
      <c r="AK161" s="208">
        <f t="shared" ref="AK161" si="1471">+AJ161</f>
        <v>0.05</v>
      </c>
      <c r="AL161" s="209">
        <f t="shared" ref="AL161" si="1472">2*AM161-AK161</f>
        <v>0.05</v>
      </c>
      <c r="AM161" s="208">
        <f t="shared" ref="AM161" si="1473">+AK161</f>
        <v>0.05</v>
      </c>
      <c r="AN161" s="208">
        <f>+AM161</f>
        <v>0.05</v>
      </c>
      <c r="AO161" s="209">
        <f t="shared" ref="AO161:AR161" si="1474">2*AP161-AN161</f>
        <v>0.05</v>
      </c>
      <c r="AP161" s="208">
        <f t="shared" ref="AP161" si="1475">+AN161</f>
        <v>0.05</v>
      </c>
      <c r="AQ161" s="208">
        <f>+AP161</f>
        <v>0.05</v>
      </c>
      <c r="AR161" s="209">
        <f t="shared" si="1474"/>
        <v>0.05</v>
      </c>
      <c r="AS161" s="208">
        <f t="shared" ref="AS161" si="1476">+AQ161</f>
        <v>0.05</v>
      </c>
      <c r="AT161" s="208">
        <f>+AS161</f>
        <v>0.05</v>
      </c>
      <c r="AU161" s="209">
        <f t="shared" ref="AU161" si="1477">2*AV161-AT161</f>
        <v>0.05</v>
      </c>
      <c r="AV161" s="208">
        <f t="shared" ref="AV161" si="1478">+AT161</f>
        <v>0.05</v>
      </c>
    </row>
    <row r="162" spans="1:55" ht="14.1" customHeight="1" outlineLevel="1" x14ac:dyDescent="0.25">
      <c r="B162" s="11"/>
      <c r="K162" s="23"/>
      <c r="L162" s="366"/>
      <c r="M162" s="408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  <c r="AF162" s="23"/>
      <c r="AG162" s="23"/>
      <c r="AH162" s="23"/>
      <c r="AI162" s="23"/>
      <c r="AJ162" s="23"/>
      <c r="AK162" s="23"/>
      <c r="AL162" s="23"/>
      <c r="AM162" s="23"/>
      <c r="AN162" s="23"/>
      <c r="AO162" s="23"/>
      <c r="AP162" s="23"/>
      <c r="AQ162" s="23"/>
      <c r="AR162" s="23"/>
      <c r="AS162" s="23"/>
      <c r="AT162" s="23"/>
      <c r="AU162" s="23"/>
      <c r="AV162" s="23"/>
    </row>
    <row r="163" spans="1:55" ht="14.1" customHeight="1" outlineLevel="1" x14ac:dyDescent="0.25">
      <c r="B163" s="11"/>
      <c r="J163" s="55"/>
      <c r="K163" s="28"/>
      <c r="L163" s="310"/>
      <c r="M163" s="328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  <c r="AL163" s="14"/>
      <c r="AM163" s="14"/>
      <c r="AN163" s="14"/>
      <c r="AO163" s="14"/>
      <c r="AP163" s="14"/>
      <c r="AQ163" s="14"/>
      <c r="AR163" s="14"/>
      <c r="AS163" s="14"/>
      <c r="AT163" s="14"/>
      <c r="AU163" s="14"/>
      <c r="AV163" s="14"/>
    </row>
    <row r="164" spans="1:55" ht="14.1" customHeight="1" outlineLevel="1" x14ac:dyDescent="0.25"/>
    <row r="165" spans="1:55" ht="14.1" customHeight="1" outlineLevel="1" x14ac:dyDescent="0.25">
      <c r="A165" t="s">
        <v>664</v>
      </c>
      <c r="B165" s="12" t="s">
        <v>31</v>
      </c>
      <c r="C165" s="227" t="s">
        <v>28</v>
      </c>
      <c r="F165" s="19">
        <f>F13</f>
        <v>2.5</v>
      </c>
      <c r="G165" s="19">
        <f>G13</f>
        <v>1.5</v>
      </c>
      <c r="H165" s="19">
        <f>H13</f>
        <v>4.5</v>
      </c>
      <c r="I165" s="19">
        <f>I13</f>
        <v>6</v>
      </c>
      <c r="J165" s="170">
        <f>J13</f>
        <v>5.6</v>
      </c>
      <c r="K165" s="57">
        <f>+L165-J165</f>
        <v>5.2000000000000011</v>
      </c>
      <c r="L165" s="373">
        <f>L13</f>
        <v>10.8</v>
      </c>
      <c r="M165" s="201">
        <f>M13</f>
        <v>4.9000000000000004</v>
      </c>
      <c r="N165" s="57">
        <f>+O165-M165</f>
        <v>7.2999999999999989</v>
      </c>
      <c r="O165" s="373">
        <f>O13</f>
        <v>12.2</v>
      </c>
      <c r="P165" s="112">
        <f>+P154*P147+P149*P157-0.5</f>
        <v>8.0596875000000008</v>
      </c>
      <c r="Q165" s="112">
        <f>+R165-P165</f>
        <v>8.9898124999999975</v>
      </c>
      <c r="R165" s="112">
        <f>+R154*R147+R149*R157</f>
        <v>17.049499999999998</v>
      </c>
      <c r="S165" s="112">
        <f t="shared" ref="S165" si="1479">+S154*S147+S149*S157</f>
        <v>11.753109374999999</v>
      </c>
      <c r="T165" s="112">
        <f t="shared" ref="T165" si="1480">+U165-S165</f>
        <v>13.034240625000001</v>
      </c>
      <c r="U165" s="112">
        <f t="shared" ref="U165:V165" si="1481">+U154*U147+U149*U157</f>
        <v>24.78735</v>
      </c>
      <c r="V165" s="112">
        <f t="shared" si="1481"/>
        <v>17.42225625</v>
      </c>
      <c r="W165" s="112">
        <f t="shared" ref="W165" si="1482">+X165-V165</f>
        <v>17.280033750000005</v>
      </c>
      <c r="X165" s="112">
        <f t="shared" ref="X165:Y165" si="1483">+X154*X147+X149*X157</f>
        <v>34.702290000000005</v>
      </c>
      <c r="Y165" s="112">
        <f t="shared" si="1483"/>
        <v>18.293369062500002</v>
      </c>
      <c r="Z165" s="112">
        <f t="shared" ref="Z165" si="1484">+AA165-Y165</f>
        <v>18.144035437500005</v>
      </c>
      <c r="AA165" s="112">
        <f>+AA154*AA147+AA149*AA157</f>
        <v>36.437404500000007</v>
      </c>
      <c r="AB165" s="112">
        <f t="shared" ref="AB165" si="1485">+AB154*AB147+AB149*AB157</f>
        <v>19.208037515625005</v>
      </c>
      <c r="AC165" s="112">
        <f t="shared" ref="AC165" si="1486">+AD165-AB165</f>
        <v>19.051237209375007</v>
      </c>
      <c r="AD165" s="112">
        <f t="shared" ref="AD165:AE165" si="1487">+AD154*AD147+AD149*AD157</f>
        <v>38.259274725000012</v>
      </c>
      <c r="AE165" s="112">
        <f t="shared" si="1487"/>
        <v>20.168439391406256</v>
      </c>
      <c r="AF165" s="112">
        <f t="shared" ref="AF165" si="1488">+AG165-AE165</f>
        <v>20.003799069843755</v>
      </c>
      <c r="AG165" s="112">
        <f t="shared" ref="AG165:AH165" si="1489">+AG154*AG147+AG149*AG157</f>
        <v>40.172238461250011</v>
      </c>
      <c r="AH165" s="112">
        <f t="shared" si="1489"/>
        <v>21.176861360976567</v>
      </c>
      <c r="AI165" s="112">
        <f t="shared" ref="AI165" si="1490">+AJ165-AH165</f>
        <v>21.00398902333594</v>
      </c>
      <c r="AJ165" s="112">
        <f t="shared" ref="AJ165:AK165" si="1491">+AJ154*AJ147+AJ149*AJ157</f>
        <v>42.180850384312507</v>
      </c>
      <c r="AK165" s="112">
        <f t="shared" si="1491"/>
        <v>22.235704429025397</v>
      </c>
      <c r="AL165" s="112">
        <f t="shared" ref="AL165" si="1492">+AM165-AK165</f>
        <v>22.054188474502745</v>
      </c>
      <c r="AM165" s="112">
        <f t="shared" ref="AM165:AN165" si="1493">+AM154*AM147+AM149*AM157</f>
        <v>44.289892903528141</v>
      </c>
      <c r="AN165" s="112">
        <f t="shared" si="1493"/>
        <v>23.347489650476668</v>
      </c>
      <c r="AO165" s="112">
        <f t="shared" ref="AO165" si="1494">+AP165-AN165</f>
        <v>23.156897898227875</v>
      </c>
      <c r="AP165" s="112">
        <f t="shared" ref="AP165:AQ165" si="1495">+AP154*AP147+AP149*AP157</f>
        <v>46.504387548704543</v>
      </c>
      <c r="AQ165" s="112">
        <f t="shared" si="1495"/>
        <v>24.514864133000504</v>
      </c>
      <c r="AR165" s="112">
        <f t="shared" ref="AR165" si="1496">+AS165-AQ165</f>
        <v>24.314742793139271</v>
      </c>
      <c r="AS165" s="112">
        <f t="shared" ref="AS165:AT165" si="1497">+AS154*AS147+AS149*AS157</f>
        <v>48.829606926139775</v>
      </c>
      <c r="AT165" s="112">
        <f t="shared" si="1497"/>
        <v>25.740607339650531</v>
      </c>
      <c r="AU165" s="112">
        <f t="shared" ref="AU165" si="1498">+AV165-AT165</f>
        <v>25.530479932796247</v>
      </c>
      <c r="AV165" s="112">
        <f t="shared" ref="AV165" si="1499">+AV154*AV147+AV149*AV157</f>
        <v>51.271087272446778</v>
      </c>
    </row>
    <row r="166" spans="1:55" ht="14.1" customHeight="1" outlineLevel="1" x14ac:dyDescent="0.25">
      <c r="A166" t="s">
        <v>637</v>
      </c>
      <c r="B166" s="11" t="s">
        <v>39</v>
      </c>
      <c r="C166" s="22" t="s">
        <v>29</v>
      </c>
      <c r="I166" s="14">
        <f>+I165/F165-1</f>
        <v>1.4</v>
      </c>
      <c r="J166" s="254">
        <f>+J165/G165-1</f>
        <v>2.7333333333333329</v>
      </c>
      <c r="K166" s="28">
        <f t="shared" ref="K166:X166" si="1500">+K165/H165-1</f>
        <v>0.15555555555555589</v>
      </c>
      <c r="L166" s="310">
        <f>+L165/I165-1</f>
        <v>0.8</v>
      </c>
      <c r="M166" s="328">
        <f>+M165/J165-1</f>
        <v>-0.12499999999999989</v>
      </c>
      <c r="N166" s="28">
        <f t="shared" ref="N166" si="1501">+N165/K165-1</f>
        <v>0.4038461538461533</v>
      </c>
      <c r="O166" s="310">
        <f>+O165/L165-1</f>
        <v>0.12962962962962954</v>
      </c>
      <c r="P166" s="14">
        <f t="shared" si="1500"/>
        <v>0.64483418367346945</v>
      </c>
      <c r="Q166" s="14">
        <f t="shared" si="1500"/>
        <v>0.23148116438356148</v>
      </c>
      <c r="R166" s="14">
        <f>+R165/O165-1</f>
        <v>0.39749999999999996</v>
      </c>
      <c r="S166" s="14">
        <f t="shared" si="1500"/>
        <v>0.45825869489356719</v>
      </c>
      <c r="T166" s="14">
        <f t="shared" si="1500"/>
        <v>0.4498901534375721</v>
      </c>
      <c r="U166" s="14">
        <f t="shared" si="1500"/>
        <v>0.45384615384615401</v>
      </c>
      <c r="V166" s="14">
        <f t="shared" si="1500"/>
        <v>0.48235294117647065</v>
      </c>
      <c r="W166" s="14">
        <f t="shared" si="1500"/>
        <v>0.32574150248971678</v>
      </c>
      <c r="X166" s="14">
        <f t="shared" si="1500"/>
        <v>0.40000000000000013</v>
      </c>
      <c r="Y166" s="14">
        <f t="shared" ref="Y166" si="1502">+Y165/V165-1</f>
        <v>5.0000000000000044E-2</v>
      </c>
      <c r="Z166" s="14">
        <f t="shared" ref="Z166" si="1503">+Z165/W165-1</f>
        <v>5.0000000000000044E-2</v>
      </c>
      <c r="AA166" s="14">
        <f t="shared" ref="AA166" si="1504">+AA165/X165-1</f>
        <v>5.0000000000000044E-2</v>
      </c>
      <c r="AB166" s="14">
        <f t="shared" ref="AB166" si="1505">+AB165/Y165-1</f>
        <v>5.0000000000000266E-2</v>
      </c>
      <c r="AC166" s="14">
        <f t="shared" ref="AC166" si="1506">+AC165/Z165-1</f>
        <v>5.0000000000000044E-2</v>
      </c>
      <c r="AD166" s="14">
        <f t="shared" ref="AD166" si="1507">+AD165/AA165-1</f>
        <v>5.0000000000000044E-2</v>
      </c>
      <c r="AE166" s="14">
        <f t="shared" ref="AE166" si="1508">+AE165/AB165-1</f>
        <v>5.0000000000000044E-2</v>
      </c>
      <c r="AF166" s="14">
        <f t="shared" ref="AF166" si="1509">+AF165/AC165-1</f>
        <v>4.9999999999999822E-2</v>
      </c>
      <c r="AG166" s="14">
        <f t="shared" ref="AG166" si="1510">+AG165/AD165-1</f>
        <v>5.0000000000000044E-2</v>
      </c>
      <c r="AH166" s="14">
        <f t="shared" ref="AH166" si="1511">+AH165/AE165-1</f>
        <v>4.9999999999999822E-2</v>
      </c>
      <c r="AI166" s="14">
        <f t="shared" ref="AI166" si="1512">+AI165/AF165-1</f>
        <v>4.9999999999999822E-2</v>
      </c>
      <c r="AJ166" s="14">
        <f t="shared" ref="AJ166" si="1513">+AJ165/AG165-1</f>
        <v>4.9999999999999822E-2</v>
      </c>
      <c r="AK166" s="14">
        <f t="shared" ref="AK166" si="1514">+AK165/AH165-1</f>
        <v>5.0000000000000044E-2</v>
      </c>
      <c r="AL166" s="14">
        <f t="shared" ref="AL166" si="1515">+AL165/AI165-1</f>
        <v>5.0000000000000266E-2</v>
      </c>
      <c r="AM166" s="14">
        <f t="shared" ref="AM166" si="1516">+AM165/AJ165-1</f>
        <v>5.0000000000000266E-2</v>
      </c>
      <c r="AN166" s="14">
        <f t="shared" ref="AN166" si="1517">+AN165/AK165-1</f>
        <v>5.0000000000000044E-2</v>
      </c>
      <c r="AO166" s="14">
        <f t="shared" ref="AO166" si="1518">+AO165/AL165-1</f>
        <v>4.99999999999996E-2</v>
      </c>
      <c r="AP166" s="14">
        <f t="shared" ref="AP166" si="1519">+AP165/AM165-1</f>
        <v>4.9999999999999822E-2</v>
      </c>
      <c r="AQ166" s="14">
        <f t="shared" ref="AQ166" si="1520">+AQ165/AN165-1</f>
        <v>5.0000000000000044E-2</v>
      </c>
      <c r="AR166" s="14">
        <f t="shared" ref="AR166" si="1521">+AR165/AO165-1</f>
        <v>5.0000000000000044E-2</v>
      </c>
      <c r="AS166" s="14">
        <f t="shared" ref="AS166" si="1522">+AS165/AP165-1</f>
        <v>5.0000000000000044E-2</v>
      </c>
      <c r="AT166" s="14">
        <f t="shared" ref="AT166" si="1523">+AT165/AQ165-1</f>
        <v>5.0000000000000044E-2</v>
      </c>
      <c r="AU166" s="14">
        <f t="shared" ref="AU166" si="1524">+AU165/AR165-1</f>
        <v>5.0000000000000488E-2</v>
      </c>
      <c r="AV166" s="14">
        <f t="shared" ref="AV166" si="1525">+AV165/AS165-1</f>
        <v>5.0000000000000266E-2</v>
      </c>
    </row>
    <row r="167" spans="1:55" ht="14.1" customHeight="1" outlineLevel="1" x14ac:dyDescent="0.25">
      <c r="B167" s="8" t="s">
        <v>681</v>
      </c>
      <c r="M167" s="454">
        <v>3.2</v>
      </c>
      <c r="N167" s="19">
        <f>+O167-M167</f>
        <v>5.7</v>
      </c>
      <c r="O167" s="455">
        <v>8.9</v>
      </c>
      <c r="P167" s="19">
        <f>+M167/M165*P165</f>
        <v>5.2634693877551024</v>
      </c>
      <c r="Q167" s="19">
        <f>+N167/N165*Q165</f>
        <v>7.0194426369863008</v>
      </c>
      <c r="R167" s="19">
        <f>+O167/O165*R165</f>
        <v>12.437749999999999</v>
      </c>
      <c r="S167" s="19">
        <f t="shared" ref="S167:AS167" si="1526">+P167/P165*S165</f>
        <v>7.6754999999999987</v>
      </c>
      <c r="T167" s="19">
        <f t="shared" si="1526"/>
        <v>10.177420761986303</v>
      </c>
      <c r="U167" s="19">
        <f t="shared" si="1526"/>
        <v>18.082575000000002</v>
      </c>
      <c r="V167" s="19">
        <f t="shared" si="1526"/>
        <v>11.377799999999999</v>
      </c>
      <c r="W167" s="19">
        <f t="shared" si="1526"/>
        <v>13.492629092465759</v>
      </c>
      <c r="X167" s="19">
        <f t="shared" si="1526"/>
        <v>25.315605000000005</v>
      </c>
      <c r="Y167" s="19">
        <f t="shared" si="1526"/>
        <v>11.94669</v>
      </c>
      <c r="Z167" s="19">
        <f t="shared" si="1526"/>
        <v>14.167260547089047</v>
      </c>
      <c r="AA167" s="19">
        <f t="shared" si="1526"/>
        <v>26.581385250000007</v>
      </c>
      <c r="AB167" s="19">
        <f t="shared" si="1526"/>
        <v>12.544024500000003</v>
      </c>
      <c r="AC167" s="19">
        <f t="shared" si="1526"/>
        <v>14.8756235744435</v>
      </c>
      <c r="AD167" s="19">
        <f t="shared" si="1526"/>
        <v>27.91045451250001</v>
      </c>
      <c r="AE167" s="19">
        <f t="shared" si="1526"/>
        <v>13.171225725000003</v>
      </c>
      <c r="AF167" s="19">
        <f t="shared" si="1526"/>
        <v>15.619404753165673</v>
      </c>
      <c r="AG167" s="19">
        <f t="shared" si="1526"/>
        <v>29.30597723812501</v>
      </c>
      <c r="AH167" s="19">
        <f t="shared" si="1526"/>
        <v>13.829787011250001</v>
      </c>
      <c r="AI167" s="19">
        <f t="shared" si="1526"/>
        <v>16.400374990823956</v>
      </c>
      <c r="AJ167" s="19">
        <f t="shared" si="1526"/>
        <v>30.771276100031255</v>
      </c>
      <c r="AK167" s="19">
        <f t="shared" si="1526"/>
        <v>14.521276361812502</v>
      </c>
      <c r="AL167" s="19">
        <f t="shared" si="1526"/>
        <v>17.220393740365161</v>
      </c>
      <c r="AM167" s="19">
        <f t="shared" si="1526"/>
        <v>32.309839905032824</v>
      </c>
      <c r="AN167" s="19">
        <f t="shared" si="1526"/>
        <v>15.247340179903128</v>
      </c>
      <c r="AO167" s="19">
        <f t="shared" si="1526"/>
        <v>18.081413427383414</v>
      </c>
      <c r="AP167" s="19">
        <f t="shared" si="1526"/>
        <v>33.925331900284462</v>
      </c>
      <c r="AQ167" s="19">
        <f t="shared" si="1526"/>
        <v>16.009707188898286</v>
      </c>
      <c r="AR167" s="19">
        <f t="shared" si="1526"/>
        <v>18.985484098752586</v>
      </c>
      <c r="AS167" s="19">
        <f t="shared" si="1526"/>
        <v>35.621598495298691</v>
      </c>
      <c r="AT167" s="19">
        <f t="shared" ref="AT167" si="1527">+AQ167/AQ165*AT165</f>
        <v>16.810192548343203</v>
      </c>
      <c r="AU167" s="19">
        <f t="shared" ref="AU167" si="1528">+AR167/AR165*AU165</f>
        <v>19.934758303690227</v>
      </c>
      <c r="AV167" s="19">
        <f t="shared" ref="AV167" si="1529">+AS167/AS165*AV165</f>
        <v>37.402678420063637</v>
      </c>
    </row>
    <row r="168" spans="1:55" ht="14.1" customHeight="1" outlineLevel="1" x14ac:dyDescent="0.25">
      <c r="J168" s="55"/>
    </row>
    <row r="169" spans="1:55" ht="14.1" customHeight="1" outlineLevel="1" x14ac:dyDescent="0.25">
      <c r="A169" t="s">
        <v>640</v>
      </c>
      <c r="B169" s="12" t="s">
        <v>49</v>
      </c>
      <c r="C169" s="227" t="s">
        <v>28</v>
      </c>
      <c r="F169" s="19">
        <f>+F170*F165</f>
        <v>-0.39500000000000002</v>
      </c>
      <c r="G169" s="19">
        <f>+G170*G165</f>
        <v>-0.24149999999999999</v>
      </c>
      <c r="H169" s="19">
        <f>+I169-G169</f>
        <v>-0.52649999999999997</v>
      </c>
      <c r="I169" s="19">
        <f>+I170*I165</f>
        <v>-0.76800000000000002</v>
      </c>
      <c r="J169" s="19">
        <f>+J170*J165</f>
        <v>-0.504</v>
      </c>
      <c r="K169" s="19">
        <f>+L169-J169</f>
        <v>-0.48960000000000004</v>
      </c>
      <c r="L169" s="309">
        <f>+L170*L165</f>
        <v>-0.99360000000000004</v>
      </c>
      <c r="M169" s="19">
        <f>+M170*M167</f>
        <v>-1.3056000000000001</v>
      </c>
      <c r="N169" s="19">
        <f>+O169-M169</f>
        <v>-3.8118999999999996</v>
      </c>
      <c r="O169" s="359">
        <f>O170*O167</f>
        <v>-5.1174999999999997</v>
      </c>
      <c r="P169" s="19">
        <f>+P170*P165</f>
        <v>-2.6193984375000006</v>
      </c>
      <c r="Q169" s="19">
        <f>+R169-P169</f>
        <v>-2.9216890624999992</v>
      </c>
      <c r="R169" s="19">
        <f>+R170*R165</f>
        <v>-5.5410874999999997</v>
      </c>
      <c r="S169" s="19">
        <f>+S170*S165</f>
        <v>-0.88148320312499995</v>
      </c>
      <c r="T169" s="19">
        <f>+U169-S169</f>
        <v>-0.97756804687499987</v>
      </c>
      <c r="U169" s="19">
        <f>+U170*U165</f>
        <v>-1.8590512499999998</v>
      </c>
      <c r="V169" s="19">
        <f>+V170*V165</f>
        <v>0</v>
      </c>
      <c r="W169" s="19">
        <f>+X169-V169</f>
        <v>0</v>
      </c>
      <c r="X169" s="19">
        <f>+X170*X165</f>
        <v>0</v>
      </c>
      <c r="Y169" s="19">
        <f>+Y170*Y165</f>
        <v>0.54880107187500005</v>
      </c>
      <c r="Z169" s="19">
        <f>+AA169-Y169</f>
        <v>0.54432106312500017</v>
      </c>
      <c r="AA169" s="19">
        <f>+AA170*AA165</f>
        <v>1.0931221350000002</v>
      </c>
      <c r="AB169" s="19">
        <f t="shared" ref="AB169" si="1530">+AB170*AB165</f>
        <v>1.1524822509375003</v>
      </c>
      <c r="AC169" s="19">
        <f t="shared" ref="AC169" si="1531">+AD169-AB169</f>
        <v>1.1430742325625001</v>
      </c>
      <c r="AD169" s="19">
        <f t="shared" ref="AD169:AE169" si="1532">+AD170*AD165</f>
        <v>2.2955564835000004</v>
      </c>
      <c r="AE169" s="19">
        <f t="shared" si="1532"/>
        <v>1.815159545226563</v>
      </c>
      <c r="AF169" s="19">
        <f t="shared" ref="AF169" si="1533">+AG169-AE169</f>
        <v>1.8003419162859378</v>
      </c>
      <c r="AG169" s="19">
        <f t="shared" ref="AG169:AH169" si="1534">+AG170*AG165</f>
        <v>3.6155014615125007</v>
      </c>
      <c r="AH169" s="19">
        <f t="shared" si="1534"/>
        <v>2.5412233633171879</v>
      </c>
      <c r="AI169" s="19">
        <f t="shared" ref="AI169" si="1535">+AJ169-AH169</f>
        <v>2.5204786828003125</v>
      </c>
      <c r="AJ169" s="19">
        <f t="shared" ref="AJ169:AK169" si="1536">+AJ170*AJ165</f>
        <v>5.0617020461175004</v>
      </c>
      <c r="AK169" s="19">
        <f t="shared" si="1536"/>
        <v>3.3353556643538096</v>
      </c>
      <c r="AL169" s="19">
        <f t="shared" ref="AL169" si="1537">+AM169-AK169</f>
        <v>3.3081282711754114</v>
      </c>
      <c r="AM169" s="19">
        <f t="shared" ref="AM169:AN169" si="1538">+AM170*AM165</f>
        <v>6.643483935529221</v>
      </c>
      <c r="AN169" s="19">
        <f t="shared" si="1538"/>
        <v>3.5021234475715</v>
      </c>
      <c r="AO169" s="19">
        <f t="shared" ref="AO169:AR169" si="1539">+AP169-AN169</f>
        <v>3.4735346847341813</v>
      </c>
      <c r="AP169" s="19">
        <f t="shared" ref="AP169" si="1540">+AP170*AP165</f>
        <v>6.9756581323056812</v>
      </c>
      <c r="AQ169" s="19">
        <f t="shared" ref="AQ169" si="1541">+AQ170*AQ165</f>
        <v>3.6772296199500754</v>
      </c>
      <c r="AR169" s="19">
        <f t="shared" si="1539"/>
        <v>3.6472114189708909</v>
      </c>
      <c r="AS169" s="19">
        <f>+AS170*AS165</f>
        <v>7.3244410389209662</v>
      </c>
      <c r="AT169" s="19">
        <f t="shared" ref="AT169" si="1542">+AT170*AT165</f>
        <v>3.8610911009475792</v>
      </c>
      <c r="AU169" s="19">
        <f t="shared" ref="AU169" si="1543">+AV169-AT169</f>
        <v>3.8295719899194367</v>
      </c>
      <c r="AV169" s="19">
        <f>+AV170*AV165</f>
        <v>7.6906630908670159</v>
      </c>
    </row>
    <row r="170" spans="1:55" ht="14.1" customHeight="1" outlineLevel="1" x14ac:dyDescent="0.25">
      <c r="A170" t="s">
        <v>639</v>
      </c>
      <c r="B170" s="8" t="s">
        <v>486</v>
      </c>
      <c r="C170" s="22" t="s">
        <v>29</v>
      </c>
      <c r="F170" s="199">
        <v>-0.158</v>
      </c>
      <c r="G170" s="199">
        <v>-0.161</v>
      </c>
      <c r="H170" s="18">
        <f>+H169/H165</f>
        <v>-0.11699999999999999</v>
      </c>
      <c r="I170" s="202">
        <v>-0.128</v>
      </c>
      <c r="J170" s="202">
        <v>-0.09</v>
      </c>
      <c r="K170" s="31">
        <f>+K169/K165</f>
        <v>-9.4153846153846144E-2</v>
      </c>
      <c r="L170" s="350">
        <v>-9.1999999999999998E-2</v>
      </c>
      <c r="M170" s="440">
        <v>-0.40799999999999997</v>
      </c>
      <c r="N170" s="31">
        <f>+N169/N165</f>
        <v>-0.52217808219178086</v>
      </c>
      <c r="O170" s="350">
        <v>-0.57499999999999996</v>
      </c>
      <c r="P170" s="208">
        <f>+R170</f>
        <v>-0.32500000000000001</v>
      </c>
      <c r="Q170" s="209">
        <f>+Q169/Q165</f>
        <v>-0.32500000000000001</v>
      </c>
      <c r="R170" s="208">
        <v>-0.32500000000000001</v>
      </c>
      <c r="S170" s="208">
        <v>-7.4999999999999997E-2</v>
      </c>
      <c r="T170" s="209">
        <f>+T169/T165</f>
        <v>-7.4999999999999983E-2</v>
      </c>
      <c r="U170" s="208">
        <v>-7.4999999999999997E-2</v>
      </c>
      <c r="V170" s="208">
        <v>0</v>
      </c>
      <c r="W170" s="209">
        <f>+W169/W165</f>
        <v>0</v>
      </c>
      <c r="X170" s="208">
        <v>0</v>
      </c>
      <c r="Y170" s="208">
        <f>+AA170</f>
        <v>0.03</v>
      </c>
      <c r="Z170" s="209">
        <f>+Z169/Z165</f>
        <v>3.0000000000000002E-2</v>
      </c>
      <c r="AA170" s="208">
        <v>0.03</v>
      </c>
      <c r="AB170" s="208">
        <f>+AD170</f>
        <v>0.06</v>
      </c>
      <c r="AC170" s="209">
        <f t="shared" ref="AC170" si="1544">+AC169/AC165</f>
        <v>5.9999999999999984E-2</v>
      </c>
      <c r="AD170" s="208">
        <v>0.06</v>
      </c>
      <c r="AE170" s="208">
        <f>+AG170</f>
        <v>0.09</v>
      </c>
      <c r="AF170" s="209">
        <f t="shared" ref="AF170" si="1545">+AF169/AF165</f>
        <v>0.09</v>
      </c>
      <c r="AG170" s="208">
        <v>0.09</v>
      </c>
      <c r="AH170" s="208">
        <f>+AJ170</f>
        <v>0.12</v>
      </c>
      <c r="AI170" s="209">
        <f t="shared" ref="AI170" si="1546">+AI169/AI165</f>
        <v>0.11999999999999998</v>
      </c>
      <c r="AJ170" s="208">
        <v>0.12</v>
      </c>
      <c r="AK170" s="208">
        <f>+AM170</f>
        <v>0.15</v>
      </c>
      <c r="AL170" s="209">
        <f t="shared" ref="AL170" si="1547">+AL169/AL165</f>
        <v>0.15</v>
      </c>
      <c r="AM170" s="208">
        <v>0.15</v>
      </c>
      <c r="AN170" s="208">
        <f>+AP170</f>
        <v>0.15</v>
      </c>
      <c r="AO170" s="209">
        <f t="shared" ref="AO170" si="1548">+AO169/AO165</f>
        <v>0.15</v>
      </c>
      <c r="AP170" s="208">
        <v>0.15</v>
      </c>
      <c r="AQ170" s="208">
        <f t="shared" ref="AQ170" si="1549">+AP170</f>
        <v>0.15</v>
      </c>
      <c r="AR170" s="209">
        <f t="shared" ref="AR170" si="1550">+AR169/AR165</f>
        <v>0.15000000000000002</v>
      </c>
      <c r="AS170" s="208">
        <v>0.15</v>
      </c>
      <c r="AT170" s="208">
        <f t="shared" ref="AT170" si="1551">+AS170</f>
        <v>0.15</v>
      </c>
      <c r="AU170" s="209">
        <f t="shared" ref="AU170" si="1552">+AU169/AU165</f>
        <v>0.15</v>
      </c>
      <c r="AV170" s="208">
        <v>0.15</v>
      </c>
    </row>
    <row r="171" spans="1:55" ht="14.1" customHeight="1" outlineLevel="1" x14ac:dyDescent="0.25">
      <c r="M171" s="8"/>
    </row>
    <row r="172" spans="1:55" ht="14.1" customHeight="1" outlineLevel="1" x14ac:dyDescent="0.25">
      <c r="M172" s="8"/>
    </row>
    <row r="173" spans="1:55" s="248" customFormat="1" ht="14.1" customHeight="1" outlineLevel="1" x14ac:dyDescent="0.25">
      <c r="B173" s="478" t="s">
        <v>699</v>
      </c>
      <c r="C173" s="479"/>
      <c r="D173" s="478"/>
      <c r="E173" s="478"/>
      <c r="F173" s="478"/>
      <c r="G173" s="478"/>
      <c r="H173" s="478"/>
      <c r="I173" s="478"/>
      <c r="J173" s="478"/>
      <c r="K173" s="478"/>
      <c r="L173" s="480"/>
      <c r="M173" s="481">
        <v>0.13600000000000001</v>
      </c>
      <c r="N173" s="481">
        <f>O173-M173</f>
        <v>0.16399999999999998</v>
      </c>
      <c r="O173" s="482">
        <v>0.3</v>
      </c>
      <c r="P173" s="481">
        <f>R173/2</f>
        <v>0.15</v>
      </c>
      <c r="Q173" s="481">
        <f>R173-P173</f>
        <v>0.15</v>
      </c>
      <c r="R173" s="481">
        <f>O173</f>
        <v>0.3</v>
      </c>
      <c r="S173" s="481">
        <f>U173/2</f>
        <v>0.15</v>
      </c>
      <c r="T173" s="481">
        <f>U173-S173</f>
        <v>0.15</v>
      </c>
      <c r="U173" s="481">
        <f>R173</f>
        <v>0.3</v>
      </c>
      <c r="V173" s="481">
        <f>X173/2</f>
        <v>0.15</v>
      </c>
      <c r="W173" s="481">
        <f>X173-V173</f>
        <v>0.15</v>
      </c>
      <c r="X173" s="481">
        <f>U173</f>
        <v>0.3</v>
      </c>
      <c r="Y173" s="481">
        <f>AA173/2</f>
        <v>0.15</v>
      </c>
      <c r="Z173" s="481">
        <f>AA173-Y173</f>
        <v>0.15</v>
      </c>
      <c r="AA173" s="481">
        <f>X173</f>
        <v>0.3</v>
      </c>
      <c r="AB173" s="481">
        <f>AD173/2</f>
        <v>0.15</v>
      </c>
      <c r="AC173" s="481">
        <f>AD173-AB173</f>
        <v>0.15</v>
      </c>
      <c r="AD173" s="481">
        <f>AA173</f>
        <v>0.3</v>
      </c>
      <c r="AE173" s="481">
        <f>AG173/2</f>
        <v>0.15</v>
      </c>
      <c r="AF173" s="481">
        <f>AG173-AE173</f>
        <v>0.15</v>
      </c>
      <c r="AG173" s="481">
        <f>AD173</f>
        <v>0.3</v>
      </c>
      <c r="AH173" s="481">
        <f>AJ173/2</f>
        <v>0.15</v>
      </c>
      <c r="AI173" s="481">
        <f>AJ173-AH173</f>
        <v>0.15</v>
      </c>
      <c r="AJ173" s="481">
        <f>AG173</f>
        <v>0.3</v>
      </c>
      <c r="AK173" s="481">
        <f>AM173/2</f>
        <v>0.15</v>
      </c>
      <c r="AL173" s="481">
        <f>AM173-AK173</f>
        <v>0.15</v>
      </c>
      <c r="AM173" s="481">
        <f>AJ173</f>
        <v>0.3</v>
      </c>
      <c r="AN173" s="481">
        <f>AP173/2</f>
        <v>0.15</v>
      </c>
      <c r="AO173" s="481">
        <f>AP173-AN173</f>
        <v>0.15</v>
      </c>
      <c r="AP173" s="481">
        <f>AM173</f>
        <v>0.3</v>
      </c>
      <c r="AQ173" s="481">
        <f>AS173/2</f>
        <v>0.15</v>
      </c>
      <c r="AR173" s="481">
        <f>AS173-AQ173</f>
        <v>0.15</v>
      </c>
      <c r="AS173" s="481">
        <f>AP173</f>
        <v>0.3</v>
      </c>
      <c r="AT173" s="481">
        <f>AV173/2</f>
        <v>0.15</v>
      </c>
      <c r="AU173" s="481">
        <f>AV173-AT173</f>
        <v>0.15</v>
      </c>
      <c r="AV173" s="481">
        <f>AS173</f>
        <v>0.3</v>
      </c>
      <c r="AW173" s="478"/>
      <c r="AX173"/>
      <c r="AY173"/>
      <c r="AZ173"/>
      <c r="BA173"/>
      <c r="BB173"/>
      <c r="BC173"/>
    </row>
    <row r="174" spans="1:55" ht="14.1" customHeight="1" outlineLevel="1" x14ac:dyDescent="0.25">
      <c r="F174" s="15"/>
      <c r="M174" s="15"/>
      <c r="N174" s="15"/>
      <c r="O174" s="15"/>
    </row>
    <row r="175" spans="1:55" outlineLevel="1" x14ac:dyDescent="0.25">
      <c r="B175" s="8" t="s">
        <v>682</v>
      </c>
      <c r="M175" s="8"/>
      <c r="O175" s="19">
        <f>+O169+O249+O173</f>
        <v>-13.217499999999999</v>
      </c>
      <c r="P175" s="19">
        <f t="shared" ref="P175:AV175" si="1553">+P169+P249+P173</f>
        <v>-6.9913984374999991</v>
      </c>
      <c r="Q175" s="19">
        <f t="shared" si="1553"/>
        <v>-7.0696890625000002</v>
      </c>
      <c r="R175" s="19">
        <f>+R169+R249+R173</f>
        <v>-14.061087499999999</v>
      </c>
      <c r="S175" s="19">
        <f t="shared" si="1553"/>
        <v>-5.3891432031249984</v>
      </c>
      <c r="T175" s="19">
        <f t="shared" si="1553"/>
        <v>-5.2545080468750003</v>
      </c>
      <c r="U175" s="19">
        <f>+U169+U249+U173</f>
        <v>-10.64365125</v>
      </c>
      <c r="V175" s="19">
        <f t="shared" si="1553"/>
        <v>-4.6473897999999991</v>
      </c>
      <c r="W175" s="19">
        <f t="shared" si="1553"/>
        <v>-4.409748200000001</v>
      </c>
      <c r="X175" s="19">
        <f>+X169+X249+X173</f>
        <v>-9.0571380000000001</v>
      </c>
      <c r="Y175" s="19">
        <f t="shared" si="1553"/>
        <v>-4.2425104221249992</v>
      </c>
      <c r="Z175" s="19">
        <f t="shared" si="1553"/>
        <v>-4.0022195828750009</v>
      </c>
      <c r="AA175" s="19">
        <f t="shared" si="1553"/>
        <v>-8.244730005000001</v>
      </c>
      <c r="AB175" s="19">
        <f t="shared" si="1553"/>
        <v>-3.7870685878825001</v>
      </c>
      <c r="AC175" s="19">
        <f t="shared" si="1553"/>
        <v>-3.5443626328175015</v>
      </c>
      <c r="AD175" s="19">
        <f t="shared" si="1553"/>
        <v>-7.3314312207000016</v>
      </c>
      <c r="AE175" s="19">
        <f t="shared" si="1553"/>
        <v>-3.2770778187580372</v>
      </c>
      <c r="AF175" s="19">
        <f t="shared" si="1553"/>
        <v>-3.0322180550554645</v>
      </c>
      <c r="AG175" s="19">
        <f t="shared" si="1553"/>
        <v>-6.3092958738135012</v>
      </c>
      <c r="AH175" s="19">
        <f t="shared" si="1553"/>
        <v>-2.7082811215869507</v>
      </c>
      <c r="AI175" s="19">
        <f t="shared" si="1553"/>
        <v>-2.4615580876813317</v>
      </c>
      <c r="AJ175" s="19">
        <f t="shared" si="1553"/>
        <v>-5.1698392092682823</v>
      </c>
      <c r="AK175" s="19">
        <f t="shared" si="1553"/>
        <v>-2.0761339550974531</v>
      </c>
      <c r="AL175" s="19">
        <f t="shared" si="1553"/>
        <v>-1.8278696024206829</v>
      </c>
      <c r="AM175" s="19">
        <f t="shared" si="1553"/>
        <v>-3.904003557518136</v>
      </c>
      <c r="AN175" s="19">
        <f t="shared" si="1553"/>
        <v>-2.0762108604633007</v>
      </c>
      <c r="AO175" s="19">
        <f t="shared" si="1553"/>
        <v>-1.8210431250697954</v>
      </c>
      <c r="AP175" s="19">
        <f t="shared" si="1553"/>
        <v>-3.8972539855330961</v>
      </c>
      <c r="AQ175" s="19">
        <f t="shared" si="1553"/>
        <v>-2.0729547173257696</v>
      </c>
      <c r="AR175" s="19">
        <f t="shared" si="1553"/>
        <v>-1.8107037251272056</v>
      </c>
      <c r="AS175" s="19">
        <f>+AS169+AS249+AS173</f>
        <v>-3.8836584424529752</v>
      </c>
      <c r="AT175" s="19">
        <f t="shared" si="1553"/>
        <v>-2.0660987664465416</v>
      </c>
      <c r="AU175" s="19">
        <f t="shared" si="1553"/>
        <v>-1.7965806085016029</v>
      </c>
      <c r="AV175" s="19">
        <f t="shared" si="1553"/>
        <v>-3.8626793749481445</v>
      </c>
    </row>
    <row r="176" spans="1:55" ht="15.75" x14ac:dyDescent="0.25">
      <c r="A176" s="49" t="s">
        <v>23</v>
      </c>
      <c r="B176" s="50" t="s">
        <v>83</v>
      </c>
      <c r="C176" s="2"/>
      <c r="D176" s="2"/>
      <c r="E176" s="2"/>
      <c r="F176" s="158"/>
      <c r="G176" s="86"/>
      <c r="H176" s="86"/>
      <c r="I176" s="86"/>
      <c r="J176" s="86"/>
      <c r="K176" s="86"/>
      <c r="L176" s="371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  <c r="AP176" s="86"/>
      <c r="AQ176" s="86"/>
      <c r="AR176" s="86"/>
      <c r="AS176" s="86"/>
      <c r="AT176" s="86"/>
      <c r="AU176" s="86"/>
      <c r="AV176" s="86"/>
    </row>
    <row r="177" spans="1:48" outlineLevel="1" x14ac:dyDescent="0.25">
      <c r="M177" s="8"/>
    </row>
    <row r="178" spans="1:48" outlineLevel="1" x14ac:dyDescent="0.25">
      <c r="A178" t="s">
        <v>306</v>
      </c>
      <c r="B178" s="12" t="s">
        <v>480</v>
      </c>
      <c r="C178" s="227" t="s">
        <v>28</v>
      </c>
      <c r="F178" s="45">
        <v>13.3</v>
      </c>
      <c r="G178" s="45">
        <v>8.6999999999999993</v>
      </c>
      <c r="H178" s="19">
        <f>+I178-G178</f>
        <v>9</v>
      </c>
      <c r="I178" s="45">
        <v>17.7</v>
      </c>
      <c r="J178" s="45">
        <v>11.7</v>
      </c>
      <c r="K178" s="19">
        <f>+L178-J178</f>
        <v>11.074000000000002</v>
      </c>
      <c r="L178" s="354">
        <v>22.774000000000001</v>
      </c>
      <c r="M178" s="441">
        <v>14.711</v>
      </c>
      <c r="N178" s="19">
        <f>+O178-M178</f>
        <v>17.313000000000002</v>
      </c>
      <c r="O178" s="354">
        <v>32.024000000000001</v>
      </c>
      <c r="P178" s="17">
        <f>+P181+P187</f>
        <v>15.741794974236598</v>
      </c>
      <c r="Q178" s="19">
        <f>+R178-P178</f>
        <v>16.185482397238424</v>
      </c>
      <c r="R178" s="17">
        <f>+R181+R187</f>
        <v>31.927277371475022</v>
      </c>
      <c r="S178" s="17">
        <f t="shared" ref="S178" si="1554">+S181+S187</f>
        <v>18.42045169254753</v>
      </c>
      <c r="T178" s="19">
        <f t="shared" ref="T178" si="1555">+U178-S178</f>
        <v>19.684845137107231</v>
      </c>
      <c r="U178" s="17">
        <f t="shared" ref="U178:V178" si="1556">+U181+U187</f>
        <v>38.105296829654762</v>
      </c>
      <c r="V178" s="17">
        <f t="shared" si="1556"/>
        <v>21.943393460782879</v>
      </c>
      <c r="W178" s="19">
        <f t="shared" ref="W178" si="1557">+X178-V178</f>
        <v>23.460898101838438</v>
      </c>
      <c r="X178" s="17">
        <f t="shared" ref="X178:Y178" si="1558">+X181+X187</f>
        <v>45.404291562621317</v>
      </c>
      <c r="Y178" s="17">
        <f t="shared" si="1558"/>
        <v>25.949759661056905</v>
      </c>
      <c r="Z178" s="19">
        <f t="shared" ref="Z178" si="1559">+AA178-Y178</f>
        <v>27.621680091570557</v>
      </c>
      <c r="AA178" s="17">
        <f t="shared" ref="AA178:AB178" si="1560">+AA181+AA187</f>
        <v>53.571439752627462</v>
      </c>
      <c r="AB178" s="17">
        <f t="shared" si="1560"/>
        <v>30.167497820527842</v>
      </c>
      <c r="AC178" s="19">
        <f t="shared" ref="AC178" si="1561">+AD178-AB178</f>
        <v>31.865750680145808</v>
      </c>
      <c r="AD178" s="17">
        <f t="shared" ref="AD178:AE178" si="1562">+AD181+AD187</f>
        <v>62.03324850067365</v>
      </c>
      <c r="AE178" s="17">
        <f t="shared" si="1562"/>
        <v>34.662051032900187</v>
      </c>
      <c r="AF178" s="19">
        <f t="shared" ref="AF178" si="1563">+AG178-AE178</f>
        <v>36.52845492410713</v>
      </c>
      <c r="AG178" s="17">
        <f t="shared" ref="AG178:AH178" si="1564">+AG181+AG187</f>
        <v>71.190505957007318</v>
      </c>
      <c r="AH178" s="17">
        <f t="shared" si="1564"/>
        <v>39.59930216784641</v>
      </c>
      <c r="AI178" s="19">
        <f t="shared" ref="AI178" si="1565">+AJ178-AH178</f>
        <v>41.649394509224216</v>
      </c>
      <c r="AJ178" s="17">
        <f t="shared" ref="AJ178:AK178" si="1566">+AJ181+AJ187</f>
        <v>81.248696677070626</v>
      </c>
      <c r="AK178" s="17">
        <f t="shared" si="1566"/>
        <v>45.016121616401044</v>
      </c>
      <c r="AL178" s="19">
        <f t="shared" ref="AL178" si="1567">+AM178-AK178</f>
        <v>47.266712669611117</v>
      </c>
      <c r="AM178" s="17">
        <f t="shared" ref="AM178:AN178" si="1568">+AM181+AM187</f>
        <v>92.282834286012161</v>
      </c>
      <c r="AN178" s="17">
        <f t="shared" si="1568"/>
        <v>49.811221500351337</v>
      </c>
      <c r="AO178" s="19">
        <f t="shared" ref="AO178" si="1569">+AP178-AN178</f>
        <v>52.057438163472341</v>
      </c>
      <c r="AP178" s="17">
        <f t="shared" ref="AP178:AQ178" si="1570">+AP181+AP187</f>
        <v>101.86865966382368</v>
      </c>
      <c r="AQ178" s="17">
        <f t="shared" si="1570"/>
        <v>54.70155073535232</v>
      </c>
      <c r="AR178" s="19">
        <f t="shared" ref="AR178" si="1571">+AS178-AQ178</f>
        <v>57.117188939904132</v>
      </c>
      <c r="AS178" s="17">
        <f t="shared" ref="AS178:AT178" si="1572">+AS181+AS187</f>
        <v>111.81873967525645</v>
      </c>
      <c r="AT178" s="17">
        <f t="shared" si="1572"/>
        <v>59.908702697232805</v>
      </c>
      <c r="AU178" s="19">
        <f t="shared" ref="AU178" si="1573">+AV178-AT178</f>
        <v>62.504870001042313</v>
      </c>
      <c r="AV178" s="17">
        <f t="shared" ref="AV178" si="1574">+AV181+AV187</f>
        <v>122.41357269827512</v>
      </c>
    </row>
    <row r="179" spans="1:48" outlineLevel="1" x14ac:dyDescent="0.25">
      <c r="B179" s="11" t="s">
        <v>623</v>
      </c>
      <c r="C179" s="22" t="s">
        <v>29</v>
      </c>
      <c r="F179" s="30"/>
      <c r="G179" s="18">
        <f>G178/(G89+G104+G128)</f>
        <v>3.3590733590733585E-2</v>
      </c>
      <c r="H179" s="18">
        <f>H178/(H89+H104+H128)</f>
        <v>3.1914893617021267E-2</v>
      </c>
      <c r="I179" s="281">
        <f t="shared" ref="I179:M179" si="1575">+I178/F178-1</f>
        <v>0.33082706766917291</v>
      </c>
      <c r="J179" s="281">
        <f t="shared" si="1575"/>
        <v>0.34482758620689657</v>
      </c>
      <c r="K179" s="18">
        <f>K178/(K89+K104+K128)</f>
        <v>3.2418032786885251E-2</v>
      </c>
      <c r="L179" s="374">
        <f t="shared" si="1575"/>
        <v>0.28666666666666685</v>
      </c>
      <c r="M179" s="413">
        <f t="shared" si="1575"/>
        <v>0.25735042735042746</v>
      </c>
      <c r="N179" s="18">
        <f>N178/(N89+N104+N128)</f>
        <v>4.2047256715830705E-2</v>
      </c>
      <c r="O179" s="374">
        <f t="shared" ref="O179" si="1576">+O178/L178-1</f>
        <v>0.40616492491437595</v>
      </c>
      <c r="P179" s="15">
        <f>P178/M178-1</f>
        <v>7.0069674001536075E-2</v>
      </c>
      <c r="Q179" s="18">
        <f>Q178/N178-1</f>
        <v>-6.5125489676057247E-2</v>
      </c>
      <c r="R179" s="15">
        <f>R178/O178-1</f>
        <v>-3.0203169037278377E-3</v>
      </c>
      <c r="S179" s="15">
        <f t="shared" ref="S179" si="1577">S178/P178-1</f>
        <v>0.17016208905622809</v>
      </c>
      <c r="T179" s="18">
        <f t="shared" ref="T179" si="1578">T178/Q178-1</f>
        <v>0.21620379633948206</v>
      </c>
      <c r="U179" s="15">
        <f t="shared" ref="U179:V179" si="1579">U178/R178-1</f>
        <v>0.193502859210269</v>
      </c>
      <c r="V179" s="15">
        <f t="shared" si="1579"/>
        <v>0.19125164936431194</v>
      </c>
      <c r="W179" s="18">
        <f t="shared" ref="W179" si="1580">W178/T178-1</f>
        <v>0.19182538335610766</v>
      </c>
      <c r="X179" s="15">
        <f t="shared" ref="X179:Y179" si="1581">X178/U178-1</f>
        <v>0.1915480350565395</v>
      </c>
      <c r="Y179" s="15">
        <f t="shared" si="1581"/>
        <v>0.18257733050424418</v>
      </c>
      <c r="Z179" s="18">
        <f t="shared" ref="Z179" si="1582">Z178/W178-1</f>
        <v>0.1773496467045339</v>
      </c>
      <c r="AA179" s="15">
        <f t="shared" ref="AA179:AB179" si="1583">AA178/X178-1</f>
        <v>0.17987612864176206</v>
      </c>
      <c r="AB179" s="15">
        <f t="shared" si="1583"/>
        <v>0.16253476774201281</v>
      </c>
      <c r="AC179" s="18">
        <f t="shared" ref="AC179" si="1584">AC178/Z178-1</f>
        <v>0.15364997981677564</v>
      </c>
      <c r="AD179" s="15">
        <f t="shared" ref="AD179:AE179" si="1585">AD178/AA178-1</f>
        <v>0.15795373032943671</v>
      </c>
      <c r="AE179" s="15">
        <f t="shared" si="1585"/>
        <v>0.14898660933403529</v>
      </c>
      <c r="AF179" s="18">
        <f t="shared" ref="AF179" si="1586">AF178/AC178-1</f>
        <v>0.14632337680550722</v>
      </c>
      <c r="AG179" s="15">
        <f t="shared" ref="AG179:AH179" si="1587">AG178/AD178-1</f>
        <v>0.14761853808501146</v>
      </c>
      <c r="AH179" s="15">
        <f t="shared" si="1587"/>
        <v>0.14243967070096142</v>
      </c>
      <c r="AI179" s="18">
        <f t="shared" ref="AI179" si="1588">AI178/AF178-1</f>
        <v>0.1401904240339904</v>
      </c>
      <c r="AJ179" s="15">
        <f t="shared" ref="AJ179:AK179" si="1589">AJ178/AG178-1</f>
        <v>0.14128556307968299</v>
      </c>
      <c r="AK179" s="15">
        <f t="shared" si="1589"/>
        <v>0.13679078044342274</v>
      </c>
      <c r="AL179" s="18">
        <f t="shared" ref="AL179" si="1590">AL178/AI178-1</f>
        <v>0.13487154439046689</v>
      </c>
      <c r="AM179" s="15">
        <f t="shared" ref="AM179:AN179" si="1591">AM178/AJ178-1</f>
        <v>0.13580694903695001</v>
      </c>
      <c r="AN179" s="15">
        <f t="shared" si="1591"/>
        <v>0.10651961367998575</v>
      </c>
      <c r="AO179" s="18">
        <f t="shared" ref="AO179" si="1592">AO178/AL178-1</f>
        <v>0.10135516568177372</v>
      </c>
      <c r="AP179" s="15">
        <f t="shared" ref="AP179:AQ179" si="1593">AP178/AM178-1</f>
        <v>0.10387441447780166</v>
      </c>
      <c r="AQ179" s="15">
        <f t="shared" si="1593"/>
        <v>9.8177259816173867E-2</v>
      </c>
      <c r="AR179" s="18">
        <f t="shared" ref="AR179" si="1594">AR178/AO178-1</f>
        <v>9.7195539291484279E-2</v>
      </c>
      <c r="AS179" s="15">
        <f t="shared" ref="AS179" si="1595">AS178/AP178-1</f>
        <v>9.7675576023764199E-2</v>
      </c>
      <c r="AT179" s="15">
        <f t="shared" ref="AT179" si="1596">AT178/AQ178-1</f>
        <v>9.5192035543431475E-2</v>
      </c>
      <c r="AU179" s="18">
        <f t="shared" ref="AU179" si="1597">AU178/AR178-1</f>
        <v>9.4326789555537083E-2</v>
      </c>
      <c r="AV179" s="15">
        <f t="shared" ref="AV179" si="1598">AV178/AS178-1</f>
        <v>9.4750066525415511E-2</v>
      </c>
    </row>
    <row r="180" spans="1:48" outlineLevel="1" x14ac:dyDescent="0.25">
      <c r="B180" s="11"/>
      <c r="F180" s="18"/>
      <c r="G180" s="18"/>
      <c r="H180" s="18"/>
      <c r="I180" s="18"/>
      <c r="J180" s="304"/>
      <c r="K180" s="18"/>
      <c r="L180" s="355"/>
      <c r="M180" s="39"/>
      <c r="N180" s="18"/>
      <c r="O180" s="30"/>
      <c r="P180" s="30"/>
      <c r="Q180" s="18"/>
      <c r="R180" s="30"/>
      <c r="S180" s="30"/>
      <c r="T180" s="18"/>
      <c r="U180" s="30"/>
      <c r="V180" s="30"/>
      <c r="W180" s="18"/>
      <c r="X180" s="30"/>
      <c r="Y180" s="30"/>
      <c r="Z180" s="18"/>
      <c r="AA180" s="30"/>
      <c r="AB180" s="30"/>
      <c r="AC180" s="18"/>
      <c r="AD180" s="30"/>
      <c r="AE180" s="30"/>
      <c r="AF180" s="18"/>
      <c r="AG180" s="30"/>
      <c r="AH180" s="30"/>
      <c r="AI180" s="18"/>
      <c r="AJ180" s="30"/>
      <c r="AK180" s="30"/>
      <c r="AL180" s="18"/>
      <c r="AM180" s="30"/>
      <c r="AN180" s="30"/>
      <c r="AO180" s="18"/>
      <c r="AP180" s="30"/>
      <c r="AQ180" s="30"/>
      <c r="AR180" s="18"/>
      <c r="AS180" s="30"/>
      <c r="AT180" s="30"/>
      <c r="AU180" s="18"/>
      <c r="AV180" s="30"/>
    </row>
    <row r="181" spans="1:48" outlineLevel="1" x14ac:dyDescent="0.25">
      <c r="B181" s="282" t="s">
        <v>478</v>
      </c>
      <c r="C181" s="283" t="s">
        <v>474</v>
      </c>
      <c r="D181" s="12"/>
      <c r="E181" s="12"/>
      <c r="F181" s="45">
        <v>10.3</v>
      </c>
      <c r="G181" s="165"/>
      <c r="H181" s="165"/>
      <c r="I181" s="45">
        <v>13.3</v>
      </c>
      <c r="J181" s="52">
        <f>+J182+J183+J184</f>
        <v>8.2100000000000009</v>
      </c>
      <c r="K181" s="52">
        <f>+L181-J181</f>
        <v>8.1720000000000006</v>
      </c>
      <c r="L181" s="456">
        <v>16.382000000000001</v>
      </c>
      <c r="M181" s="52">
        <f>+M178-M187</f>
        <v>11.143146573638418</v>
      </c>
      <c r="N181" s="52">
        <f>+O181-M181</f>
        <v>8.5448534263615805</v>
      </c>
      <c r="O181" s="45">
        <v>19.687999999999999</v>
      </c>
      <c r="P181" s="52">
        <f t="shared" ref="P181:AA181" si="1599">+P182+P183+P184</f>
        <v>11.2292855698506</v>
      </c>
      <c r="Q181" s="52">
        <f t="shared" si="1599"/>
        <v>11.852564305747487</v>
      </c>
      <c r="R181" s="52">
        <f>+R182+R183+R184</f>
        <v>23.081849875598085</v>
      </c>
      <c r="S181" s="52">
        <f t="shared" si="1599"/>
        <v>13.050794999253506</v>
      </c>
      <c r="T181" s="52">
        <f t="shared" si="1599"/>
        <v>14.311778618418488</v>
      </c>
      <c r="U181" s="52">
        <f t="shared" si="1599"/>
        <v>27.362573617671995</v>
      </c>
      <c r="V181" s="52">
        <f t="shared" si="1599"/>
        <v>15.357072225715884</v>
      </c>
      <c r="W181" s="52">
        <f t="shared" si="1599"/>
        <v>16.842362411273047</v>
      </c>
      <c r="X181" s="52">
        <f t="shared" si="1599"/>
        <v>32.199434636988933</v>
      </c>
      <c r="Y181" s="52">
        <f t="shared" si="1599"/>
        <v>18.044938755902287</v>
      </c>
      <c r="Z181" s="52">
        <f t="shared" si="1599"/>
        <v>19.687057314661203</v>
      </c>
      <c r="AA181" s="52">
        <f t="shared" si="1599"/>
        <v>37.73199607056349</v>
      </c>
      <c r="AB181" s="52">
        <f t="shared" ref="AB181:AP181" si="1600">+AB182+AB183+AB184</f>
        <v>20.909124619353022</v>
      </c>
      <c r="AC181" s="52">
        <f t="shared" si="1600"/>
        <v>22.617541618084218</v>
      </c>
      <c r="AD181" s="52">
        <f t="shared" si="1600"/>
        <v>43.52666623743724</v>
      </c>
      <c r="AE181" s="52">
        <f t="shared" si="1600"/>
        <v>23.801506523432501</v>
      </c>
      <c r="AF181" s="52">
        <f t="shared" si="1600"/>
        <v>25.674716500139034</v>
      </c>
      <c r="AG181" s="52">
        <f t="shared" si="1600"/>
        <v>49.476223023571535</v>
      </c>
      <c r="AH181" s="52">
        <f t="shared" si="1600"/>
        <v>26.926829122613373</v>
      </c>
      <c r="AI181" s="52">
        <f t="shared" si="1600"/>
        <v>28.9769627255749</v>
      </c>
      <c r="AJ181" s="52">
        <f t="shared" si="1600"/>
        <v>55.903791848188277</v>
      </c>
      <c r="AK181" s="52">
        <f t="shared" si="1600"/>
        <v>30.301473665990304</v>
      </c>
      <c r="AL181" s="52">
        <f t="shared" si="1600"/>
        <v>32.54144603932388</v>
      </c>
      <c r="AM181" s="52">
        <f t="shared" si="1600"/>
        <v>62.842919705314188</v>
      </c>
      <c r="AN181" s="52">
        <f t="shared" si="1600"/>
        <v>33.27226106813437</v>
      </c>
      <c r="AO181" s="52">
        <f t="shared" si="1600"/>
        <v>35.550493763738189</v>
      </c>
      <c r="AP181" s="52">
        <f t="shared" si="1600"/>
        <v>68.822754831872558</v>
      </c>
      <c r="AQ181" s="52">
        <f t="shared" ref="AQ181:AS181" si="1601">+AQ182+AQ183+AQ184</f>
        <v>36.148397450655594</v>
      </c>
      <c r="AR181" s="52">
        <f t="shared" si="1601"/>
        <v>38.577840692148392</v>
      </c>
      <c r="AS181" s="52">
        <f t="shared" si="1601"/>
        <v>74.726238142803993</v>
      </c>
      <c r="AT181" s="52">
        <f t="shared" ref="AT181:AV181" si="1602">+AT182+AT183+AT184</f>
        <v>39.16549245829173</v>
      </c>
      <c r="AU181" s="52">
        <f t="shared" si="1602"/>
        <v>41.753124377913004</v>
      </c>
      <c r="AV181" s="52">
        <f t="shared" si="1602"/>
        <v>80.918616836204734</v>
      </c>
    </row>
    <row r="182" spans="1:48" outlineLevel="1" x14ac:dyDescent="0.25">
      <c r="B182" s="172" t="s">
        <v>481</v>
      </c>
      <c r="C182" s="284" t="s">
        <v>474</v>
      </c>
      <c r="F182" s="18"/>
      <c r="G182" s="18"/>
      <c r="H182" s="18"/>
      <c r="I182" s="18"/>
      <c r="J182" s="19">
        <f>J185*J89</f>
        <v>7.5500000000000007</v>
      </c>
      <c r="K182" s="19"/>
      <c r="L182" s="309"/>
      <c r="M182" s="19"/>
      <c r="N182" s="19"/>
      <c r="O182" s="19"/>
      <c r="P182" s="19">
        <f>P185*P89</f>
        <v>10.23861665093168</v>
      </c>
      <c r="Q182" s="19">
        <f>+R182-P182</f>
        <v>10.712970066771669</v>
      </c>
      <c r="R182" s="19">
        <f>R185*R89</f>
        <v>20.95158671770335</v>
      </c>
      <c r="S182" s="19">
        <f>S185*S89</f>
        <v>11.918851924929182</v>
      </c>
      <c r="T182" s="19">
        <f>+U182-S182</f>
        <v>13.041473504337016</v>
      </c>
      <c r="U182" s="19">
        <f>U185*U89</f>
        <v>24.960325429266199</v>
      </c>
      <c r="V182" s="19">
        <f>V185*V89</f>
        <v>14.132115052325583</v>
      </c>
      <c r="W182" s="19">
        <f>+X182-V182</f>
        <v>15.473063695762848</v>
      </c>
      <c r="X182" s="19">
        <f>X185*X89</f>
        <v>29.605178748088431</v>
      </c>
      <c r="Y182" s="19">
        <f>Y185*Y89</f>
        <v>16.726199111722877</v>
      </c>
      <c r="Z182" s="19">
        <f>+AA182-Y182</f>
        <v>18.217426848803434</v>
      </c>
      <c r="AA182" s="19">
        <f>AA185*AA89</f>
        <v>34.943625960526312</v>
      </c>
      <c r="AB182" s="19">
        <f>AB185*AB89</f>
        <v>19.495200555108877</v>
      </c>
      <c r="AC182" s="19">
        <f t="shared" ref="AC182:AC184" si="1603">+AD182-AB182</f>
        <v>21.045726656639875</v>
      </c>
      <c r="AD182" s="19">
        <f>AD185*AD89</f>
        <v>40.540927211748752</v>
      </c>
      <c r="AE182" s="19">
        <f>AE185*AE89</f>
        <v>22.2905484951063</v>
      </c>
      <c r="AF182" s="19">
        <f t="shared" ref="AF182:AF184" si="1604">+AG182-AE182</f>
        <v>23.998475338971488</v>
      </c>
      <c r="AG182" s="19">
        <f>AG185*AG89</f>
        <v>46.289023834077788</v>
      </c>
      <c r="AH182" s="19">
        <f>AH185*AH89</f>
        <v>25.316641445252582</v>
      </c>
      <c r="AI182" s="19">
        <f t="shared" ref="AI182:AI184" si="1605">+AJ182-AH182</f>
        <v>27.193737622796146</v>
      </c>
      <c r="AJ182" s="19">
        <f>AJ185*AJ89</f>
        <v>52.510379068048728</v>
      </c>
      <c r="AK182" s="19">
        <f>AK185*AK89</f>
        <v>28.589574724828356</v>
      </c>
      <c r="AL182" s="19">
        <f t="shared" ref="AL182:AL184" si="1606">+AM182-AK182</f>
        <v>30.648408269513435</v>
      </c>
      <c r="AM182" s="19">
        <f>AM185*AM89</f>
        <v>59.237982994341792</v>
      </c>
      <c r="AN182" s="19">
        <f>AN185*AN89</f>
        <v>31.455921116244483</v>
      </c>
      <c r="AO182" s="19">
        <f t="shared" ref="AO182:AO184" si="1607">+AP182-AN182</f>
        <v>33.544572621986063</v>
      </c>
      <c r="AP182" s="19">
        <f>AP185*AP89</f>
        <v>65.000493738230546</v>
      </c>
      <c r="AQ182" s="19">
        <f>AQ185*AQ89</f>
        <v>34.224663198189596</v>
      </c>
      <c r="AR182" s="19">
        <f t="shared" ref="AR182:AR184" si="1608">+AS182-AQ182</f>
        <v>36.455742605859292</v>
      </c>
      <c r="AS182" s="19">
        <f>AS185*AS89</f>
        <v>70.680405804048888</v>
      </c>
      <c r="AT182" s="19">
        <f>AT185*AT89</f>
        <v>37.131203366997809</v>
      </c>
      <c r="AU182" s="19">
        <f t="shared" ref="AU182:AU184" si="1609">+AV182-AT182</f>
        <v>39.511345576897426</v>
      </c>
      <c r="AV182" s="19">
        <f>AV185*AV89</f>
        <v>76.642548943895235</v>
      </c>
    </row>
    <row r="183" spans="1:48" outlineLevel="1" x14ac:dyDescent="0.25">
      <c r="B183" s="172" t="s">
        <v>54</v>
      </c>
      <c r="C183" s="284" t="s">
        <v>474</v>
      </c>
      <c r="F183" s="18"/>
      <c r="G183" s="18"/>
      <c r="H183" s="18"/>
      <c r="I183" s="18"/>
      <c r="J183" s="19">
        <f>J185*J104</f>
        <v>0.55500000000000005</v>
      </c>
      <c r="K183" s="19"/>
      <c r="L183" s="309"/>
      <c r="M183" s="19"/>
      <c r="N183" s="19"/>
      <c r="O183" s="19"/>
      <c r="P183" s="19">
        <f>P185*P104</f>
        <v>0.86416891891891889</v>
      </c>
      <c r="Q183" s="19">
        <f t="shared" ref="Q183" si="1610">+R183-P183</f>
        <v>1.0044692389758181</v>
      </c>
      <c r="R183" s="19">
        <f>R185*R104</f>
        <v>1.8686381578947371</v>
      </c>
      <c r="S183" s="19">
        <f>S185*S104</f>
        <v>0.97611807432432429</v>
      </c>
      <c r="T183" s="19">
        <f t="shared" ref="T183" si="1611">+U183-S183</f>
        <v>1.1078196974148062</v>
      </c>
      <c r="U183" s="19">
        <f>U185*U104</f>
        <v>2.0839377717391305</v>
      </c>
      <c r="V183" s="19">
        <f>V185*V104</f>
        <v>1.0436807567236353</v>
      </c>
      <c r="W183" s="19">
        <f t="shared" ref="W183" si="1612">+X183-V183</f>
        <v>1.1829266009268664</v>
      </c>
      <c r="X183" s="19">
        <f>X185*X104</f>
        <v>2.2266073576505017</v>
      </c>
      <c r="Y183" s="19">
        <f>Y185*Y104</f>
        <v>1.1129432069425673</v>
      </c>
      <c r="Z183" s="19">
        <f t="shared" ref="Z183" si="1613">+AA183-Y183</f>
        <v>1.2599840627821097</v>
      </c>
      <c r="AA183" s="19">
        <f>AA185*AA104</f>
        <v>2.372927269724677</v>
      </c>
      <c r="AB183" s="19">
        <f t="shared" ref="AB183" si="1614">AB185*AB104</f>
        <v>1.1840583915217788</v>
      </c>
      <c r="AC183" s="19">
        <f t="shared" si="1603"/>
        <v>1.3391542719521277</v>
      </c>
      <c r="AD183" s="19">
        <f t="shared" ref="AD183:AE183" si="1615">AD185*AD104</f>
        <v>2.5232126634739065</v>
      </c>
      <c r="AE183" s="19">
        <f t="shared" si="1615"/>
        <v>1.2571692985538379</v>
      </c>
      <c r="AF183" s="19">
        <f t="shared" si="1604"/>
        <v>1.4205901405578456</v>
      </c>
      <c r="AG183" s="19">
        <f t="shared" ref="AG183:AH183" si="1616">AG185*AG104</f>
        <v>2.6777594391116835</v>
      </c>
      <c r="AH183" s="19">
        <f t="shared" si="1616"/>
        <v>1.3324118192583287</v>
      </c>
      <c r="AI183" s="19">
        <f t="shared" si="1605"/>
        <v>1.504438033588813</v>
      </c>
      <c r="AJ183" s="19">
        <f t="shared" ref="AJ183:AK183" si="1617">AJ185*AJ104</f>
        <v>2.8368498528471418</v>
      </c>
      <c r="AK183" s="19">
        <f t="shared" si="1617"/>
        <v>1.4099169011391302</v>
      </c>
      <c r="AL183" s="19">
        <f t="shared" si="1606"/>
        <v>1.5908398320947355</v>
      </c>
      <c r="AM183" s="19">
        <f t="shared" ref="AM183:AN183" si="1618">AM185*AM104</f>
        <v>3.0007567332338656</v>
      </c>
      <c r="AN183" s="19">
        <f t="shared" si="1618"/>
        <v>1.4898121922036809</v>
      </c>
      <c r="AO183" s="19">
        <f t="shared" si="1607"/>
        <v>1.679934525480723</v>
      </c>
      <c r="AP183" s="19">
        <f t="shared" ref="AP183:AQ183" si="1619">AP185*AP104</f>
        <v>3.1697467176844039</v>
      </c>
      <c r="AQ183" s="19">
        <f t="shared" si="1619"/>
        <v>1.572223322329378</v>
      </c>
      <c r="AR183" s="19">
        <f t="shared" si="1608"/>
        <v>1.7718594648276675</v>
      </c>
      <c r="AS183" s="19">
        <f t="shared" ref="AS183:AT183" si="1620">AS185*AS104</f>
        <v>3.3440827871570455</v>
      </c>
      <c r="AT183" s="19">
        <f t="shared" si="1620"/>
        <v>1.6572749213324973</v>
      </c>
      <c r="AU183" s="19">
        <f t="shared" si="1609"/>
        <v>1.8667513681810941</v>
      </c>
      <c r="AV183" s="19">
        <f t="shared" ref="AV183" si="1621">AV185*AV104</f>
        <v>3.5240262895135914</v>
      </c>
    </row>
    <row r="184" spans="1:48" outlineLevel="1" x14ac:dyDescent="0.25">
      <c r="B184" s="172" t="s">
        <v>45</v>
      </c>
      <c r="C184" s="284" t="s">
        <v>474</v>
      </c>
      <c r="F184" s="18"/>
      <c r="G184" s="18"/>
      <c r="H184" s="18"/>
      <c r="I184" s="18"/>
      <c r="J184" s="19">
        <f>J185*J128</f>
        <v>0.10500000000000001</v>
      </c>
      <c r="K184" s="19"/>
      <c r="L184" s="309"/>
      <c r="M184" s="19"/>
      <c r="N184" s="19"/>
      <c r="O184" s="19"/>
      <c r="P184" s="19">
        <f>P185*P128</f>
        <v>0.1265</v>
      </c>
      <c r="Q184" s="19">
        <f t="shared" ref="Q184" si="1622">+R184-P184</f>
        <v>0.13512499999999994</v>
      </c>
      <c r="R184" s="19">
        <f>R185*R128</f>
        <v>0.26162499999999994</v>
      </c>
      <c r="S184" s="19">
        <f>S185*S128</f>
        <v>0.15582499999999999</v>
      </c>
      <c r="T184" s="19">
        <f t="shared" ref="T184" si="1623">+U184-S184</f>
        <v>0.1624854166666666</v>
      </c>
      <c r="U184" s="19">
        <f>U185*U128</f>
        <v>0.3183104166666666</v>
      </c>
      <c r="V184" s="19">
        <f>V185*V128</f>
        <v>0.18127641666666663</v>
      </c>
      <c r="W184" s="19">
        <f t="shared" ref="W184" si="1624">+X184-V184</f>
        <v>0.18637211458333333</v>
      </c>
      <c r="X184" s="19">
        <f>X185*X128</f>
        <v>0.36764853124999997</v>
      </c>
      <c r="Y184" s="19">
        <f>Y185*Y128</f>
        <v>0.20579643723684207</v>
      </c>
      <c r="Z184" s="19">
        <f t="shared" ref="Z184" si="1625">+AA184-Y184</f>
        <v>0.20964640307565782</v>
      </c>
      <c r="AA184" s="19">
        <f>AA185*AA128</f>
        <v>0.41544284031249989</v>
      </c>
      <c r="AB184" s="19">
        <f t="shared" ref="AB184" si="1626">AB185*AB128</f>
        <v>0.22986567272236838</v>
      </c>
      <c r="AC184" s="19">
        <f t="shared" si="1603"/>
        <v>0.23266068949221477</v>
      </c>
      <c r="AD184" s="19">
        <f t="shared" ref="AD184:AE184" si="1627">AD185*AD128</f>
        <v>0.46252636221458315</v>
      </c>
      <c r="AE184" s="19">
        <f t="shared" si="1627"/>
        <v>0.253788729772363</v>
      </c>
      <c r="AF184" s="19">
        <f t="shared" si="1604"/>
        <v>0.25565102060969924</v>
      </c>
      <c r="AG184" s="19">
        <f t="shared" ref="AG184:AH184" si="1628">AG185*AG128</f>
        <v>0.50943975038206224</v>
      </c>
      <c r="AH184" s="19">
        <f t="shared" si="1628"/>
        <v>0.27777585810246047</v>
      </c>
      <c r="AI184" s="19">
        <f t="shared" si="1605"/>
        <v>0.27878706918994262</v>
      </c>
      <c r="AJ184" s="19">
        <f t="shared" ref="AJ184:AK184" si="1629">AJ185*AJ128</f>
        <v>0.55656292729240309</v>
      </c>
      <c r="AK184" s="19">
        <f t="shared" si="1629"/>
        <v>0.30198204002281775</v>
      </c>
      <c r="AL184" s="19">
        <f t="shared" si="1606"/>
        <v>0.30219793771571318</v>
      </c>
      <c r="AM184" s="19">
        <f t="shared" ref="AM184:AN184" si="1630">AM185*AM128</f>
        <v>0.60417997773853094</v>
      </c>
      <c r="AN184" s="19">
        <f t="shared" si="1630"/>
        <v>0.32652775968621089</v>
      </c>
      <c r="AO184" s="19">
        <f t="shared" si="1607"/>
        <v>0.32598661627140263</v>
      </c>
      <c r="AP184" s="19">
        <f t="shared" ref="AP184" si="1631">AP185*AP128</f>
        <v>0.65251437595761352</v>
      </c>
      <c r="AQ184" s="19">
        <f t="shared" ref="AQ184" si="1632">AQ185*AQ128</f>
        <v>0.35151093013662094</v>
      </c>
      <c r="AR184" s="19">
        <f t="shared" si="1608"/>
        <v>0.3502386214614307</v>
      </c>
      <c r="AS184" s="19">
        <f t="shared" ref="AS184:AT184" si="1633">AS185*AS128</f>
        <v>0.70174955159805164</v>
      </c>
      <c r="AT184" s="19">
        <f t="shared" si="1633"/>
        <v>0.37701416996142678</v>
      </c>
      <c r="AU184" s="19">
        <f t="shared" si="1609"/>
        <v>0.37502743283448514</v>
      </c>
      <c r="AV184" s="19">
        <f t="shared" ref="AV184" si="1634">AV185*AV128</f>
        <v>0.75204160279591192</v>
      </c>
    </row>
    <row r="185" spans="1:48" outlineLevel="1" x14ac:dyDescent="0.25">
      <c r="B185" s="285" t="s">
        <v>479</v>
      </c>
      <c r="C185" s="284" t="s">
        <v>29</v>
      </c>
      <c r="F185" s="18">
        <f>+F181/(F89+F104+F128)</f>
        <v>2.3765574526995851E-2</v>
      </c>
      <c r="G185" s="18"/>
      <c r="H185" s="18"/>
      <c r="I185" s="18">
        <f>+I181/(I89+I104+I128)</f>
        <v>2.4584103512014788E-2</v>
      </c>
      <c r="J185" s="323">
        <v>2.5000000000000001E-2</v>
      </c>
      <c r="K185" s="31">
        <f>+K182/K89</f>
        <v>0</v>
      </c>
      <c r="L185" s="355">
        <f>+J185</f>
        <v>2.5000000000000001E-2</v>
      </c>
      <c r="M185" s="30">
        <f>+L185</f>
        <v>2.5000000000000001E-2</v>
      </c>
      <c r="N185" s="18">
        <f>+N182/N89</f>
        <v>0</v>
      </c>
      <c r="O185" s="30">
        <f>+M185</f>
        <v>2.5000000000000001E-2</v>
      </c>
      <c r="P185" s="208">
        <f t="shared" ref="P185" si="1635">+O185</f>
        <v>2.5000000000000001E-2</v>
      </c>
      <c r="Q185" s="209">
        <f>+Q182/Q89</f>
        <v>2.5000000000000005E-2</v>
      </c>
      <c r="R185" s="208">
        <f t="shared" ref="R185" si="1636">+P185</f>
        <v>2.5000000000000001E-2</v>
      </c>
      <c r="S185" s="208">
        <f t="shared" ref="S185" si="1637">+R185</f>
        <v>2.5000000000000001E-2</v>
      </c>
      <c r="T185" s="209">
        <f>+T182/T89</f>
        <v>2.4999999999999998E-2</v>
      </c>
      <c r="U185" s="208">
        <f t="shared" ref="U185" si="1638">+S185</f>
        <v>2.5000000000000001E-2</v>
      </c>
      <c r="V185" s="208">
        <f t="shared" ref="V185" si="1639">+U185</f>
        <v>2.5000000000000001E-2</v>
      </c>
      <c r="W185" s="209">
        <f>+W182/W89</f>
        <v>2.5000000000000001E-2</v>
      </c>
      <c r="X185" s="208">
        <f t="shared" ref="X185" si="1640">+V185</f>
        <v>2.5000000000000001E-2</v>
      </c>
      <c r="Y185" s="208">
        <f t="shared" ref="Y185" si="1641">+X185</f>
        <v>2.5000000000000001E-2</v>
      </c>
      <c r="Z185" s="209">
        <f>+Z182/Z89</f>
        <v>2.5000000000000001E-2</v>
      </c>
      <c r="AA185" s="208">
        <f t="shared" ref="AA185" si="1642">+Y185</f>
        <v>2.5000000000000001E-2</v>
      </c>
      <c r="AB185" s="208">
        <f t="shared" ref="AB185" si="1643">+AA185</f>
        <v>2.5000000000000001E-2</v>
      </c>
      <c r="AC185" s="209">
        <f>+AC182/AC89</f>
        <v>2.5000000000000001E-2</v>
      </c>
      <c r="AD185" s="208">
        <f t="shared" ref="AD185" si="1644">+AB185</f>
        <v>2.5000000000000001E-2</v>
      </c>
      <c r="AE185" s="208">
        <f t="shared" ref="AE185" si="1645">+AD185</f>
        <v>2.5000000000000001E-2</v>
      </c>
      <c r="AF185" s="209">
        <f>+AF182/AF89</f>
        <v>2.5000000000000001E-2</v>
      </c>
      <c r="AG185" s="208">
        <f t="shared" ref="AG185" si="1646">+AE185</f>
        <v>2.5000000000000001E-2</v>
      </c>
      <c r="AH185" s="208">
        <f t="shared" ref="AH185" si="1647">+AG185</f>
        <v>2.5000000000000001E-2</v>
      </c>
      <c r="AI185" s="209">
        <f>+AI182/AI89</f>
        <v>2.5000000000000005E-2</v>
      </c>
      <c r="AJ185" s="208">
        <f t="shared" ref="AJ185" si="1648">+AH185</f>
        <v>2.5000000000000001E-2</v>
      </c>
      <c r="AK185" s="208">
        <f t="shared" ref="AK185" si="1649">+AJ185</f>
        <v>2.5000000000000001E-2</v>
      </c>
      <c r="AL185" s="209">
        <f>+AL182/AL89</f>
        <v>2.4999999999999998E-2</v>
      </c>
      <c r="AM185" s="208">
        <f t="shared" ref="AM185" si="1650">+AK185</f>
        <v>2.5000000000000001E-2</v>
      </c>
      <c r="AN185" s="208">
        <f t="shared" ref="AN185" si="1651">+AM185</f>
        <v>2.5000000000000001E-2</v>
      </c>
      <c r="AO185" s="209">
        <f>+AO182/AO89</f>
        <v>2.4999999999999998E-2</v>
      </c>
      <c r="AP185" s="208">
        <f t="shared" ref="AP185" si="1652">+AN185</f>
        <v>2.5000000000000001E-2</v>
      </c>
      <c r="AQ185" s="208">
        <f t="shared" ref="AQ185" si="1653">+AP185</f>
        <v>2.5000000000000001E-2</v>
      </c>
      <c r="AR185" s="209">
        <f>+AR182/AR89</f>
        <v>2.5000000000000005E-2</v>
      </c>
      <c r="AS185" s="208">
        <f t="shared" ref="AS185" si="1654">+AQ185</f>
        <v>2.5000000000000001E-2</v>
      </c>
      <c r="AT185" s="208">
        <f t="shared" ref="AT185" si="1655">+AS185</f>
        <v>2.5000000000000001E-2</v>
      </c>
      <c r="AU185" s="209">
        <f>+AU182/AU89</f>
        <v>2.4999999999999998E-2</v>
      </c>
      <c r="AV185" s="208">
        <f t="shared" ref="AV185" si="1656">+AT185</f>
        <v>2.5000000000000001E-2</v>
      </c>
    </row>
    <row r="186" spans="1:48" outlineLevel="1" x14ac:dyDescent="0.25">
      <c r="M186" s="8"/>
    </row>
    <row r="187" spans="1:48" outlineLevel="1" x14ac:dyDescent="0.25">
      <c r="A187" t="s">
        <v>641</v>
      </c>
      <c r="B187" s="8" t="s">
        <v>82</v>
      </c>
      <c r="C187" s="227" t="s">
        <v>28</v>
      </c>
      <c r="F187" s="45">
        <v>3</v>
      </c>
      <c r="G187" s="165"/>
      <c r="H187" s="165"/>
      <c r="I187" s="45">
        <f>1.813+2.66</f>
        <v>4.4729999999999999</v>
      </c>
      <c r="J187" s="19">
        <f>+J192+J199+J201</f>
        <v>2.6762819881849662</v>
      </c>
      <c r="K187" s="19">
        <f>+L187-J187</f>
        <v>3.7157180118150333</v>
      </c>
      <c r="L187" s="518">
        <f>6.164+0.228</f>
        <v>6.3919999999999995</v>
      </c>
      <c r="M187" s="19">
        <f>+M192+M199+M201</f>
        <v>3.5678534263615811</v>
      </c>
      <c r="N187" s="19">
        <f>O187-M187</f>
        <v>8.7681465736384183</v>
      </c>
      <c r="O187" s="455">
        <f>8.942+2.97+0.424</f>
        <v>12.336</v>
      </c>
      <c r="P187" s="19">
        <f>+P192+P199+P201+P203</f>
        <v>4.5125094043859972</v>
      </c>
      <c r="Q187" s="19">
        <f>+Q192+Q199+Q201+Q203</f>
        <v>4.3329180914909395</v>
      </c>
      <c r="R187" s="19">
        <f>+R192+R199+R201</f>
        <v>8.8454274958769368</v>
      </c>
      <c r="S187" s="19">
        <f t="shared" ref="S187:AS187" si="1657">+S192+S199+S201</f>
        <v>5.3696566932940231</v>
      </c>
      <c r="T187" s="19">
        <f t="shared" si="1657"/>
        <v>5.3730665186887467</v>
      </c>
      <c r="U187" s="19">
        <f>+U192+U199+U201</f>
        <v>10.742723211982771</v>
      </c>
      <c r="V187" s="19">
        <f t="shared" si="1657"/>
        <v>6.5863212350669933</v>
      </c>
      <c r="W187" s="19">
        <f t="shared" si="1657"/>
        <v>6.6185356905653929</v>
      </c>
      <c r="X187" s="19">
        <f t="shared" si="1657"/>
        <v>13.204856925632386</v>
      </c>
      <c r="Y187" s="19">
        <f t="shared" si="1657"/>
        <v>7.9048209051546179</v>
      </c>
      <c r="Z187" s="19">
        <f t="shared" si="1657"/>
        <v>7.9346227769093529</v>
      </c>
      <c r="AA187" s="19">
        <f t="shared" si="1657"/>
        <v>15.839443682063971</v>
      </c>
      <c r="AB187" s="19">
        <f t="shared" si="1657"/>
        <v>9.2583732011748197</v>
      </c>
      <c r="AC187" s="19">
        <f t="shared" si="1657"/>
        <v>9.2482090620615871</v>
      </c>
      <c r="AD187" s="19">
        <f t="shared" si="1657"/>
        <v>18.506582263236407</v>
      </c>
      <c r="AE187" s="19">
        <f t="shared" si="1657"/>
        <v>10.860544509467687</v>
      </c>
      <c r="AF187" s="19">
        <f t="shared" si="1657"/>
        <v>10.853738423968093</v>
      </c>
      <c r="AG187" s="19">
        <f t="shared" si="1657"/>
        <v>21.714282933435779</v>
      </c>
      <c r="AH187" s="19">
        <f t="shared" si="1657"/>
        <v>12.672473045233035</v>
      </c>
      <c r="AI187" s="19">
        <f t="shared" si="1657"/>
        <v>12.672431783649316</v>
      </c>
      <c r="AJ187" s="19">
        <f t="shared" si="1657"/>
        <v>25.344904828882349</v>
      </c>
      <c r="AK187" s="19">
        <f t="shared" si="1657"/>
        <v>14.71464795041074</v>
      </c>
      <c r="AL187" s="19">
        <f t="shared" si="1657"/>
        <v>14.725266630287226</v>
      </c>
      <c r="AM187" s="19">
        <f t="shared" si="1657"/>
        <v>29.439914580697966</v>
      </c>
      <c r="AN187" s="19">
        <f t="shared" si="1657"/>
        <v>16.538960432216964</v>
      </c>
      <c r="AO187" s="19">
        <f t="shared" si="1657"/>
        <v>16.506944399734166</v>
      </c>
      <c r="AP187" s="19">
        <f t="shared" si="1657"/>
        <v>33.045904831951127</v>
      </c>
      <c r="AQ187" s="19">
        <f t="shared" si="1657"/>
        <v>18.553153284696727</v>
      </c>
      <c r="AR187" s="19">
        <f t="shared" si="1657"/>
        <v>18.539348247755733</v>
      </c>
      <c r="AS187" s="19">
        <f t="shared" si="1657"/>
        <v>37.092501532452459</v>
      </c>
      <c r="AT187" s="19">
        <f t="shared" ref="AT187:AV187" si="1658">+AT192+AT199+AT201</f>
        <v>20.743210238941074</v>
      </c>
      <c r="AU187" s="19">
        <f t="shared" si="1658"/>
        <v>20.751745623129306</v>
      </c>
      <c r="AV187" s="19">
        <f t="shared" si="1658"/>
        <v>41.494955862070377</v>
      </c>
    </row>
    <row r="188" spans="1:48" outlineLevel="1" x14ac:dyDescent="0.25">
      <c r="K188" s="65"/>
      <c r="L188" s="375"/>
      <c r="O188" s="19">
        <f>+O187-3</f>
        <v>9.3360000000000003</v>
      </c>
      <c r="R188" s="19"/>
    </row>
    <row r="189" spans="1:48" outlineLevel="1" x14ac:dyDescent="0.25">
      <c r="B189" s="12" t="s">
        <v>471</v>
      </c>
      <c r="K189" s="65"/>
      <c r="L189" s="376"/>
    </row>
    <row r="190" spans="1:48" outlineLevel="1" x14ac:dyDescent="0.25">
      <c r="B190" s="8" t="s">
        <v>472</v>
      </c>
      <c r="C190" s="22" t="s">
        <v>438</v>
      </c>
      <c r="F190" s="20">
        <v>90000</v>
      </c>
      <c r="G190" s="20">
        <f>+F190</f>
        <v>90000</v>
      </c>
      <c r="H190" s="20">
        <f>+G190</f>
        <v>90000</v>
      </c>
      <c r="I190" s="20">
        <f>+H190</f>
        <v>90000</v>
      </c>
      <c r="J190" s="20">
        <f>+I190</f>
        <v>90000</v>
      </c>
      <c r="K190" s="329">
        <f>+J190</f>
        <v>90000</v>
      </c>
      <c r="L190" s="377">
        <f t="shared" ref="L190:AA190" si="1659">+K190</f>
        <v>90000</v>
      </c>
      <c r="M190" s="410">
        <f t="shared" si="1659"/>
        <v>90000</v>
      </c>
      <c r="N190" s="177">
        <f t="shared" si="1659"/>
        <v>90000</v>
      </c>
      <c r="O190" s="177">
        <f t="shared" si="1659"/>
        <v>90000</v>
      </c>
      <c r="P190" s="177">
        <f t="shared" si="1659"/>
        <v>90000</v>
      </c>
      <c r="Q190" s="177">
        <f t="shared" si="1659"/>
        <v>90000</v>
      </c>
      <c r="R190" s="177">
        <f t="shared" si="1659"/>
        <v>90000</v>
      </c>
      <c r="S190" s="177">
        <f t="shared" si="1659"/>
        <v>90000</v>
      </c>
      <c r="T190" s="177">
        <f t="shared" si="1659"/>
        <v>90000</v>
      </c>
      <c r="U190" s="177">
        <f t="shared" si="1659"/>
        <v>90000</v>
      </c>
      <c r="V190" s="177">
        <f t="shared" si="1659"/>
        <v>90000</v>
      </c>
      <c r="W190" s="177">
        <f t="shared" si="1659"/>
        <v>90000</v>
      </c>
      <c r="X190" s="177">
        <f t="shared" si="1659"/>
        <v>90000</v>
      </c>
      <c r="Y190" s="177">
        <f>+X190</f>
        <v>90000</v>
      </c>
      <c r="Z190" s="177">
        <f t="shared" si="1659"/>
        <v>90000</v>
      </c>
      <c r="AA190" s="177">
        <f t="shared" si="1659"/>
        <v>90000</v>
      </c>
      <c r="AB190" s="177">
        <f t="shared" ref="AB190:AC190" si="1660">+AA190</f>
        <v>90000</v>
      </c>
      <c r="AC190" s="177">
        <f t="shared" si="1660"/>
        <v>90000</v>
      </c>
      <c r="AD190" s="177">
        <f t="shared" ref="AD190" si="1661">+AC190</f>
        <v>90000</v>
      </c>
      <c r="AE190" s="177">
        <f t="shared" ref="AE190" si="1662">+AD190</f>
        <v>90000</v>
      </c>
      <c r="AF190" s="177">
        <f t="shared" ref="AF190:AG190" si="1663">+AE190</f>
        <v>90000</v>
      </c>
      <c r="AG190" s="177">
        <f t="shared" si="1663"/>
        <v>90000</v>
      </c>
      <c r="AH190" s="177">
        <f t="shared" ref="AH190" si="1664">+AG190</f>
        <v>90000</v>
      </c>
      <c r="AI190" s="177">
        <f t="shared" ref="AI190" si="1665">+AH190</f>
        <v>90000</v>
      </c>
      <c r="AJ190" s="177">
        <f t="shared" ref="AJ190:AK190" si="1666">+AI190</f>
        <v>90000</v>
      </c>
      <c r="AK190" s="177">
        <f t="shared" si="1666"/>
        <v>90000</v>
      </c>
      <c r="AL190" s="177">
        <f t="shared" ref="AL190" si="1667">+AK190</f>
        <v>90000</v>
      </c>
      <c r="AM190" s="177">
        <f t="shared" ref="AM190" si="1668">+AL190</f>
        <v>90000</v>
      </c>
      <c r="AN190" s="177">
        <f t="shared" ref="AN190:AO190" si="1669">+AM190</f>
        <v>90000</v>
      </c>
      <c r="AO190" s="177">
        <f t="shared" si="1669"/>
        <v>90000</v>
      </c>
      <c r="AP190" s="177">
        <f t="shared" ref="AP190" si="1670">+AO190</f>
        <v>90000</v>
      </c>
      <c r="AQ190" s="177">
        <f t="shared" ref="AQ190" si="1671">+AP190</f>
        <v>90000</v>
      </c>
      <c r="AR190" s="177">
        <f t="shared" ref="AR190" si="1672">+AQ190</f>
        <v>90000</v>
      </c>
      <c r="AS190" s="177">
        <f t="shared" ref="AS190" si="1673">+AR190</f>
        <v>90000</v>
      </c>
      <c r="AT190" s="177">
        <f t="shared" ref="AT190" si="1674">+AS190</f>
        <v>90000</v>
      </c>
      <c r="AU190" s="177">
        <f t="shared" ref="AU190" si="1675">+AT190</f>
        <v>90000</v>
      </c>
      <c r="AV190" s="177">
        <f t="shared" ref="AV190" si="1676">+AU190</f>
        <v>90000</v>
      </c>
    </row>
    <row r="191" spans="1:48" outlineLevel="1" x14ac:dyDescent="0.25">
      <c r="B191" s="8" t="s">
        <v>473</v>
      </c>
      <c r="C191" s="22" t="s">
        <v>274</v>
      </c>
      <c r="F191" s="21">
        <f t="shared" ref="F191:AV191" si="1677">+F83</f>
        <v>0</v>
      </c>
      <c r="G191" s="8">
        <f t="shared" si="1677"/>
        <v>2</v>
      </c>
      <c r="H191" s="8">
        <f t="shared" si="1677"/>
        <v>10</v>
      </c>
      <c r="I191" s="8">
        <f t="shared" si="1677"/>
        <v>12</v>
      </c>
      <c r="J191" s="8">
        <f t="shared" si="1677"/>
        <v>5</v>
      </c>
      <c r="K191" s="65">
        <f t="shared" si="1677"/>
        <v>9</v>
      </c>
      <c r="L191" s="375">
        <f t="shared" si="1677"/>
        <v>14</v>
      </c>
      <c r="M191" s="172">
        <f t="shared" si="1677"/>
        <v>6</v>
      </c>
      <c r="N191" s="8">
        <f t="shared" si="1677"/>
        <v>7</v>
      </c>
      <c r="O191" s="8">
        <f t="shared" si="1677"/>
        <v>13</v>
      </c>
      <c r="P191" s="8">
        <f t="shared" si="1677"/>
        <v>10</v>
      </c>
      <c r="Q191" s="8">
        <f t="shared" si="1677"/>
        <v>10</v>
      </c>
      <c r="R191" s="8">
        <f t="shared" si="1677"/>
        <v>20</v>
      </c>
      <c r="S191" s="8">
        <f t="shared" si="1677"/>
        <v>10.5</v>
      </c>
      <c r="T191" s="8">
        <f t="shared" si="1677"/>
        <v>10.5</v>
      </c>
      <c r="U191" s="8">
        <f t="shared" si="1677"/>
        <v>21</v>
      </c>
      <c r="V191" s="8">
        <f t="shared" si="1677"/>
        <v>12</v>
      </c>
      <c r="W191" s="8">
        <f t="shared" si="1677"/>
        <v>12</v>
      </c>
      <c r="X191" s="8">
        <f t="shared" si="1677"/>
        <v>24</v>
      </c>
      <c r="Y191" s="8">
        <f t="shared" si="1677"/>
        <v>12</v>
      </c>
      <c r="Z191" s="8">
        <f t="shared" si="1677"/>
        <v>12</v>
      </c>
      <c r="AA191" s="8">
        <f t="shared" si="1677"/>
        <v>24</v>
      </c>
      <c r="AB191" s="8">
        <f t="shared" si="1677"/>
        <v>10.5</v>
      </c>
      <c r="AC191" s="8">
        <f t="shared" si="1677"/>
        <v>10.5</v>
      </c>
      <c r="AD191" s="8">
        <f t="shared" si="1677"/>
        <v>21</v>
      </c>
      <c r="AE191" s="8">
        <f t="shared" si="1677"/>
        <v>10.5</v>
      </c>
      <c r="AF191" s="8">
        <f t="shared" si="1677"/>
        <v>10.5</v>
      </c>
      <c r="AG191" s="8">
        <f t="shared" si="1677"/>
        <v>21</v>
      </c>
      <c r="AH191" s="8">
        <f t="shared" si="1677"/>
        <v>10.5</v>
      </c>
      <c r="AI191" s="8">
        <f t="shared" si="1677"/>
        <v>10.5</v>
      </c>
      <c r="AJ191" s="8">
        <f t="shared" si="1677"/>
        <v>21</v>
      </c>
      <c r="AK191" s="8">
        <f t="shared" si="1677"/>
        <v>10.5</v>
      </c>
      <c r="AL191" s="8">
        <f t="shared" si="1677"/>
        <v>10.5</v>
      </c>
      <c r="AM191" s="8">
        <f t="shared" si="1677"/>
        <v>21</v>
      </c>
      <c r="AN191" s="8">
        <f t="shared" si="1677"/>
        <v>9</v>
      </c>
      <c r="AO191" s="8">
        <f t="shared" si="1677"/>
        <v>9</v>
      </c>
      <c r="AP191" s="8">
        <f t="shared" si="1677"/>
        <v>18</v>
      </c>
      <c r="AQ191" s="8">
        <f t="shared" si="1677"/>
        <v>9</v>
      </c>
      <c r="AR191" s="8">
        <f t="shared" si="1677"/>
        <v>9</v>
      </c>
      <c r="AS191" s="8">
        <f t="shared" si="1677"/>
        <v>18</v>
      </c>
      <c r="AT191" s="8">
        <f t="shared" si="1677"/>
        <v>9</v>
      </c>
      <c r="AU191" s="8">
        <f t="shared" si="1677"/>
        <v>9</v>
      </c>
      <c r="AV191" s="8">
        <f t="shared" si="1677"/>
        <v>18</v>
      </c>
    </row>
    <row r="192" spans="1:48" outlineLevel="1" x14ac:dyDescent="0.25">
      <c r="B192" s="8" t="s">
        <v>231</v>
      </c>
      <c r="C192" s="22" t="s">
        <v>28</v>
      </c>
      <c r="F192" s="8">
        <f>F190*F191/1000000</f>
        <v>0</v>
      </c>
      <c r="G192" s="8">
        <f>G190*G191/1000000</f>
        <v>0.18</v>
      </c>
      <c r="H192" s="8">
        <f t="shared" ref="H192:AA192" si="1678">H190*H191/1000000</f>
        <v>0.9</v>
      </c>
      <c r="I192" s="8">
        <f t="shared" si="1678"/>
        <v>1.08</v>
      </c>
      <c r="J192" s="8">
        <f t="shared" si="1678"/>
        <v>0.45</v>
      </c>
      <c r="K192" s="330">
        <f t="shared" si="1678"/>
        <v>0.81</v>
      </c>
      <c r="L192" s="378">
        <f t="shared" si="1678"/>
        <v>1.26</v>
      </c>
      <c r="M192" s="408">
        <f t="shared" si="1678"/>
        <v>0.54</v>
      </c>
      <c r="N192" s="23">
        <f t="shared" si="1678"/>
        <v>0.63</v>
      </c>
      <c r="O192" s="23">
        <f>O190*O191/1000000</f>
        <v>1.17</v>
      </c>
      <c r="P192" s="23">
        <f t="shared" si="1678"/>
        <v>0.9</v>
      </c>
      <c r="Q192" s="23">
        <f t="shared" si="1678"/>
        <v>0.9</v>
      </c>
      <c r="R192" s="23">
        <f>R190*R191/1000000</f>
        <v>1.8</v>
      </c>
      <c r="S192" s="23">
        <f t="shared" si="1678"/>
        <v>0.94499999999999995</v>
      </c>
      <c r="T192" s="23">
        <f t="shared" si="1678"/>
        <v>0.94499999999999995</v>
      </c>
      <c r="U192" s="23">
        <f t="shared" si="1678"/>
        <v>1.89</v>
      </c>
      <c r="V192" s="23">
        <f t="shared" si="1678"/>
        <v>1.08</v>
      </c>
      <c r="W192" s="23">
        <f t="shared" si="1678"/>
        <v>1.08</v>
      </c>
      <c r="X192" s="23">
        <f t="shared" si="1678"/>
        <v>2.16</v>
      </c>
      <c r="Y192" s="23">
        <f t="shared" si="1678"/>
        <v>1.08</v>
      </c>
      <c r="Z192" s="23">
        <f t="shared" si="1678"/>
        <v>1.08</v>
      </c>
      <c r="AA192" s="23">
        <f t="shared" si="1678"/>
        <v>2.16</v>
      </c>
      <c r="AB192" s="23">
        <f t="shared" ref="AB192:AP192" si="1679">AB190*AB191/1000000</f>
        <v>0.94499999999999995</v>
      </c>
      <c r="AC192" s="23">
        <f t="shared" si="1679"/>
        <v>0.94499999999999995</v>
      </c>
      <c r="AD192" s="23">
        <f t="shared" si="1679"/>
        <v>1.89</v>
      </c>
      <c r="AE192" s="23">
        <f t="shared" si="1679"/>
        <v>0.94499999999999995</v>
      </c>
      <c r="AF192" s="23">
        <f t="shared" si="1679"/>
        <v>0.94499999999999995</v>
      </c>
      <c r="AG192" s="23">
        <f t="shared" si="1679"/>
        <v>1.89</v>
      </c>
      <c r="AH192" s="23">
        <f t="shared" si="1679"/>
        <v>0.94499999999999995</v>
      </c>
      <c r="AI192" s="23">
        <f t="shared" si="1679"/>
        <v>0.94499999999999995</v>
      </c>
      <c r="AJ192" s="23">
        <f t="shared" si="1679"/>
        <v>1.89</v>
      </c>
      <c r="AK192" s="23">
        <f t="shared" si="1679"/>
        <v>0.94499999999999995</v>
      </c>
      <c r="AL192" s="23">
        <f t="shared" si="1679"/>
        <v>0.94499999999999995</v>
      </c>
      <c r="AM192" s="23">
        <f t="shared" si="1679"/>
        <v>1.89</v>
      </c>
      <c r="AN192" s="23">
        <f t="shared" si="1679"/>
        <v>0.81</v>
      </c>
      <c r="AO192" s="23">
        <f t="shared" si="1679"/>
        <v>0.81</v>
      </c>
      <c r="AP192" s="23">
        <f t="shared" si="1679"/>
        <v>1.62</v>
      </c>
      <c r="AQ192" s="23">
        <f t="shared" ref="AQ192:AS192" si="1680">AQ190*AQ191/1000000</f>
        <v>0.81</v>
      </c>
      <c r="AR192" s="23">
        <f t="shared" si="1680"/>
        <v>0.81</v>
      </c>
      <c r="AS192" s="23">
        <f t="shared" si="1680"/>
        <v>1.62</v>
      </c>
      <c r="AT192" s="23">
        <f t="shared" ref="AT192:AV192" si="1681">AT190*AT191/1000000</f>
        <v>0.81</v>
      </c>
      <c r="AU192" s="23">
        <f t="shared" si="1681"/>
        <v>0.81</v>
      </c>
      <c r="AV192" s="23">
        <f t="shared" si="1681"/>
        <v>1.62</v>
      </c>
    </row>
    <row r="193" spans="1:48" outlineLevel="1" x14ac:dyDescent="0.25">
      <c r="K193" s="330"/>
      <c r="L193" s="378"/>
      <c r="M193" s="408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  <c r="AB193" s="23"/>
      <c r="AC193" s="23"/>
      <c r="AD193" s="23"/>
      <c r="AE193" s="23"/>
      <c r="AF193" s="23"/>
      <c r="AG193" s="23"/>
      <c r="AH193" s="23"/>
      <c r="AI193" s="23"/>
      <c r="AJ193" s="23"/>
      <c r="AK193" s="23"/>
      <c r="AL193" s="23"/>
      <c r="AM193" s="23"/>
      <c r="AN193" s="23"/>
      <c r="AO193" s="23"/>
      <c r="AP193" s="23"/>
      <c r="AQ193" s="23"/>
      <c r="AR193" s="23"/>
      <c r="AS193" s="23"/>
      <c r="AT193" s="23"/>
      <c r="AU193" s="23"/>
      <c r="AV193" s="23"/>
    </row>
    <row r="194" spans="1:48" outlineLevel="1" x14ac:dyDescent="0.25">
      <c r="B194" s="12" t="s">
        <v>475</v>
      </c>
      <c r="K194" s="65"/>
      <c r="L194" s="375"/>
    </row>
    <row r="195" spans="1:48" outlineLevel="1" x14ac:dyDescent="0.25">
      <c r="B195" s="8" t="s">
        <v>476</v>
      </c>
      <c r="C195" s="22" t="s">
        <v>29</v>
      </c>
      <c r="I195" s="24">
        <v>0.15</v>
      </c>
      <c r="J195" s="202">
        <v>0.17</v>
      </c>
      <c r="K195" s="331">
        <f>+K197/K89</f>
        <v>0.17785081287854634</v>
      </c>
      <c r="L195" s="379">
        <v>0.17399999999999999</v>
      </c>
      <c r="M195" s="440">
        <v>0.21299999999999999</v>
      </c>
      <c r="N195" s="15">
        <f>+N197/N89</f>
        <v>0.17751196643335626</v>
      </c>
      <c r="O195" s="457">
        <v>0.19500000000000001</v>
      </c>
      <c r="P195" s="15">
        <f>+M195+P196</f>
        <v>0.23299999999999998</v>
      </c>
      <c r="Q195" s="15">
        <f>+Q197/Q89</f>
        <v>0.19779701160666949</v>
      </c>
      <c r="R195" s="15">
        <f>+O195+R196</f>
        <v>0.215</v>
      </c>
      <c r="S195" s="15">
        <f t="shared" ref="S195" si="1682">+P195+S196</f>
        <v>0.253</v>
      </c>
      <c r="T195" s="15">
        <f>+T197/T89</f>
        <v>0.21854945592786124</v>
      </c>
      <c r="U195" s="15">
        <f t="shared" ref="U195:V195" si="1683">+R195+U196</f>
        <v>0.23499999999999999</v>
      </c>
      <c r="V195" s="15">
        <f t="shared" si="1683"/>
        <v>0.27300000000000002</v>
      </c>
      <c r="W195" s="15">
        <f>+W197/W89</f>
        <v>0.23855994158987923</v>
      </c>
      <c r="X195" s="15">
        <f t="shared" ref="X195" si="1684">+U195+X196</f>
        <v>0.255</v>
      </c>
      <c r="Y195" s="15">
        <f t="shared" ref="Y195" si="1685">+V195+Y196</f>
        <v>0.29300000000000004</v>
      </c>
      <c r="Z195" s="15">
        <f>+Z197/Z89</f>
        <v>0.25847342978183624</v>
      </c>
      <c r="AA195" s="15">
        <f t="shared" ref="AA195" si="1686">+X195+AA196</f>
        <v>0.27500000000000002</v>
      </c>
      <c r="AB195" s="15">
        <f t="shared" ref="AB195" si="1687">+Y195+AB196</f>
        <v>0.31300000000000006</v>
      </c>
      <c r="AC195" s="15">
        <f>+AC197/AC89</f>
        <v>0.27832613476754209</v>
      </c>
      <c r="AD195" s="15">
        <f t="shared" ref="AD195" si="1688">+AA195+AD196</f>
        <v>0.29500000000000004</v>
      </c>
      <c r="AE195" s="15">
        <f t="shared" ref="AE195" si="1689">+AB195+AE196</f>
        <v>0.33300000000000007</v>
      </c>
      <c r="AF195" s="15">
        <f>+AF197/AF89</f>
        <v>0.29828102651336574</v>
      </c>
      <c r="AG195" s="15">
        <f t="shared" ref="AG195" si="1690">+AD195+AG196</f>
        <v>0.31500000000000006</v>
      </c>
      <c r="AH195" s="15">
        <f t="shared" ref="AH195" si="1691">+AE195+AH196</f>
        <v>0.35300000000000009</v>
      </c>
      <c r="AI195" s="15">
        <f>+AI197/AI89</f>
        <v>0.31824248206202682</v>
      </c>
      <c r="AJ195" s="15">
        <f t="shared" ref="AJ195" si="1692">+AG195+AJ196</f>
        <v>0.33500000000000008</v>
      </c>
      <c r="AK195" s="15">
        <f t="shared" ref="AK195" si="1693">+AH195+AK196</f>
        <v>0.37300000000000011</v>
      </c>
      <c r="AL195" s="15">
        <f>+AL197/AL89</f>
        <v>0.33820916569234027</v>
      </c>
      <c r="AM195" s="15">
        <f t="shared" ref="AM195" si="1694">+AJ195+AM196</f>
        <v>0.35500000000000009</v>
      </c>
      <c r="AN195" s="15">
        <f t="shared" ref="AN195" si="1695">+AK195+AN196</f>
        <v>0.39300000000000013</v>
      </c>
      <c r="AO195" s="15">
        <f>+AO197/AO89</f>
        <v>0.35812076929782405</v>
      </c>
      <c r="AP195" s="15">
        <f t="shared" ref="AP195" si="1696">+AM195+AP196</f>
        <v>0.37500000000000011</v>
      </c>
      <c r="AQ195" s="15">
        <f t="shared" ref="AQ195" si="1697">+AN195+AQ196</f>
        <v>0.41300000000000014</v>
      </c>
      <c r="AR195" s="15">
        <f>+AR197/AR89</f>
        <v>0.3781015940553521</v>
      </c>
      <c r="AS195" s="15">
        <f t="shared" ref="AS195" si="1698">+AP195+AS196</f>
        <v>0.39500000000000013</v>
      </c>
      <c r="AT195" s="15">
        <f t="shared" ref="AT195" si="1699">+AQ195+AT196</f>
        <v>0.43300000000000016</v>
      </c>
      <c r="AU195" s="15">
        <f>+AU197/AU89</f>
        <v>0.39808431032030583</v>
      </c>
      <c r="AV195" s="15">
        <f t="shared" ref="AV195" si="1700">+AS195+AV196</f>
        <v>0.41500000000000015</v>
      </c>
    </row>
    <row r="196" spans="1:48" outlineLevel="1" x14ac:dyDescent="0.25">
      <c r="B196" s="8" t="s">
        <v>446</v>
      </c>
      <c r="C196" s="22" t="s">
        <v>29</v>
      </c>
      <c r="J196" s="202"/>
      <c r="K196" s="65"/>
      <c r="L196" s="380"/>
      <c r="M196" s="173"/>
      <c r="N196" s="84"/>
      <c r="O196" s="164"/>
      <c r="P196" s="164">
        <v>0.02</v>
      </c>
      <c r="Q196" s="84">
        <f t="shared" ref="Q196" si="1701">+Q195-N195</f>
        <v>2.0285045173313226E-2</v>
      </c>
      <c r="R196" s="164">
        <v>0.02</v>
      </c>
      <c r="S196" s="164">
        <f>+R196</f>
        <v>0.02</v>
      </c>
      <c r="T196" s="84">
        <f t="shared" ref="T196" si="1702">+T195-Q195</f>
        <v>2.0752444321191749E-2</v>
      </c>
      <c r="U196" s="164">
        <f t="shared" ref="U196" si="1703">+S196</f>
        <v>0.02</v>
      </c>
      <c r="V196" s="164">
        <f>+U196</f>
        <v>0.02</v>
      </c>
      <c r="W196" s="84">
        <f t="shared" ref="W196" si="1704">+W195-T195</f>
        <v>2.0010485662017991E-2</v>
      </c>
      <c r="X196" s="164">
        <f>+V196</f>
        <v>0.02</v>
      </c>
      <c r="Y196" s="164">
        <f t="shared" ref="Y196" si="1705">+X196</f>
        <v>0.02</v>
      </c>
      <c r="Z196" s="84">
        <f t="shared" ref="Z196" si="1706">+Z195-W195</f>
        <v>1.9913488191957013E-2</v>
      </c>
      <c r="AA196" s="164">
        <f t="shared" ref="AA196" si="1707">+Y196</f>
        <v>0.02</v>
      </c>
      <c r="AB196" s="164">
        <f t="shared" ref="AB196" si="1708">+AA196</f>
        <v>0.02</v>
      </c>
      <c r="AC196" s="84">
        <f t="shared" ref="AC196" si="1709">+AC195-Z195</f>
        <v>1.9852704985705849E-2</v>
      </c>
      <c r="AD196" s="164">
        <f t="shared" ref="AD196" si="1710">+AB196</f>
        <v>0.02</v>
      </c>
      <c r="AE196" s="164">
        <f t="shared" ref="AE196" si="1711">+AD196</f>
        <v>0.02</v>
      </c>
      <c r="AF196" s="84">
        <f t="shared" ref="AF196" si="1712">+AF195-AC195</f>
        <v>1.9954891745823655E-2</v>
      </c>
      <c r="AG196" s="164">
        <f t="shared" ref="AG196" si="1713">+AE196</f>
        <v>0.02</v>
      </c>
      <c r="AH196" s="164">
        <f t="shared" ref="AH196" si="1714">+AG196</f>
        <v>0.02</v>
      </c>
      <c r="AI196" s="84">
        <f t="shared" ref="AI196" si="1715">+AI195-AF195</f>
        <v>1.9961455548661078E-2</v>
      </c>
      <c r="AJ196" s="164">
        <f t="shared" ref="AJ196" si="1716">+AH196</f>
        <v>0.02</v>
      </c>
      <c r="AK196" s="164">
        <f t="shared" ref="AK196" si="1717">+AJ196</f>
        <v>0.02</v>
      </c>
      <c r="AL196" s="84">
        <f t="shared" ref="AL196" si="1718">+AL195-AI195</f>
        <v>1.9966683630313453E-2</v>
      </c>
      <c r="AM196" s="164">
        <f t="shared" ref="AM196" si="1719">+AK196</f>
        <v>0.02</v>
      </c>
      <c r="AN196" s="164">
        <f t="shared" ref="AN196" si="1720">+AM196</f>
        <v>0.02</v>
      </c>
      <c r="AO196" s="84">
        <f t="shared" ref="AO196" si="1721">+AO195-AL195</f>
        <v>1.9911603605483774E-2</v>
      </c>
      <c r="AP196" s="164">
        <f t="shared" ref="AP196" si="1722">+AN196</f>
        <v>0.02</v>
      </c>
      <c r="AQ196" s="164">
        <f>+AS196</f>
        <v>0.02</v>
      </c>
      <c r="AR196" s="84">
        <f t="shared" ref="AR196" si="1723">+AR195-AO195</f>
        <v>1.9980824757528048E-2</v>
      </c>
      <c r="AS196" s="164">
        <f>+AP196</f>
        <v>0.02</v>
      </c>
      <c r="AT196" s="164">
        <f>+AV196</f>
        <v>0.02</v>
      </c>
      <c r="AU196" s="84">
        <f t="shared" ref="AU196" si="1724">+AU195-AR195</f>
        <v>1.9982716264953737E-2</v>
      </c>
      <c r="AV196" s="164">
        <f>+AS196</f>
        <v>0.02</v>
      </c>
    </row>
    <row r="197" spans="1:48" outlineLevel="1" x14ac:dyDescent="0.25">
      <c r="B197" s="8" t="s">
        <v>43</v>
      </c>
      <c r="C197" s="22" t="s">
        <v>28</v>
      </c>
      <c r="I197" s="21">
        <f>I195*I89</f>
        <v>73.634999999999991</v>
      </c>
      <c r="J197" s="21">
        <f>J195*J89</f>
        <v>51.34</v>
      </c>
      <c r="K197" s="332">
        <f>+L197-J197</f>
        <v>55.791799999999995</v>
      </c>
      <c r="L197" s="381">
        <f>L195*L89</f>
        <v>107.1318</v>
      </c>
      <c r="M197" s="267">
        <f>M195*M89</f>
        <v>77.137737000000016</v>
      </c>
      <c r="N197" s="21">
        <f>+O197-M197</f>
        <v>66.167762999999951</v>
      </c>
      <c r="O197" s="267">
        <f>O195*O89</f>
        <v>143.30549999999997</v>
      </c>
      <c r="P197" s="21">
        <f>P195*P89</f>
        <v>95.423907186683252</v>
      </c>
      <c r="Q197" s="21">
        <f t="shared" ref="Q197" si="1725">+R197-P197</f>
        <v>84.759738585565529</v>
      </c>
      <c r="R197" s="21">
        <f>R195*R89</f>
        <v>180.18364577224878</v>
      </c>
      <c r="S197" s="21">
        <f>S195*S89</f>
        <v>120.61878148028332</v>
      </c>
      <c r="T197" s="21">
        <f t="shared" ref="T197" si="1726">+U197-S197</f>
        <v>114.00827755481892</v>
      </c>
      <c r="U197" s="21">
        <f>U195*U89</f>
        <v>234.62705903510223</v>
      </c>
      <c r="V197" s="21">
        <f>V195*V89</f>
        <v>154.32269637139538</v>
      </c>
      <c r="W197" s="21">
        <f t="shared" ref="W197" si="1727">+X197-V197</f>
        <v>147.65012685910662</v>
      </c>
      <c r="X197" s="21">
        <f>X195*X89</f>
        <v>301.972823230502</v>
      </c>
      <c r="Y197" s="21">
        <f>Y195*Y89</f>
        <v>196.03105358939214</v>
      </c>
      <c r="Z197" s="21">
        <f t="shared" ref="Z197" si="1728">+AA197-Y197</f>
        <v>188.34883197639729</v>
      </c>
      <c r="AA197" s="21">
        <f>AA195*AA89</f>
        <v>384.37988556578944</v>
      </c>
      <c r="AB197" s="21">
        <f>AB195*AB89</f>
        <v>244.07991094996316</v>
      </c>
      <c r="AC197" s="21">
        <f t="shared" ref="AC197" si="1729">+AD197-AB197</f>
        <v>234.30303014867212</v>
      </c>
      <c r="AD197" s="21">
        <f>AD195*AD89</f>
        <v>478.38294109863529</v>
      </c>
      <c r="AE197" s="21">
        <f>AE195*AE89</f>
        <v>296.91010595481595</v>
      </c>
      <c r="AF197" s="21">
        <f t="shared" ref="AF197" si="1730">+AG197-AE197</f>
        <v>286.33159435456429</v>
      </c>
      <c r="AG197" s="21">
        <f>AG195*AG89</f>
        <v>583.24170030938024</v>
      </c>
      <c r="AH197" s="21">
        <f>AH195*AH89</f>
        <v>357.4709772069665</v>
      </c>
      <c r="AI197" s="21">
        <f t="shared" ref="AI197" si="1731">+AJ197-AH197</f>
        <v>346.16810230488659</v>
      </c>
      <c r="AJ197" s="21">
        <f>AJ195*AJ89</f>
        <v>703.63907951185308</v>
      </c>
      <c r="AK197" s="21">
        <f>AK195*AK89</f>
        <v>426.55645489443918</v>
      </c>
      <c r="AL197" s="21">
        <f t="shared" ref="AL197" si="1732">+AM197-AK197</f>
        <v>414.62290362521446</v>
      </c>
      <c r="AM197" s="21">
        <f>AM195*AM89</f>
        <v>841.17935851965365</v>
      </c>
      <c r="AN197" s="21">
        <f>AN195*AN89</f>
        <v>494.48707994736338</v>
      </c>
      <c r="AO197" s="21">
        <f t="shared" ref="AO197" si="1733">+AP197-AN197</f>
        <v>480.52032612609509</v>
      </c>
      <c r="AP197" s="21">
        <f>AP195*AP89</f>
        <v>975.00740607345847</v>
      </c>
      <c r="AQ197" s="21">
        <f>AQ195*AQ89</f>
        <v>565.39143603409229</v>
      </c>
      <c r="AR197" s="21">
        <f t="shared" ref="AR197" si="1734">+AS197-AQ197</f>
        <v>551.35897566988046</v>
      </c>
      <c r="AS197" s="21">
        <f>AS195*AS89</f>
        <v>1116.7504117039728</v>
      </c>
      <c r="AT197" s="21">
        <f>AT195*AT89</f>
        <v>643.11244231640228</v>
      </c>
      <c r="AU197" s="21">
        <f t="shared" ref="AU197" si="1735">+AV197-AT197</f>
        <v>629.15387015225917</v>
      </c>
      <c r="AV197" s="21">
        <f>AV195*AV89</f>
        <v>1272.2663124686615</v>
      </c>
    </row>
    <row r="198" spans="1:48" outlineLevel="1" x14ac:dyDescent="0.25">
      <c r="B198" s="8" t="s">
        <v>477</v>
      </c>
      <c r="C198" s="22" t="s">
        <v>29</v>
      </c>
      <c r="F198" s="84">
        <v>2.3E-2</v>
      </c>
      <c r="G198" s="84">
        <f t="shared" ref="G198:L198" si="1736">+F198</f>
        <v>2.3E-2</v>
      </c>
      <c r="H198" s="84">
        <f t="shared" si="1736"/>
        <v>2.3E-2</v>
      </c>
      <c r="I198" s="84">
        <f>+H198</f>
        <v>2.3E-2</v>
      </c>
      <c r="J198" s="84">
        <f t="shared" si="1736"/>
        <v>2.3E-2</v>
      </c>
      <c r="K198" s="333">
        <f t="shared" si="1736"/>
        <v>2.3E-2</v>
      </c>
      <c r="L198" s="382">
        <f t="shared" si="1736"/>
        <v>2.3E-2</v>
      </c>
      <c r="M198" s="414">
        <f t="shared" ref="M198:X198" si="1737">+L198</f>
        <v>2.3E-2</v>
      </c>
      <c r="N198" s="164">
        <f t="shared" si="1737"/>
        <v>2.3E-2</v>
      </c>
      <c r="O198" s="414">
        <f t="shared" si="1737"/>
        <v>2.3E-2</v>
      </c>
      <c r="P198" s="164">
        <f t="shared" si="1737"/>
        <v>2.3E-2</v>
      </c>
      <c r="Q198" s="164">
        <f t="shared" si="1737"/>
        <v>2.3E-2</v>
      </c>
      <c r="R198" s="164">
        <f t="shared" si="1737"/>
        <v>2.3E-2</v>
      </c>
      <c r="S198" s="164">
        <f t="shared" si="1737"/>
        <v>2.3E-2</v>
      </c>
      <c r="T198" s="164">
        <f t="shared" si="1737"/>
        <v>2.3E-2</v>
      </c>
      <c r="U198" s="164">
        <f t="shared" si="1737"/>
        <v>2.3E-2</v>
      </c>
      <c r="V198" s="164">
        <f t="shared" si="1737"/>
        <v>2.3E-2</v>
      </c>
      <c r="W198" s="164">
        <f t="shared" si="1737"/>
        <v>2.3E-2</v>
      </c>
      <c r="X198" s="164">
        <f t="shared" si="1737"/>
        <v>2.3E-2</v>
      </c>
      <c r="Y198" s="164">
        <f t="shared" ref="Y198" si="1738">+X198</f>
        <v>2.3E-2</v>
      </c>
      <c r="Z198" s="164">
        <f t="shared" ref="Z198" si="1739">+Y198</f>
        <v>2.3E-2</v>
      </c>
      <c r="AA198" s="164">
        <f t="shared" ref="AA198" si="1740">+Z198</f>
        <v>2.3E-2</v>
      </c>
      <c r="AB198" s="164">
        <f t="shared" ref="AB198" si="1741">+AA198</f>
        <v>2.3E-2</v>
      </c>
      <c r="AC198" s="164">
        <f t="shared" ref="AC198" si="1742">+AB198</f>
        <v>2.3E-2</v>
      </c>
      <c r="AD198" s="164">
        <f t="shared" ref="AD198" si="1743">+AC198</f>
        <v>2.3E-2</v>
      </c>
      <c r="AE198" s="164">
        <f t="shared" ref="AE198" si="1744">+AD198</f>
        <v>2.3E-2</v>
      </c>
      <c r="AF198" s="164">
        <f t="shared" ref="AF198" si="1745">+AE198</f>
        <v>2.3E-2</v>
      </c>
      <c r="AG198" s="164">
        <f t="shared" ref="AG198" si="1746">+AF198</f>
        <v>2.3E-2</v>
      </c>
      <c r="AH198" s="164">
        <f t="shared" ref="AH198" si="1747">+AG198</f>
        <v>2.3E-2</v>
      </c>
      <c r="AI198" s="164">
        <f t="shared" ref="AI198" si="1748">+AH198</f>
        <v>2.3E-2</v>
      </c>
      <c r="AJ198" s="164">
        <f t="shared" ref="AJ198" si="1749">+AI198</f>
        <v>2.3E-2</v>
      </c>
      <c r="AK198" s="164">
        <f t="shared" ref="AK198" si="1750">+AJ198</f>
        <v>2.3E-2</v>
      </c>
      <c r="AL198" s="164">
        <f t="shared" ref="AL198" si="1751">+AK198</f>
        <v>2.3E-2</v>
      </c>
      <c r="AM198" s="164">
        <f t="shared" ref="AM198" si="1752">+AL198</f>
        <v>2.3E-2</v>
      </c>
      <c r="AN198" s="164">
        <f t="shared" ref="AN198" si="1753">+AM198</f>
        <v>2.3E-2</v>
      </c>
      <c r="AO198" s="164">
        <f t="shared" ref="AO198" si="1754">+AN198</f>
        <v>2.3E-2</v>
      </c>
      <c r="AP198" s="164">
        <f t="shared" ref="AP198" si="1755">+AO198</f>
        <v>2.3E-2</v>
      </c>
      <c r="AQ198" s="164">
        <f t="shared" ref="AQ198" si="1756">+AP198</f>
        <v>2.3E-2</v>
      </c>
      <c r="AR198" s="164">
        <f t="shared" ref="AR198" si="1757">+AQ198</f>
        <v>2.3E-2</v>
      </c>
      <c r="AS198" s="164">
        <f t="shared" ref="AS198" si="1758">+AR198</f>
        <v>2.3E-2</v>
      </c>
      <c r="AT198" s="164">
        <f t="shared" ref="AT198" si="1759">+AS198</f>
        <v>2.3E-2</v>
      </c>
      <c r="AU198" s="164">
        <f t="shared" ref="AU198" si="1760">+AT198</f>
        <v>2.3E-2</v>
      </c>
      <c r="AV198" s="164">
        <f t="shared" ref="AV198" si="1761">+AU198</f>
        <v>2.3E-2</v>
      </c>
    </row>
    <row r="199" spans="1:48" outlineLevel="1" x14ac:dyDescent="0.25">
      <c r="B199" s="8" t="s">
        <v>33</v>
      </c>
      <c r="C199" s="227" t="s">
        <v>28</v>
      </c>
      <c r="F199" s="84"/>
      <c r="G199" s="84"/>
      <c r="H199" s="84"/>
      <c r="I199" s="19">
        <f>+I198*I197</f>
        <v>1.6936049999999998</v>
      </c>
      <c r="J199" s="19">
        <f>+J198*J197</f>
        <v>1.18082</v>
      </c>
      <c r="K199" s="334">
        <f>+L199-J199</f>
        <v>1.2832114000000001</v>
      </c>
      <c r="L199" s="376">
        <f t="shared" ref="L199:M199" si="1762">+L198*L197</f>
        <v>2.4640314000000001</v>
      </c>
      <c r="M199" s="41">
        <f t="shared" si="1762"/>
        <v>1.7741679510000004</v>
      </c>
      <c r="N199" s="19">
        <f>+O199-M199</f>
        <v>1.5218585489999987</v>
      </c>
      <c r="O199" s="41">
        <f t="shared" ref="O199" si="1763">+O198*O197</f>
        <v>3.2960264999999991</v>
      </c>
      <c r="P199" s="19">
        <f t="shared" ref="P199" si="1764">+P198*P197</f>
        <v>2.1947498652937147</v>
      </c>
      <c r="Q199" s="19">
        <f t="shared" ref="Q199" si="1765">+R199-P199</f>
        <v>1.9494739874680072</v>
      </c>
      <c r="R199" s="19">
        <f>+R198*R197</f>
        <v>4.1442238527617219</v>
      </c>
      <c r="S199" s="19">
        <f t="shared" ref="S199" si="1766">+S198*S197</f>
        <v>2.7742319740465162</v>
      </c>
      <c r="T199" s="19">
        <f t="shared" ref="T199" si="1767">+U199-S199</f>
        <v>2.6221903837608349</v>
      </c>
      <c r="U199" s="19">
        <f t="shared" ref="U199" si="1768">+U198*U197</f>
        <v>5.3964223578073511</v>
      </c>
      <c r="V199" s="19">
        <f t="shared" ref="V199" si="1769">+V198*V197</f>
        <v>3.5494220165420938</v>
      </c>
      <c r="W199" s="19">
        <f t="shared" ref="W199" si="1770">+X199-V199</f>
        <v>3.3959529177594519</v>
      </c>
      <c r="X199" s="19">
        <f t="shared" ref="X199:AN199" si="1771">+X198*X197</f>
        <v>6.9453749343015456</v>
      </c>
      <c r="Y199" s="19">
        <f t="shared" si="1771"/>
        <v>4.5087142325560192</v>
      </c>
      <c r="Z199" s="19">
        <f t="shared" ref="Z199" si="1772">+AA199-Y199</f>
        <v>4.3320231354571375</v>
      </c>
      <c r="AA199" s="19">
        <f t="shared" ref="AA199" si="1773">+AA198*AA197</f>
        <v>8.8407373680131567</v>
      </c>
      <c r="AB199" s="19">
        <f t="shared" si="1771"/>
        <v>5.6138379518491526</v>
      </c>
      <c r="AC199" s="19">
        <f t="shared" ref="AC199" si="1774">+AD199-AB199</f>
        <v>5.3889696934194582</v>
      </c>
      <c r="AD199" s="19">
        <f t="shared" ref="AD199" si="1775">+AD198*AD197</f>
        <v>11.002807645268611</v>
      </c>
      <c r="AE199" s="19">
        <f t="shared" si="1771"/>
        <v>6.8289324369607662</v>
      </c>
      <c r="AF199" s="19">
        <f t="shared" ref="AF199" si="1776">+AG199-AE199</f>
        <v>6.5856266701549782</v>
      </c>
      <c r="AG199" s="19">
        <f t="shared" ref="AG199" si="1777">+AG198*AG197</f>
        <v>13.414559107115744</v>
      </c>
      <c r="AH199" s="19">
        <f t="shared" si="1771"/>
        <v>8.2218324757602286</v>
      </c>
      <c r="AI199" s="19">
        <f t="shared" ref="AI199" si="1778">+AJ199-AH199</f>
        <v>7.9618663530123914</v>
      </c>
      <c r="AJ199" s="19">
        <f t="shared" ref="AJ199" si="1779">+AJ198*AJ197</f>
        <v>16.18369882877262</v>
      </c>
      <c r="AK199" s="19">
        <f t="shared" si="1771"/>
        <v>9.8107984625721016</v>
      </c>
      <c r="AL199" s="19">
        <f t="shared" ref="AL199" si="1780">+AM199-AK199</f>
        <v>9.5363267833799306</v>
      </c>
      <c r="AM199" s="19">
        <f t="shared" ref="AM199" si="1781">+AM198*AM197</f>
        <v>19.347125245952032</v>
      </c>
      <c r="AN199" s="19">
        <f t="shared" si="1771"/>
        <v>11.373202838789357</v>
      </c>
      <c r="AO199" s="19">
        <f t="shared" ref="AO199" si="1782">+AP199-AN199</f>
        <v>11.051967500900187</v>
      </c>
      <c r="AP199" s="19">
        <f t="shared" ref="AP199:AS199" si="1783">+AP198*AP197</f>
        <v>22.425170339689544</v>
      </c>
      <c r="AQ199" s="19">
        <f t="shared" si="1783"/>
        <v>13.004003028784123</v>
      </c>
      <c r="AR199" s="19">
        <f t="shared" ref="AR199" si="1784">+AS199-AQ199</f>
        <v>12.68125644040725</v>
      </c>
      <c r="AS199" s="19">
        <f t="shared" si="1783"/>
        <v>25.685259469191372</v>
      </c>
      <c r="AT199" s="19">
        <f t="shared" ref="AT199" si="1785">+AT198*AT197</f>
        <v>14.791586173277253</v>
      </c>
      <c r="AU199" s="19">
        <f t="shared" ref="AU199" si="1786">+AV199-AT199</f>
        <v>14.470539013501959</v>
      </c>
      <c r="AV199" s="19">
        <f t="shared" ref="AV199" si="1787">+AV198*AV197</f>
        <v>29.262125186779212</v>
      </c>
    </row>
    <row r="200" spans="1:48" outlineLevel="1" x14ac:dyDescent="0.25">
      <c r="F200" s="84"/>
      <c r="G200" s="84"/>
      <c r="H200" s="84"/>
      <c r="I200" s="19"/>
      <c r="J200" s="19"/>
      <c r="K200" s="334"/>
      <c r="L200" s="376"/>
      <c r="M200" s="41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  <c r="AD200" s="19"/>
      <c r="AE200" s="19"/>
      <c r="AF200" s="19"/>
      <c r="AG200" s="19"/>
      <c r="AH200" s="19"/>
      <c r="AI200" s="19"/>
      <c r="AJ200" s="19"/>
      <c r="AK200" s="19"/>
      <c r="AL200" s="19"/>
      <c r="AM200" s="19"/>
      <c r="AN200" s="19"/>
      <c r="AO200" s="19"/>
      <c r="AP200" s="19"/>
      <c r="AQ200" s="19"/>
      <c r="AR200" s="19"/>
      <c r="AS200" s="19"/>
      <c r="AT200" s="19"/>
      <c r="AU200" s="19"/>
      <c r="AV200" s="19"/>
    </row>
    <row r="201" spans="1:48" outlineLevel="1" x14ac:dyDescent="0.25">
      <c r="B201" s="12" t="s">
        <v>487</v>
      </c>
      <c r="C201" s="227" t="s">
        <v>28</v>
      </c>
      <c r="I201" s="19">
        <f>+I187-I192-I199</f>
        <v>1.699395</v>
      </c>
      <c r="J201" s="23">
        <f>+J202*(J89)</f>
        <v>1.0454619881849665</v>
      </c>
      <c r="K201" s="330">
        <f>+L201-J201</f>
        <v>1.0859649857404767</v>
      </c>
      <c r="L201" s="378">
        <f>+L202*(L89)</f>
        <v>2.1314269739254432</v>
      </c>
      <c r="M201" s="408">
        <f>+M202*(M89)</f>
        <v>1.2536854753615809</v>
      </c>
      <c r="N201" s="330">
        <f>+O201-M201</f>
        <v>1.2903874223772658</v>
      </c>
      <c r="O201" s="378">
        <f>+O202*(O89)</f>
        <v>2.5440728977388467</v>
      </c>
      <c r="P201" s="23">
        <f>+P202*(P89)</f>
        <v>1.4177595390922828</v>
      </c>
      <c r="Q201" s="23">
        <f t="shared" ref="Q201" si="1788">+R201-P201</f>
        <v>1.4834441040229323</v>
      </c>
      <c r="R201" s="23">
        <f>+R202*(R89)</f>
        <v>2.9012036431152151</v>
      </c>
      <c r="S201" s="23">
        <f>+S202*(S89)</f>
        <v>1.6504247192475068</v>
      </c>
      <c r="T201" s="23">
        <f t="shared" ref="T201" si="1789">+U201-S201</f>
        <v>1.8058761349279122</v>
      </c>
      <c r="U201" s="23">
        <f>+U202*(U89)</f>
        <v>3.456300854175419</v>
      </c>
      <c r="V201" s="23">
        <f>+V202*(V89)</f>
        <v>1.9568992185248999</v>
      </c>
      <c r="W201" s="23">
        <f t="shared" ref="W201" si="1790">+X201-V201</f>
        <v>2.1425827728059406</v>
      </c>
      <c r="X201" s="23">
        <f>+X202*(X89)</f>
        <v>4.0994819913308405</v>
      </c>
      <c r="Y201" s="23">
        <f>+Y202*(Y89)</f>
        <v>2.3161066725985986</v>
      </c>
      <c r="Z201" s="23">
        <f t="shared" ref="Z201" si="1791">+AA201-Y201</f>
        <v>2.5225996414522154</v>
      </c>
      <c r="AA201" s="23">
        <f>+AA202*(AA89)</f>
        <v>4.838706314050814</v>
      </c>
      <c r="AB201" s="23">
        <f>+AB202*(AB89)</f>
        <v>2.6995352493256668</v>
      </c>
      <c r="AC201" s="23">
        <f t="shared" ref="AC201" si="1792">+AD201-AB201</f>
        <v>2.9142393686421286</v>
      </c>
      <c r="AD201" s="23">
        <f>+AD202*(AD89)</f>
        <v>5.6137746179677954</v>
      </c>
      <c r="AE201" s="23">
        <f>+AE202*(AE89)</f>
        <v>3.0866120725069193</v>
      </c>
      <c r="AF201" s="23">
        <f t="shared" ref="AF201" si="1793">+AG201-AE201</f>
        <v>3.323111753813115</v>
      </c>
      <c r="AG201" s="23">
        <f>+AG202*(AG89)</f>
        <v>6.4097238263200342</v>
      </c>
      <c r="AH201" s="23">
        <f>+AH202*(AH89)</f>
        <v>3.5056405694728059</v>
      </c>
      <c r="AI201" s="23">
        <f t="shared" ref="AI201" si="1794">+AJ201-AH201</f>
        <v>3.7655654306369244</v>
      </c>
      <c r="AJ201" s="23">
        <f>+AJ202*(AJ89)</f>
        <v>7.2712060001097303</v>
      </c>
      <c r="AK201" s="23">
        <f>+AK202*(AK89)</f>
        <v>3.9588494878386378</v>
      </c>
      <c r="AL201" s="23">
        <f t="shared" ref="AL201" si="1795">+AM201-AK201</f>
        <v>4.2439398469072955</v>
      </c>
      <c r="AM201" s="23">
        <f>+AM202*(AM89)</f>
        <v>8.2027893347459333</v>
      </c>
      <c r="AN201" s="23">
        <f>+AN202*(AN89)</f>
        <v>4.3557575934276054</v>
      </c>
      <c r="AO201" s="23">
        <f t="shared" ref="AO201" si="1796">+AP201-AN201</f>
        <v>4.6449768988339786</v>
      </c>
      <c r="AP201" s="23">
        <f>+AP202*(AP89)</f>
        <v>9.000734492261584</v>
      </c>
      <c r="AQ201" s="23">
        <f>+AQ202*(AQ89)</f>
        <v>4.7391502559126026</v>
      </c>
      <c r="AR201" s="23">
        <f t="shared" ref="AR201" si="1797">+AS201-AQ201</f>
        <v>5.0480918073484817</v>
      </c>
      <c r="AS201" s="23">
        <f>+AS202*(AS89)</f>
        <v>9.7872420632610844</v>
      </c>
      <c r="AT201" s="23">
        <f>+AT202*(AT89)</f>
        <v>5.1416240656638204</v>
      </c>
      <c r="AU201" s="23">
        <f t="shared" ref="AU201" si="1798">+AV201-AT201</f>
        <v>5.4712066096273455</v>
      </c>
      <c r="AV201" s="23">
        <f>+AV202*(AV89)</f>
        <v>10.612830675291166</v>
      </c>
    </row>
    <row r="202" spans="1:48" outlineLevel="1" x14ac:dyDescent="0.25">
      <c r="I202" s="18">
        <f>+I201/(+I89)</f>
        <v>3.4617946628641271E-3</v>
      </c>
      <c r="J202" s="15">
        <f>+I202</f>
        <v>3.4617946628641271E-3</v>
      </c>
      <c r="K202" s="335">
        <f t="shared" ref="K202:X202" si="1799">+J202</f>
        <v>3.4617946628641271E-3</v>
      </c>
      <c r="L202" s="383">
        <f>+K202</f>
        <v>3.4617946628641271E-3</v>
      </c>
      <c r="M202" s="39">
        <f t="shared" si="1799"/>
        <v>3.4617946628641271E-3</v>
      </c>
      <c r="N202" s="335">
        <f t="shared" ref="N202" si="1800">+M202</f>
        <v>3.4617946628641271E-3</v>
      </c>
      <c r="O202" s="383">
        <f>+N202</f>
        <v>3.4617946628641271E-3</v>
      </c>
      <c r="P202" s="30">
        <f t="shared" si="1799"/>
        <v>3.4617946628641271E-3</v>
      </c>
      <c r="Q202" s="30">
        <f t="shared" si="1799"/>
        <v>3.4617946628641271E-3</v>
      </c>
      <c r="R202" s="30">
        <f>+Q202</f>
        <v>3.4617946628641271E-3</v>
      </c>
      <c r="S202" s="30">
        <f t="shared" si="1799"/>
        <v>3.4617946628641271E-3</v>
      </c>
      <c r="T202" s="30">
        <f t="shared" si="1799"/>
        <v>3.4617946628641271E-3</v>
      </c>
      <c r="U202" s="30">
        <f t="shared" si="1799"/>
        <v>3.4617946628641271E-3</v>
      </c>
      <c r="V202" s="30">
        <f t="shared" si="1799"/>
        <v>3.4617946628641271E-3</v>
      </c>
      <c r="W202" s="30">
        <f t="shared" si="1799"/>
        <v>3.4617946628641271E-3</v>
      </c>
      <c r="X202" s="30">
        <f t="shared" si="1799"/>
        <v>3.4617946628641271E-3</v>
      </c>
      <c r="Y202" s="30">
        <f t="shared" ref="Y202" si="1801">+X202</f>
        <v>3.4617946628641271E-3</v>
      </c>
      <c r="Z202" s="30">
        <f t="shared" ref="Z202" si="1802">+Y202</f>
        <v>3.4617946628641271E-3</v>
      </c>
      <c r="AA202" s="30">
        <f t="shared" ref="AA202" si="1803">+Z202</f>
        <v>3.4617946628641271E-3</v>
      </c>
      <c r="AB202" s="30">
        <f t="shared" ref="AB202" si="1804">+AA202</f>
        <v>3.4617946628641271E-3</v>
      </c>
      <c r="AC202" s="30">
        <f t="shared" ref="AC202" si="1805">+AB202</f>
        <v>3.4617946628641271E-3</v>
      </c>
      <c r="AD202" s="30">
        <f t="shared" ref="AD202" si="1806">+AC202</f>
        <v>3.4617946628641271E-3</v>
      </c>
      <c r="AE202" s="30">
        <f t="shared" ref="AE202" si="1807">+AD202</f>
        <v>3.4617946628641271E-3</v>
      </c>
      <c r="AF202" s="30">
        <f t="shared" ref="AF202" si="1808">+AE202</f>
        <v>3.4617946628641271E-3</v>
      </c>
      <c r="AG202" s="30">
        <f t="shared" ref="AG202" si="1809">+AF202</f>
        <v>3.4617946628641271E-3</v>
      </c>
      <c r="AH202" s="30">
        <f t="shared" ref="AH202" si="1810">+AG202</f>
        <v>3.4617946628641271E-3</v>
      </c>
      <c r="AI202" s="30">
        <f t="shared" ref="AI202" si="1811">+AH202</f>
        <v>3.4617946628641271E-3</v>
      </c>
      <c r="AJ202" s="30">
        <f t="shared" ref="AJ202" si="1812">+AI202</f>
        <v>3.4617946628641271E-3</v>
      </c>
      <c r="AK202" s="30">
        <f t="shared" ref="AK202" si="1813">+AJ202</f>
        <v>3.4617946628641271E-3</v>
      </c>
      <c r="AL202" s="30">
        <f t="shared" ref="AL202" si="1814">+AK202</f>
        <v>3.4617946628641271E-3</v>
      </c>
      <c r="AM202" s="30">
        <f t="shared" ref="AM202" si="1815">+AL202</f>
        <v>3.4617946628641271E-3</v>
      </c>
      <c r="AN202" s="30">
        <f t="shared" ref="AN202" si="1816">+AM202</f>
        <v>3.4617946628641271E-3</v>
      </c>
      <c r="AO202" s="30">
        <f t="shared" ref="AO202" si="1817">+AN202</f>
        <v>3.4617946628641271E-3</v>
      </c>
      <c r="AP202" s="30">
        <f t="shared" ref="AP202" si="1818">+AO202</f>
        <v>3.4617946628641271E-3</v>
      </c>
      <c r="AQ202" s="30">
        <f t="shared" ref="AQ202" si="1819">+AP202</f>
        <v>3.4617946628641271E-3</v>
      </c>
      <c r="AR202" s="30">
        <f t="shared" ref="AR202" si="1820">+AQ202</f>
        <v>3.4617946628641271E-3</v>
      </c>
      <c r="AS202" s="30">
        <f t="shared" ref="AS202" si="1821">+AR202</f>
        <v>3.4617946628641271E-3</v>
      </c>
      <c r="AT202" s="30">
        <f t="shared" ref="AT202" si="1822">+AS202</f>
        <v>3.4617946628641271E-3</v>
      </c>
      <c r="AU202" s="30">
        <f t="shared" ref="AU202" si="1823">+AT202</f>
        <v>3.4617946628641271E-3</v>
      </c>
      <c r="AV202" s="30">
        <f t="shared" ref="AV202" si="1824">+AU202</f>
        <v>3.4617946628641271E-3</v>
      </c>
    </row>
    <row r="203" spans="1:48" outlineLevel="1" x14ac:dyDescent="0.25"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  <c r="AD203" s="19"/>
      <c r="AE203" s="19"/>
      <c r="AF203" s="19"/>
      <c r="AG203" s="19"/>
      <c r="AH203" s="19"/>
      <c r="AI203" s="19"/>
      <c r="AJ203" s="19"/>
      <c r="AK203" s="19"/>
      <c r="AL203" s="19"/>
      <c r="AM203" s="19"/>
      <c r="AN203" s="19"/>
      <c r="AO203" s="19"/>
      <c r="AP203" s="19"/>
      <c r="AQ203" s="19"/>
      <c r="AR203" s="19"/>
      <c r="AS203" s="19"/>
      <c r="AT203" s="19"/>
      <c r="AU203" s="19"/>
      <c r="AV203" s="19"/>
    </row>
    <row r="204" spans="1:48" ht="15.75" x14ac:dyDescent="0.25">
      <c r="A204" s="49" t="s">
        <v>23</v>
      </c>
      <c r="B204" s="50" t="s">
        <v>75</v>
      </c>
      <c r="C204" s="2"/>
      <c r="D204" s="2"/>
      <c r="E204" s="2"/>
      <c r="F204" s="158"/>
      <c r="G204" s="86"/>
      <c r="H204" s="86"/>
      <c r="I204" s="86"/>
      <c r="J204" s="86"/>
      <c r="K204" s="86"/>
      <c r="L204" s="371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  <c r="AP204" s="86"/>
      <c r="AQ204" s="86"/>
      <c r="AR204" s="86"/>
      <c r="AS204" s="86"/>
      <c r="AT204" s="86"/>
      <c r="AU204" s="86"/>
      <c r="AV204" s="86"/>
    </row>
    <row r="205" spans="1:48" outlineLevel="1" x14ac:dyDescent="0.25">
      <c r="M205" s="8"/>
    </row>
    <row r="206" spans="1:48" outlineLevel="1" x14ac:dyDescent="0.25">
      <c r="B206" s="12" t="s">
        <v>369</v>
      </c>
      <c r="M206" s="8"/>
    </row>
    <row r="207" spans="1:48" outlineLevel="1" x14ac:dyDescent="0.25">
      <c r="B207" s="12"/>
      <c r="M207" s="8"/>
    </row>
    <row r="208" spans="1:48" outlineLevel="1" x14ac:dyDescent="0.25">
      <c r="B208" s="48" t="s">
        <v>64</v>
      </c>
      <c r="C208" s="227" t="s">
        <v>28</v>
      </c>
      <c r="F208" s="45">
        <v>-44.2</v>
      </c>
      <c r="G208" s="45">
        <v>-32.9</v>
      </c>
      <c r="H208" s="19">
        <f>+I208-G208</f>
        <v>-37.500000000000007</v>
      </c>
      <c r="I208" s="45">
        <v>-70.400000000000006</v>
      </c>
      <c r="J208" s="45">
        <v>-43.2</v>
      </c>
      <c r="K208" s="19">
        <f>+L208-J208</f>
        <v>-44.379999999999995</v>
      </c>
      <c r="L208" s="354">
        <v>-87.58</v>
      </c>
      <c r="M208" s="441">
        <v>-55.070999999999998</v>
      </c>
      <c r="N208" s="52">
        <f>O208-M208</f>
        <v>-58.876999999999995</v>
      </c>
      <c r="O208" s="45">
        <v>-113.94799999999999</v>
      </c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21"/>
      <c r="AH208" s="21"/>
      <c r="AI208" s="21"/>
      <c r="AJ208" s="21"/>
      <c r="AK208" s="21"/>
      <c r="AL208" s="21"/>
      <c r="AM208" s="21"/>
      <c r="AN208" s="21"/>
      <c r="AO208" s="21"/>
      <c r="AP208" s="21"/>
      <c r="AQ208" s="21"/>
      <c r="AR208" s="21"/>
      <c r="AS208" s="21"/>
      <c r="AT208" s="21"/>
      <c r="AU208" s="21"/>
      <c r="AV208" s="21"/>
    </row>
    <row r="209" spans="1:48" outlineLevel="1" x14ac:dyDescent="0.25">
      <c r="B209" s="11" t="s">
        <v>77</v>
      </c>
      <c r="C209" s="22" t="s">
        <v>29</v>
      </c>
      <c r="F209" s="31">
        <f t="shared" ref="F209:O209" si="1825">F208/(F$68+F$165)</f>
        <v>-0.31192660550458717</v>
      </c>
      <c r="G209" s="31">
        <f t="shared" si="1825"/>
        <v>-0.32223310479921646</v>
      </c>
      <c r="H209" s="31">
        <f t="shared" si="1825"/>
        <v>-0.3235547886108715</v>
      </c>
      <c r="I209" s="31">
        <f t="shared" si="1825"/>
        <v>-0.32293577981651378</v>
      </c>
      <c r="J209" s="324">
        <f t="shared" si="1825"/>
        <v>-0.30379746835443044</v>
      </c>
      <c r="K209" s="31">
        <f t="shared" si="1825"/>
        <v>-0.30088135593220344</v>
      </c>
      <c r="L209" s="358">
        <f t="shared" si="1825"/>
        <v>-0.30231273731446323</v>
      </c>
      <c r="M209" s="324">
        <f t="shared" si="1825"/>
        <v>-0.30434205945255899</v>
      </c>
      <c r="N209" s="324">
        <f t="shared" si="1825"/>
        <v>-0.30833887582548214</v>
      </c>
      <c r="O209" s="324">
        <f t="shared" si="1825"/>
        <v>-0.30639419198709328</v>
      </c>
      <c r="P209" s="204"/>
      <c r="Q209" s="203"/>
      <c r="R209" s="204"/>
      <c r="S209" s="204"/>
      <c r="T209" s="203"/>
      <c r="U209" s="204"/>
      <c r="V209" s="204"/>
      <c r="W209" s="203"/>
      <c r="X209" s="204"/>
      <c r="Y209" s="204"/>
      <c r="Z209" s="203"/>
      <c r="AA209" s="204"/>
      <c r="AB209" s="204"/>
      <c r="AC209" s="203"/>
      <c r="AD209" s="204"/>
      <c r="AE209" s="204"/>
      <c r="AF209" s="203"/>
      <c r="AG209" s="204"/>
      <c r="AH209" s="204"/>
      <c r="AI209" s="203"/>
      <c r="AJ209" s="204"/>
      <c r="AK209" s="204"/>
      <c r="AL209" s="203"/>
      <c r="AM209" s="204"/>
      <c r="AN209" s="204"/>
      <c r="AO209" s="203"/>
      <c r="AP209" s="204"/>
      <c r="AQ209" s="204"/>
      <c r="AR209" s="203"/>
      <c r="AS209" s="204"/>
      <c r="AT209" s="204"/>
      <c r="AU209" s="203"/>
      <c r="AV209" s="204"/>
    </row>
    <row r="210" spans="1:48" outlineLevel="1" x14ac:dyDescent="0.25">
      <c r="B210" s="48"/>
      <c r="F210" s="45"/>
      <c r="G210" s="45"/>
      <c r="H210" s="19"/>
      <c r="I210" s="45"/>
      <c r="J210" s="45"/>
      <c r="K210" s="19"/>
      <c r="L210" s="354"/>
      <c r="M210" s="45"/>
    </row>
    <row r="211" spans="1:48" outlineLevel="1" x14ac:dyDescent="0.25">
      <c r="B211" s="48" t="s">
        <v>65</v>
      </c>
      <c r="C211" s="227" t="s">
        <v>28</v>
      </c>
      <c r="F211" s="45">
        <v>-73.2</v>
      </c>
      <c r="G211" s="45">
        <v>-51.8</v>
      </c>
      <c r="H211" s="8">
        <f>+I211-G211</f>
        <v>-58.7</v>
      </c>
      <c r="I211" s="45">
        <v>-110.5</v>
      </c>
      <c r="J211" s="45">
        <v>-65.3</v>
      </c>
      <c r="K211" s="8">
        <f>+L211-J211</f>
        <v>-81.399999999999991</v>
      </c>
      <c r="L211" s="354">
        <v>-146.69999999999999</v>
      </c>
      <c r="M211" s="441">
        <v>-89.003</v>
      </c>
      <c r="N211" s="52">
        <f>O211-M211</f>
        <v>-95.653000000000006</v>
      </c>
      <c r="O211" s="45">
        <v>-184.65600000000001</v>
      </c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  <c r="AN211" s="21"/>
      <c r="AO211" s="21"/>
      <c r="AP211" s="21"/>
      <c r="AQ211" s="21"/>
      <c r="AR211" s="21"/>
      <c r="AS211" s="21"/>
      <c r="AT211" s="21"/>
      <c r="AU211" s="21"/>
      <c r="AV211" s="21"/>
    </row>
    <row r="212" spans="1:48" outlineLevel="1" x14ac:dyDescent="0.25">
      <c r="B212" s="11" t="s">
        <v>77</v>
      </c>
      <c r="C212" s="22" t="s">
        <v>29</v>
      </c>
      <c r="F212" s="31">
        <f t="shared" ref="F212:O212" si="1826">F211/(F$68+F$165)</f>
        <v>-0.51658433309809459</v>
      </c>
      <c r="G212" s="31">
        <f t="shared" si="1826"/>
        <v>-0.50734573947110673</v>
      </c>
      <c r="H212" s="31">
        <f t="shared" si="1826"/>
        <v>-0.50647109577221738</v>
      </c>
      <c r="I212" s="31">
        <f t="shared" si="1826"/>
        <v>-0.50688073394495414</v>
      </c>
      <c r="J212" s="324">
        <f t="shared" si="1826"/>
        <v>-0.45921237693389594</v>
      </c>
      <c r="K212" s="31">
        <f t="shared" si="1826"/>
        <v>-0.55186440677966109</v>
      </c>
      <c r="L212" s="358">
        <f t="shared" si="1826"/>
        <v>-0.50638591646530895</v>
      </c>
      <c r="M212" s="324">
        <f t="shared" si="1826"/>
        <v>-0.49186243789755241</v>
      </c>
      <c r="N212" s="324">
        <f t="shared" si="1826"/>
        <v>-0.500934804581328</v>
      </c>
      <c r="O212" s="324">
        <f t="shared" si="1826"/>
        <v>-0.49652057004571126</v>
      </c>
      <c r="P212" s="204"/>
      <c r="Q212" s="203"/>
      <c r="R212" s="204"/>
      <c r="S212" s="204"/>
      <c r="T212" s="203"/>
      <c r="U212" s="204"/>
      <c r="V212" s="204"/>
      <c r="W212" s="203"/>
      <c r="X212" s="204"/>
      <c r="Y212" s="204"/>
      <c r="Z212" s="203"/>
      <c r="AA212" s="204"/>
      <c r="AB212" s="204"/>
      <c r="AC212" s="203"/>
      <c r="AD212" s="204"/>
      <c r="AE212" s="204"/>
      <c r="AF212" s="203"/>
      <c r="AG212" s="204"/>
      <c r="AH212" s="204"/>
      <c r="AI212" s="203"/>
      <c r="AJ212" s="204"/>
      <c r="AK212" s="204"/>
      <c r="AL212" s="203"/>
      <c r="AM212" s="204"/>
      <c r="AN212" s="204"/>
      <c r="AO212" s="203"/>
      <c r="AP212" s="204"/>
      <c r="AQ212" s="204"/>
      <c r="AR212" s="203"/>
      <c r="AS212" s="204"/>
      <c r="AT212" s="204"/>
      <c r="AU212" s="203"/>
      <c r="AV212" s="204"/>
    </row>
    <row r="213" spans="1:48" outlineLevel="1" x14ac:dyDescent="0.25">
      <c r="B213" s="48"/>
      <c r="F213" s="45"/>
      <c r="G213" s="45"/>
      <c r="I213" s="45"/>
      <c r="J213" s="45"/>
      <c r="L213" s="354"/>
      <c r="M213" s="45"/>
    </row>
    <row r="214" spans="1:48" outlineLevel="1" x14ac:dyDescent="0.25">
      <c r="B214" s="48" t="s">
        <v>66</v>
      </c>
      <c r="C214" s="227" t="s">
        <v>28</v>
      </c>
      <c r="F214" s="45">
        <v>-24.8</v>
      </c>
      <c r="G214" s="45">
        <v>-17.899999999999999</v>
      </c>
      <c r="H214" s="19">
        <f>+I214-G214</f>
        <v>-21</v>
      </c>
      <c r="I214" s="45">
        <v>-38.9</v>
      </c>
      <c r="J214" s="45">
        <v>-26.9</v>
      </c>
      <c r="K214" s="19">
        <f>+L214-J214</f>
        <v>-23</v>
      </c>
      <c r="L214" s="354">
        <v>-49.9</v>
      </c>
      <c r="M214" s="441">
        <v>-25.864999999999998</v>
      </c>
      <c r="N214" s="52">
        <f>O214-M214</f>
        <v>-27.750000000000004</v>
      </c>
      <c r="O214" s="45">
        <v>-53.615000000000002</v>
      </c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21"/>
      <c r="AH214" s="21"/>
      <c r="AI214" s="21"/>
      <c r="AJ214" s="21"/>
      <c r="AK214" s="21"/>
      <c r="AL214" s="21"/>
      <c r="AM214" s="21"/>
      <c r="AN214" s="21"/>
      <c r="AO214" s="21"/>
      <c r="AP214" s="21"/>
      <c r="AQ214" s="21"/>
      <c r="AR214" s="21"/>
      <c r="AS214" s="21"/>
      <c r="AT214" s="21"/>
      <c r="AU214" s="21"/>
      <c r="AV214" s="21"/>
    </row>
    <row r="215" spans="1:48" outlineLevel="1" x14ac:dyDescent="0.25">
      <c r="A215" s="107" t="s">
        <v>359</v>
      </c>
      <c r="B215" s="11" t="s">
        <v>77</v>
      </c>
      <c r="C215" s="22" t="s">
        <v>29</v>
      </c>
      <c r="F215" s="31">
        <f t="shared" ref="F215:O215" si="1827">F214/(F$68+F$165)</f>
        <v>-0.17501764290755117</v>
      </c>
      <c r="G215" s="31">
        <f t="shared" si="1827"/>
        <v>-0.17531831537708129</v>
      </c>
      <c r="H215" s="31">
        <f t="shared" si="1827"/>
        <v>-0.18119068162208798</v>
      </c>
      <c r="I215" s="31">
        <f t="shared" si="1827"/>
        <v>-0.17844036697247706</v>
      </c>
      <c r="J215" s="324">
        <f t="shared" si="1827"/>
        <v>-0.18917018284106893</v>
      </c>
      <c r="K215" s="31">
        <f t="shared" si="1827"/>
        <v>-0.15593220338983055</v>
      </c>
      <c r="L215" s="358">
        <f t="shared" si="1827"/>
        <v>-0.17224715222644116</v>
      </c>
      <c r="M215" s="324">
        <f t="shared" si="1827"/>
        <v>-0.14293924874689834</v>
      </c>
      <c r="N215" s="324">
        <f t="shared" si="1827"/>
        <v>-0.14532676264342836</v>
      </c>
      <c r="O215" s="324">
        <f t="shared" si="1827"/>
        <v>-0.14416509814466255</v>
      </c>
      <c r="P215" s="204"/>
      <c r="Q215" s="203"/>
      <c r="R215" s="204"/>
      <c r="S215" s="204"/>
      <c r="T215" s="203"/>
      <c r="U215" s="204"/>
      <c r="V215" s="204"/>
      <c r="W215" s="203"/>
      <c r="X215" s="204"/>
      <c r="Y215" s="204"/>
      <c r="Z215" s="203"/>
      <c r="AA215" s="204"/>
      <c r="AB215" s="204"/>
      <c r="AC215" s="203"/>
      <c r="AD215" s="204"/>
      <c r="AE215" s="204"/>
      <c r="AF215" s="203"/>
      <c r="AG215" s="204"/>
      <c r="AH215" s="204"/>
      <c r="AI215" s="203"/>
      <c r="AJ215" s="204"/>
      <c r="AK215" s="204"/>
      <c r="AL215" s="203"/>
      <c r="AM215" s="204"/>
      <c r="AN215" s="204"/>
      <c r="AO215" s="203"/>
      <c r="AP215" s="204"/>
      <c r="AQ215" s="204"/>
      <c r="AR215" s="203"/>
      <c r="AS215" s="204"/>
      <c r="AT215" s="204"/>
      <c r="AU215" s="203"/>
      <c r="AV215" s="204"/>
    </row>
    <row r="216" spans="1:48" outlineLevel="1" x14ac:dyDescent="0.25">
      <c r="B216" s="48"/>
      <c r="F216" s="45"/>
      <c r="G216" s="45"/>
      <c r="I216" s="45"/>
      <c r="J216" s="45"/>
      <c r="L216" s="354"/>
      <c r="M216" s="45"/>
    </row>
    <row r="217" spans="1:48" outlineLevel="1" x14ac:dyDescent="0.25">
      <c r="B217" s="48" t="s">
        <v>67</v>
      </c>
      <c r="C217" s="227" t="s">
        <v>28</v>
      </c>
      <c r="F217" s="45">
        <v>-11.3</v>
      </c>
      <c r="G217" s="45">
        <v>-6.9</v>
      </c>
      <c r="H217" s="8">
        <f>+I217-G217</f>
        <v>-6.7999999999999989</v>
      </c>
      <c r="I217" s="45">
        <v>-13.7</v>
      </c>
      <c r="J217" s="45">
        <v>-8.5</v>
      </c>
      <c r="K217" s="8">
        <f>+L217-J217</f>
        <v>-9.4379999999999988</v>
      </c>
      <c r="L217" s="354">
        <v>-17.937999999999999</v>
      </c>
      <c r="M217" s="441">
        <v>-11.302</v>
      </c>
      <c r="N217" s="52">
        <f>O217-M217</f>
        <v>-9.9849999999999994</v>
      </c>
      <c r="O217" s="45">
        <v>-21.286999999999999</v>
      </c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19"/>
      <c r="AG217" s="19"/>
      <c r="AH217" s="19"/>
      <c r="AI217" s="19"/>
      <c r="AJ217" s="19"/>
      <c r="AK217" s="19"/>
      <c r="AL217" s="19"/>
      <c r="AM217" s="19"/>
      <c r="AN217" s="19"/>
      <c r="AO217" s="19"/>
      <c r="AP217" s="19"/>
      <c r="AQ217" s="19"/>
      <c r="AR217" s="19"/>
      <c r="AS217" s="19"/>
      <c r="AT217" s="19"/>
      <c r="AU217" s="19"/>
      <c r="AV217" s="19"/>
    </row>
    <row r="218" spans="1:48" outlineLevel="1" x14ac:dyDescent="0.25">
      <c r="B218" s="11" t="s">
        <v>78</v>
      </c>
      <c r="C218" s="22" t="s">
        <v>29</v>
      </c>
      <c r="F218" s="31">
        <f t="shared" ref="F218:M218" si="1828">F217/(F14)</f>
        <v>-1.9648756737958621E-2</v>
      </c>
      <c r="G218" s="31">
        <f t="shared" si="1828"/>
        <v>-1.9108280254777073E-2</v>
      </c>
      <c r="H218" s="31">
        <f t="shared" si="1828"/>
        <v>-1.7089721035436035E-2</v>
      </c>
      <c r="I218" s="31">
        <f t="shared" si="1828"/>
        <v>-1.8050065876152831E-2</v>
      </c>
      <c r="J218" s="324">
        <f t="shared" si="1828"/>
        <v>-1.8062048448788781E-2</v>
      </c>
      <c r="K218" s="31">
        <f t="shared" si="1828"/>
        <v>-1.9296667348190553E-2</v>
      </c>
      <c r="L218" s="358">
        <f t="shared" si="1828"/>
        <v>-1.8691257684693135E-2</v>
      </c>
      <c r="M218" s="324">
        <f t="shared" si="1828"/>
        <v>-1.9557016784910879E-2</v>
      </c>
      <c r="N218" s="324">
        <f>N217/(N$68+N$165)</f>
        <v>-5.2291449549356106E-2</v>
      </c>
      <c r="O218" s="324">
        <f>O217/(O$68+O$165)</f>
        <v>-5.7238504974455498E-2</v>
      </c>
      <c r="P218" s="204"/>
      <c r="Q218" s="203"/>
      <c r="R218" s="204"/>
      <c r="S218" s="204"/>
      <c r="T218" s="203"/>
      <c r="U218" s="204"/>
      <c r="V218" s="204"/>
      <c r="W218" s="203"/>
      <c r="X218" s="204"/>
      <c r="Y218" s="204"/>
      <c r="Z218" s="203"/>
      <c r="AA218" s="204"/>
      <c r="AB218" s="204"/>
      <c r="AC218" s="203"/>
      <c r="AD218" s="204"/>
      <c r="AE218" s="204"/>
      <c r="AF218" s="203"/>
      <c r="AG218" s="204"/>
      <c r="AH218" s="204"/>
      <c r="AI218" s="203"/>
      <c r="AJ218" s="204"/>
      <c r="AK218" s="204"/>
      <c r="AL218" s="203"/>
      <c r="AM218" s="204"/>
      <c r="AN218" s="204"/>
      <c r="AO218" s="203"/>
      <c r="AP218" s="204"/>
      <c r="AQ218" s="204"/>
      <c r="AR218" s="203"/>
      <c r="AS218" s="204"/>
      <c r="AT218" s="204"/>
      <c r="AU218" s="203"/>
      <c r="AV218" s="204"/>
    </row>
    <row r="219" spans="1:48" outlineLevel="1" x14ac:dyDescent="0.25">
      <c r="B219" s="48"/>
      <c r="F219" s="45"/>
      <c r="G219" s="45"/>
      <c r="I219" s="45"/>
      <c r="J219" s="45"/>
      <c r="L219" s="354"/>
      <c r="M219" s="45"/>
    </row>
    <row r="220" spans="1:48" outlineLevel="1" x14ac:dyDescent="0.25">
      <c r="B220" s="48" t="s">
        <v>68</v>
      </c>
      <c r="C220" s="227" t="s">
        <v>28</v>
      </c>
      <c r="F220" s="45">
        <v>-10</v>
      </c>
      <c r="G220" s="45">
        <v>-6.3</v>
      </c>
      <c r="H220" s="8">
        <f>+I220-G220</f>
        <v>-7.7</v>
      </c>
      <c r="I220" s="45">
        <v>-14</v>
      </c>
      <c r="J220" s="45">
        <v>-10.7</v>
      </c>
      <c r="K220" s="8">
        <f>+L220-J220</f>
        <v>-7.4000000000000021</v>
      </c>
      <c r="L220" s="354">
        <v>-18.100000000000001</v>
      </c>
      <c r="M220" s="441">
        <v>-14.311</v>
      </c>
      <c r="N220" s="52">
        <f>O220-M220</f>
        <v>-15.07</v>
      </c>
      <c r="O220" s="45">
        <v>-29.381</v>
      </c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21"/>
      <c r="AH220" s="21"/>
      <c r="AI220" s="21"/>
      <c r="AJ220" s="21"/>
      <c r="AK220" s="21"/>
      <c r="AL220" s="21"/>
      <c r="AM220" s="21"/>
      <c r="AN220" s="21"/>
      <c r="AO220" s="21"/>
      <c r="AP220" s="21"/>
      <c r="AQ220" s="21"/>
      <c r="AR220" s="21"/>
      <c r="AS220" s="21"/>
      <c r="AT220" s="21"/>
      <c r="AU220" s="21"/>
      <c r="AV220" s="21"/>
    </row>
    <row r="221" spans="1:48" outlineLevel="1" x14ac:dyDescent="0.25">
      <c r="B221" s="11" t="s">
        <v>77</v>
      </c>
      <c r="C221" s="22" t="s">
        <v>29</v>
      </c>
      <c r="F221" s="31">
        <f t="shared" ref="F221:O221" si="1829">F220/(F$68+F$165)</f>
        <v>-7.0571630204657732E-2</v>
      </c>
      <c r="G221" s="31">
        <f t="shared" si="1829"/>
        <v>-6.1704211557296766E-2</v>
      </c>
      <c r="H221" s="31">
        <f t="shared" si="1829"/>
        <v>-6.6436583261432272E-2</v>
      </c>
      <c r="I221" s="31">
        <f t="shared" si="1829"/>
        <v>-6.4220183486238536E-2</v>
      </c>
      <c r="J221" s="324">
        <f t="shared" si="1829"/>
        <v>-7.5246132208157526E-2</v>
      </c>
      <c r="K221" s="31">
        <f t="shared" si="1829"/>
        <v>-5.016949152542375E-2</v>
      </c>
      <c r="L221" s="358">
        <f t="shared" si="1829"/>
        <v>-6.2478425957887475E-2</v>
      </c>
      <c r="M221" s="324">
        <f t="shared" si="1829"/>
        <v>-7.9087708827251579E-2</v>
      </c>
      <c r="N221" s="324">
        <f t="shared" si="1829"/>
        <v>-7.8921596866178917E-2</v>
      </c>
      <c r="O221" s="324">
        <f t="shared" si="1829"/>
        <v>-7.9002420005377799E-2</v>
      </c>
      <c r="P221" s="204"/>
      <c r="Q221" s="203"/>
      <c r="R221" s="204"/>
      <c r="S221" s="204"/>
      <c r="T221" s="203"/>
      <c r="U221" s="204"/>
      <c r="V221" s="204"/>
      <c r="W221" s="203"/>
      <c r="X221" s="204"/>
      <c r="Y221" s="204"/>
      <c r="Z221" s="203"/>
      <c r="AA221" s="204"/>
      <c r="AB221" s="204"/>
      <c r="AC221" s="203"/>
      <c r="AD221" s="204"/>
      <c r="AE221" s="204"/>
      <c r="AF221" s="203"/>
      <c r="AG221" s="204"/>
      <c r="AH221" s="204"/>
      <c r="AI221" s="203"/>
      <c r="AJ221" s="204"/>
      <c r="AK221" s="204"/>
      <c r="AL221" s="203"/>
      <c r="AM221" s="204"/>
      <c r="AN221" s="204"/>
      <c r="AO221" s="203"/>
      <c r="AP221" s="204"/>
      <c r="AQ221" s="204"/>
      <c r="AR221" s="203"/>
      <c r="AS221" s="204"/>
      <c r="AT221" s="204"/>
      <c r="AU221" s="203"/>
      <c r="AV221" s="204"/>
    </row>
    <row r="222" spans="1:48" outlineLevel="1" x14ac:dyDescent="0.25">
      <c r="B222" s="48"/>
      <c r="G222" s="45"/>
      <c r="I222" s="45"/>
      <c r="L222" s="354"/>
      <c r="M222" s="8"/>
    </row>
    <row r="223" spans="1:48" outlineLevel="1" x14ac:dyDescent="0.25">
      <c r="B223" s="48"/>
      <c r="G223" s="45"/>
      <c r="I223" s="45"/>
      <c r="L223" s="354"/>
      <c r="M223" s="8"/>
    </row>
    <row r="224" spans="1:48" outlineLevel="1" x14ac:dyDescent="0.25">
      <c r="B224" s="47" t="s">
        <v>76</v>
      </c>
      <c r="C224" s="229"/>
      <c r="D224" s="229"/>
      <c r="E224" s="229"/>
      <c r="F224" s="46">
        <f>+F208+F211+F214+F217+F220</f>
        <v>-163.50000000000003</v>
      </c>
      <c r="G224" s="46">
        <f>+G208+G211+G214+G217+G220</f>
        <v>-115.8</v>
      </c>
      <c r="H224" s="46">
        <f>+I224-G224</f>
        <v>-131.69999999999999</v>
      </c>
      <c r="I224" s="46">
        <f>+I208+I211+I214+I217+I220</f>
        <v>-247.5</v>
      </c>
      <c r="J224" s="46">
        <f>+J208+J211+J214+J217+J220</f>
        <v>-154.6</v>
      </c>
      <c r="K224" s="46">
        <f>+L224-J224</f>
        <v>-165.61799999999997</v>
      </c>
      <c r="L224" s="384">
        <f>+L208+L211+L214+L217+L220</f>
        <v>-320.21799999999996</v>
      </c>
      <c r="M224" s="46">
        <f>+M208+M211+M214+M217+M220</f>
        <v>-195.55200000000002</v>
      </c>
      <c r="N224" s="46">
        <f>+O224-M224</f>
        <v>-207.33499999999992</v>
      </c>
      <c r="O224" s="384">
        <f>+O208+O211+O214+O217+O220</f>
        <v>-402.88699999999994</v>
      </c>
      <c r="P224" s="205"/>
      <c r="Q224" s="205"/>
      <c r="R224" s="205"/>
      <c r="S224" s="205"/>
      <c r="T224" s="205"/>
      <c r="U224" s="205"/>
      <c r="V224" s="205"/>
      <c r="W224" s="205"/>
      <c r="X224" s="205"/>
      <c r="Y224" s="205"/>
      <c r="Z224" s="205"/>
      <c r="AA224" s="205"/>
      <c r="AB224" s="205"/>
      <c r="AC224" s="205"/>
      <c r="AD224" s="205"/>
      <c r="AE224" s="205"/>
      <c r="AF224" s="205"/>
      <c r="AG224" s="205"/>
      <c r="AH224" s="205"/>
      <c r="AI224" s="205"/>
      <c r="AJ224" s="205"/>
      <c r="AK224" s="205"/>
      <c r="AL224" s="205"/>
      <c r="AM224" s="205"/>
      <c r="AN224" s="205"/>
      <c r="AO224" s="205"/>
      <c r="AP224" s="205"/>
      <c r="AQ224" s="205"/>
      <c r="AR224" s="205"/>
      <c r="AS224" s="205"/>
      <c r="AT224" s="205"/>
      <c r="AU224" s="205"/>
      <c r="AV224" s="205"/>
    </row>
    <row r="225" spans="2:48" outlineLevel="1" x14ac:dyDescent="0.25">
      <c r="M225" s="8"/>
    </row>
    <row r="226" spans="2:48" outlineLevel="1" x14ac:dyDescent="0.25">
      <c r="B226" s="12" t="s">
        <v>79</v>
      </c>
      <c r="C226" s="22" t="s">
        <v>29</v>
      </c>
      <c r="I226" s="14">
        <f t="shared" ref="I226:O226" si="1830">I208/F208-1</f>
        <v>0.59276018099547523</v>
      </c>
      <c r="J226" s="254">
        <f t="shared" si="1830"/>
        <v>0.31306990881458985</v>
      </c>
      <c r="K226" s="14">
        <f t="shared" si="1830"/>
        <v>0.18346666666666622</v>
      </c>
      <c r="L226" s="311">
        <f t="shared" si="1830"/>
        <v>0.24403409090909078</v>
      </c>
      <c r="M226" s="254">
        <f t="shared" si="1830"/>
        <v>0.27479166666666655</v>
      </c>
      <c r="N226" s="14">
        <f t="shared" si="1830"/>
        <v>0.32665615141955828</v>
      </c>
      <c r="O226" s="311">
        <f t="shared" si="1830"/>
        <v>0.30107330440739899</v>
      </c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  <c r="AB226" s="14"/>
      <c r="AC226" s="14"/>
      <c r="AD226" s="14"/>
      <c r="AE226" s="14"/>
      <c r="AF226" s="14"/>
      <c r="AG226" s="14"/>
      <c r="AH226" s="14"/>
      <c r="AI226" s="14"/>
      <c r="AJ226" s="14"/>
      <c r="AK226" s="14"/>
      <c r="AL226" s="14"/>
      <c r="AM226" s="14"/>
      <c r="AN226" s="14"/>
      <c r="AO226" s="14"/>
      <c r="AP226" s="14"/>
      <c r="AQ226" s="14"/>
      <c r="AR226" s="14"/>
      <c r="AS226" s="14"/>
      <c r="AT226" s="14"/>
      <c r="AU226" s="14"/>
      <c r="AV226" s="14"/>
    </row>
    <row r="227" spans="2:48" outlineLevel="1" x14ac:dyDescent="0.25">
      <c r="B227" s="11" t="s">
        <v>64</v>
      </c>
      <c r="C227" s="22" t="s">
        <v>29</v>
      </c>
      <c r="I227" s="14">
        <f t="shared" ref="I227:O227" si="1831">I211/F211-1</f>
        <v>0.5095628415300546</v>
      </c>
      <c r="J227" s="254">
        <f t="shared" si="1831"/>
        <v>0.26061776061776065</v>
      </c>
      <c r="K227" s="14">
        <f t="shared" si="1831"/>
        <v>0.38671209540034046</v>
      </c>
      <c r="L227" s="311">
        <f t="shared" si="1831"/>
        <v>0.32760180995475108</v>
      </c>
      <c r="M227" s="254">
        <f t="shared" si="1831"/>
        <v>0.36298621745788684</v>
      </c>
      <c r="N227" s="14">
        <f t="shared" si="1831"/>
        <v>0.17509828009828032</v>
      </c>
      <c r="O227" s="311">
        <f t="shared" si="1831"/>
        <v>0.25873210633946853</v>
      </c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  <c r="AB227" s="14"/>
      <c r="AC227" s="14"/>
      <c r="AD227" s="14"/>
      <c r="AE227" s="14"/>
      <c r="AF227" s="14"/>
      <c r="AG227" s="14"/>
      <c r="AH227" s="14"/>
      <c r="AI227" s="14"/>
      <c r="AJ227" s="14"/>
      <c r="AK227" s="14"/>
      <c r="AL227" s="14"/>
      <c r="AM227" s="14"/>
      <c r="AN227" s="14"/>
      <c r="AO227" s="14"/>
      <c r="AP227" s="14"/>
      <c r="AQ227" s="14"/>
      <c r="AR227" s="14"/>
      <c r="AS227" s="14"/>
      <c r="AT227" s="14"/>
      <c r="AU227" s="14"/>
      <c r="AV227" s="14"/>
    </row>
    <row r="228" spans="2:48" outlineLevel="1" x14ac:dyDescent="0.25">
      <c r="B228" s="11" t="s">
        <v>65</v>
      </c>
      <c r="C228" s="22" t="s">
        <v>29</v>
      </c>
      <c r="I228" s="14">
        <f t="shared" ref="I228:O228" si="1832">I214/F214-1</f>
        <v>0.56854838709677402</v>
      </c>
      <c r="J228" s="254">
        <f t="shared" si="1832"/>
        <v>0.5027932960893855</v>
      </c>
      <c r="K228" s="14">
        <f t="shared" si="1832"/>
        <v>9.5238095238095344E-2</v>
      </c>
      <c r="L228" s="311">
        <f t="shared" si="1832"/>
        <v>0.28277634961439579</v>
      </c>
      <c r="M228" s="254">
        <f t="shared" si="1832"/>
        <v>-3.8475836431226762E-2</v>
      </c>
      <c r="N228" s="14">
        <f t="shared" si="1832"/>
        <v>0.20652173913043503</v>
      </c>
      <c r="O228" s="311">
        <f t="shared" si="1832"/>
        <v>7.4448897795591273E-2</v>
      </c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  <c r="AB228" s="14"/>
      <c r="AC228" s="14"/>
      <c r="AD228" s="14"/>
      <c r="AE228" s="14"/>
      <c r="AF228" s="14"/>
      <c r="AG228" s="14"/>
      <c r="AH228" s="14"/>
      <c r="AI228" s="14"/>
      <c r="AJ228" s="14"/>
      <c r="AK228" s="14"/>
      <c r="AL228" s="14"/>
      <c r="AM228" s="14"/>
      <c r="AN228" s="14"/>
      <c r="AO228" s="14"/>
      <c r="AP228" s="14"/>
      <c r="AQ228" s="14"/>
      <c r="AR228" s="14"/>
      <c r="AS228" s="14"/>
      <c r="AT228" s="14"/>
      <c r="AU228" s="14"/>
      <c r="AV228" s="14"/>
    </row>
    <row r="229" spans="2:48" outlineLevel="1" x14ac:dyDescent="0.25">
      <c r="B229" s="11" t="s">
        <v>66</v>
      </c>
      <c r="C229" s="22" t="s">
        <v>29</v>
      </c>
      <c r="I229" s="14">
        <f t="shared" ref="I229:O229" si="1833">+I217/F217-1</f>
        <v>0.21238938053097334</v>
      </c>
      <c r="J229" s="254">
        <f t="shared" si="1833"/>
        <v>0.23188405797101441</v>
      </c>
      <c r="K229" s="14">
        <f t="shared" si="1833"/>
        <v>0.38794117647058823</v>
      </c>
      <c r="L229" s="311">
        <f t="shared" si="1833"/>
        <v>0.30934306569343062</v>
      </c>
      <c r="M229" s="254">
        <f t="shared" si="1833"/>
        <v>0.3296470588235294</v>
      </c>
      <c r="N229" s="14">
        <f t="shared" si="1833"/>
        <v>5.7957194320830796E-2</v>
      </c>
      <c r="O229" s="311">
        <f t="shared" si="1833"/>
        <v>0.18669862860965547</v>
      </c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  <c r="AI229" s="14"/>
      <c r="AJ229" s="14"/>
      <c r="AK229" s="14"/>
      <c r="AL229" s="14"/>
      <c r="AM229" s="14"/>
      <c r="AN229" s="14"/>
      <c r="AO229" s="14"/>
      <c r="AP229" s="14"/>
      <c r="AQ229" s="14"/>
      <c r="AR229" s="14"/>
      <c r="AS229" s="14"/>
      <c r="AT229" s="14"/>
      <c r="AU229" s="14"/>
      <c r="AV229" s="14"/>
    </row>
    <row r="230" spans="2:48" outlineLevel="1" x14ac:dyDescent="0.25">
      <c r="B230" s="11" t="s">
        <v>67</v>
      </c>
      <c r="C230" s="22" t="s">
        <v>29</v>
      </c>
      <c r="I230" s="14">
        <f t="shared" ref="I230:O230" si="1834">+I220/F220-1</f>
        <v>0.39999999999999991</v>
      </c>
      <c r="J230" s="254">
        <f t="shared" si="1834"/>
        <v>0.69841269841269837</v>
      </c>
      <c r="K230" s="14">
        <f t="shared" si="1834"/>
        <v>-3.8961038961038752E-2</v>
      </c>
      <c r="L230" s="311">
        <f t="shared" si="1834"/>
        <v>0.29285714285714293</v>
      </c>
      <c r="M230" s="254">
        <f t="shared" si="1834"/>
        <v>0.33747663551401885</v>
      </c>
      <c r="N230" s="14">
        <f t="shared" si="1834"/>
        <v>1.0364864864864858</v>
      </c>
      <c r="O230" s="311">
        <f t="shared" si="1834"/>
        <v>0.62325966850828718</v>
      </c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  <c r="AB230" s="14"/>
      <c r="AC230" s="14"/>
      <c r="AD230" s="14"/>
      <c r="AE230" s="14"/>
      <c r="AF230" s="14"/>
      <c r="AG230" s="14"/>
      <c r="AH230" s="14"/>
      <c r="AI230" s="14"/>
      <c r="AJ230" s="14"/>
      <c r="AK230" s="14"/>
      <c r="AL230" s="14"/>
      <c r="AM230" s="14"/>
      <c r="AN230" s="14"/>
      <c r="AO230" s="14"/>
      <c r="AP230" s="14"/>
      <c r="AQ230" s="14"/>
      <c r="AR230" s="14"/>
      <c r="AS230" s="14"/>
      <c r="AT230" s="14"/>
      <c r="AU230" s="14"/>
      <c r="AV230" s="14"/>
    </row>
    <row r="231" spans="2:48" outlineLevel="1" x14ac:dyDescent="0.25">
      <c r="B231" s="11" t="s">
        <v>68</v>
      </c>
      <c r="M231" s="8"/>
      <c r="O231" s="313"/>
    </row>
    <row r="232" spans="2:48" outlineLevel="1" x14ac:dyDescent="0.25">
      <c r="B232" s="11"/>
      <c r="M232" s="8"/>
      <c r="O232" s="313"/>
    </row>
    <row r="233" spans="2:48" outlineLevel="1" x14ac:dyDescent="0.25">
      <c r="B233" s="152" t="s">
        <v>445</v>
      </c>
      <c r="M233" s="8"/>
      <c r="O233" s="313"/>
    </row>
    <row r="234" spans="2:48" outlineLevel="1" x14ac:dyDescent="0.25">
      <c r="B234" s="161" t="s">
        <v>64</v>
      </c>
      <c r="C234" s="22" t="s">
        <v>29</v>
      </c>
      <c r="F234" s="14">
        <f>F208/F$224</f>
        <v>0.27033639143730887</v>
      </c>
      <c r="G234" s="14">
        <f t="shared" ref="G234:J234" si="1835">G208/G$224</f>
        <v>0.28411053540587217</v>
      </c>
      <c r="H234" s="14">
        <f t="shared" si="1835"/>
        <v>0.28473804100227801</v>
      </c>
      <c r="I234" s="14">
        <f t="shared" si="1835"/>
        <v>0.28444444444444444</v>
      </c>
      <c r="J234" s="254">
        <f t="shared" si="1835"/>
        <v>0.27943078913324709</v>
      </c>
      <c r="K234" s="14">
        <f t="shared" ref="K234:L234" si="1836">K208/K$224</f>
        <v>0.26796604233839322</v>
      </c>
      <c r="L234" s="311">
        <f t="shared" si="1836"/>
        <v>0.27350117732294876</v>
      </c>
      <c r="M234" s="254">
        <f t="shared" ref="M234:O234" si="1837">M208/M$224</f>
        <v>0.28161818851251835</v>
      </c>
      <c r="N234" s="14">
        <f t="shared" si="1837"/>
        <v>0.28397038609014408</v>
      </c>
      <c r="O234" s="311">
        <f t="shared" si="1837"/>
        <v>0.28282868397342187</v>
      </c>
      <c r="P234" s="14"/>
      <c r="Q234" s="14"/>
      <c r="R234" s="14"/>
      <c r="S234" s="14"/>
      <c r="T234" s="14"/>
      <c r="U234" s="14"/>
      <c r="V234" s="14"/>
      <c r="W234" s="14"/>
      <c r="X234" s="14"/>
    </row>
    <row r="235" spans="2:48" outlineLevel="1" x14ac:dyDescent="0.25">
      <c r="B235" s="161" t="s">
        <v>65</v>
      </c>
      <c r="C235" s="22" t="s">
        <v>29</v>
      </c>
      <c r="F235" s="14">
        <f>F211/F$224</f>
        <v>0.44770642201834854</v>
      </c>
      <c r="G235" s="14">
        <f t="shared" ref="G235:J235" si="1838">G211/G$224</f>
        <v>0.44732297063903281</v>
      </c>
      <c r="H235" s="14">
        <f t="shared" si="1838"/>
        <v>0.44570994684889909</v>
      </c>
      <c r="I235" s="14">
        <f t="shared" si="1838"/>
        <v>0.44646464646464645</v>
      </c>
      <c r="J235" s="254">
        <f t="shared" si="1838"/>
        <v>0.42238033635187583</v>
      </c>
      <c r="K235" s="14">
        <f t="shared" ref="K235:L235" si="1839">K211/K$224</f>
        <v>0.49149247062517365</v>
      </c>
      <c r="L235" s="311">
        <f t="shared" si="1839"/>
        <v>0.45812540206983993</v>
      </c>
      <c r="M235" s="254">
        <f t="shared" ref="M235:O235" si="1840">M211/M$224</f>
        <v>0.45513725249549986</v>
      </c>
      <c r="N235" s="14">
        <f t="shared" si="1840"/>
        <v>0.46134516603564302</v>
      </c>
      <c r="O235" s="311">
        <f t="shared" si="1840"/>
        <v>0.4583319888703285</v>
      </c>
      <c r="P235" s="14"/>
      <c r="Q235" s="14"/>
      <c r="R235" s="14"/>
      <c r="S235" s="14"/>
      <c r="T235" s="14"/>
      <c r="U235" s="14"/>
      <c r="V235" s="14"/>
      <c r="W235" s="14"/>
      <c r="X235" s="14"/>
    </row>
    <row r="236" spans="2:48" outlineLevel="1" x14ac:dyDescent="0.25">
      <c r="B236" s="161" t="s">
        <v>66</v>
      </c>
      <c r="C236" s="22" t="s">
        <v>29</v>
      </c>
      <c r="F236" s="14">
        <f>F214/F$224</f>
        <v>0.15168195718654431</v>
      </c>
      <c r="G236" s="14">
        <f t="shared" ref="G236:J236" si="1841">G214/G$224</f>
        <v>0.15457685664939549</v>
      </c>
      <c r="H236" s="14">
        <f t="shared" si="1841"/>
        <v>0.15945330296127563</v>
      </c>
      <c r="I236" s="14">
        <f t="shared" si="1841"/>
        <v>0.15717171717171716</v>
      </c>
      <c r="J236" s="254">
        <f t="shared" si="1841"/>
        <v>0.17399741267787838</v>
      </c>
      <c r="K236" s="14">
        <f t="shared" ref="K236:L236" si="1842">K214/K$224</f>
        <v>0.13887379391128987</v>
      </c>
      <c r="L236" s="311">
        <f t="shared" si="1842"/>
        <v>0.15583133989969336</v>
      </c>
      <c r="M236" s="254">
        <f t="shared" ref="M236:O236" si="1843">M214/M$224</f>
        <v>0.13226660939289803</v>
      </c>
      <c r="N236" s="14">
        <f t="shared" si="1843"/>
        <v>0.13384136783466377</v>
      </c>
      <c r="O236" s="311">
        <f t="shared" si="1843"/>
        <v>0.13307701663245528</v>
      </c>
      <c r="P236" s="14"/>
      <c r="Q236" s="14"/>
      <c r="R236" s="14"/>
      <c r="S236" s="14"/>
      <c r="T236" s="14"/>
      <c r="U236" s="14"/>
      <c r="V236" s="14"/>
      <c r="W236" s="14"/>
      <c r="X236" s="14"/>
    </row>
    <row r="237" spans="2:48" outlineLevel="1" x14ac:dyDescent="0.25">
      <c r="B237" s="161" t="s">
        <v>67</v>
      </c>
      <c r="C237" s="22" t="s">
        <v>29</v>
      </c>
      <c r="F237" s="14">
        <f>F217/F$224</f>
        <v>6.9113149847094796E-2</v>
      </c>
      <c r="G237" s="14">
        <f t="shared" ref="G237:J237" si="1844">G217/G$224</f>
        <v>5.9585492227979278E-2</v>
      </c>
      <c r="H237" s="14">
        <f t="shared" si="1844"/>
        <v>5.1632498101746388E-2</v>
      </c>
      <c r="I237" s="14">
        <f t="shared" si="1844"/>
        <v>5.5353535353535349E-2</v>
      </c>
      <c r="J237" s="254">
        <f t="shared" si="1844"/>
        <v>5.4980595084087973E-2</v>
      </c>
      <c r="K237" s="14">
        <f t="shared" ref="K237:L237" si="1845">K217/K$224</f>
        <v>5.6986559431945805E-2</v>
      </c>
      <c r="L237" s="311">
        <f t="shared" si="1845"/>
        <v>5.6018087677769522E-2</v>
      </c>
      <c r="M237" s="254">
        <f t="shared" ref="M237:O237" si="1846">M217/M$224</f>
        <v>5.7795369006709202E-2</v>
      </c>
      <c r="N237" s="14">
        <f t="shared" si="1846"/>
        <v>4.8158776858706939E-2</v>
      </c>
      <c r="O237" s="311">
        <f t="shared" si="1846"/>
        <v>5.2836155050919993E-2</v>
      </c>
      <c r="P237" s="14"/>
      <c r="Q237" s="14"/>
      <c r="R237" s="14"/>
      <c r="S237" s="14"/>
      <c r="T237" s="14"/>
      <c r="U237" s="14"/>
      <c r="V237" s="14"/>
      <c r="W237" s="14"/>
      <c r="X237" s="14"/>
    </row>
    <row r="238" spans="2:48" outlineLevel="1" x14ac:dyDescent="0.25">
      <c r="B238" s="161" t="s">
        <v>68</v>
      </c>
      <c r="C238" s="22" t="s">
        <v>29</v>
      </c>
      <c r="F238" s="14">
        <f>F220/F$224</f>
        <v>6.1162079510703356E-2</v>
      </c>
      <c r="G238" s="14">
        <f t="shared" ref="G238:J238" si="1847">G220/G$224</f>
        <v>5.4404145077720206E-2</v>
      </c>
      <c r="H238" s="14">
        <f t="shared" si="1847"/>
        <v>5.8466211085801072E-2</v>
      </c>
      <c r="I238" s="14">
        <f t="shared" si="1847"/>
        <v>5.6565656565656569E-2</v>
      </c>
      <c r="J238" s="254">
        <f t="shared" si="1847"/>
        <v>6.921086675291073E-2</v>
      </c>
      <c r="K238" s="14">
        <f t="shared" ref="K238:L238" si="1848">K220/K$224</f>
        <v>4.4681133693197622E-2</v>
      </c>
      <c r="L238" s="311">
        <f t="shared" si="1848"/>
        <v>5.6523993029748497E-2</v>
      </c>
      <c r="M238" s="254">
        <f t="shared" ref="M238:O238" si="1849">M220/M$224</f>
        <v>7.3182580592374397E-2</v>
      </c>
      <c r="N238" s="14">
        <f t="shared" si="1849"/>
        <v>7.2684303180842624E-2</v>
      </c>
      <c r="O238" s="311">
        <f t="shared" si="1849"/>
        <v>7.2926155472874538E-2</v>
      </c>
      <c r="P238" s="14"/>
      <c r="Q238" s="14"/>
      <c r="R238" s="14"/>
      <c r="S238" s="14"/>
      <c r="T238" s="14"/>
      <c r="U238" s="14"/>
      <c r="V238" s="14"/>
      <c r="W238" s="14"/>
      <c r="X238" s="14"/>
    </row>
    <row r="239" spans="2:48" outlineLevel="1" x14ac:dyDescent="0.25">
      <c r="B239" s="11" t="s">
        <v>76</v>
      </c>
      <c r="C239" s="22" t="s">
        <v>29</v>
      </c>
      <c r="F239" s="14">
        <f>SUM(F234:F238)</f>
        <v>0.99999999999999989</v>
      </c>
      <c r="G239" s="14">
        <f t="shared" ref="G239:J239" si="1850">SUM(G234:G238)</f>
        <v>0.99999999999999989</v>
      </c>
      <c r="H239" s="14">
        <f t="shared" si="1850"/>
        <v>1.0000000000000002</v>
      </c>
      <c r="I239" s="14">
        <f t="shared" si="1850"/>
        <v>1</v>
      </c>
      <c r="J239" s="254">
        <f t="shared" si="1850"/>
        <v>1</v>
      </c>
      <c r="K239" s="14">
        <f t="shared" ref="K239:L239" si="1851">SUM(K234:K238)</f>
        <v>1.0000000000000002</v>
      </c>
      <c r="L239" s="311">
        <f t="shared" si="1851"/>
        <v>1</v>
      </c>
      <c r="M239" s="254">
        <f t="shared" ref="M239:O239" si="1852">SUM(M234:M238)</f>
        <v>0.99999999999999978</v>
      </c>
      <c r="N239" s="14">
        <f t="shared" si="1852"/>
        <v>1.0000000000000004</v>
      </c>
      <c r="O239" s="311">
        <f t="shared" si="1852"/>
        <v>1.0000000000000002</v>
      </c>
      <c r="P239" s="14"/>
      <c r="Q239" s="14"/>
      <c r="R239" s="14"/>
      <c r="S239" s="14"/>
      <c r="T239" s="14"/>
      <c r="U239" s="14"/>
      <c r="V239" s="14"/>
      <c r="W239" s="14"/>
      <c r="X239" s="14"/>
      <c r="Y239" s="20"/>
      <c r="Z239" s="20"/>
      <c r="AA239" s="20"/>
      <c r="AB239" s="20"/>
      <c r="AC239" s="20"/>
      <c r="AD239" s="20"/>
      <c r="AE239" s="20"/>
      <c r="AF239" s="20"/>
      <c r="AG239" s="20"/>
      <c r="AH239" s="20"/>
      <c r="AI239" s="20"/>
      <c r="AJ239" s="20"/>
      <c r="AK239" s="20"/>
      <c r="AL239" s="20"/>
      <c r="AM239" s="20"/>
      <c r="AN239" s="20"/>
      <c r="AO239" s="20"/>
      <c r="AP239" s="20"/>
      <c r="AQ239" s="20"/>
      <c r="AR239" s="20"/>
      <c r="AS239" s="20"/>
      <c r="AT239" s="20"/>
      <c r="AU239" s="20"/>
      <c r="AV239" s="20"/>
    </row>
    <row r="240" spans="2:48" outlineLevel="1" x14ac:dyDescent="0.25">
      <c r="B240" s="11"/>
      <c r="M240" s="8"/>
    </row>
    <row r="241" spans="1:48" outlineLevel="1" x14ac:dyDescent="0.25">
      <c r="B241" s="51" t="s">
        <v>88</v>
      </c>
      <c r="M241" s="8"/>
    </row>
    <row r="242" spans="1:48" outlineLevel="1" x14ac:dyDescent="0.25">
      <c r="B242" s="11"/>
      <c r="M242" s="8"/>
      <c r="O242" s="19"/>
    </row>
    <row r="243" spans="1:48" outlineLevel="1" x14ac:dyDescent="0.25">
      <c r="A243" s="9"/>
      <c r="B243" s="13" t="s">
        <v>59</v>
      </c>
      <c r="C243" s="194"/>
      <c r="D243" s="194"/>
      <c r="E243" s="194"/>
      <c r="F243" s="194"/>
      <c r="G243" s="195"/>
      <c r="H243" s="195"/>
      <c r="I243" s="195"/>
      <c r="J243" s="195"/>
      <c r="K243" s="195"/>
      <c r="L243" s="342"/>
      <c r="M243" s="195"/>
      <c r="N243" s="195"/>
      <c r="O243" s="195"/>
      <c r="P243" s="195"/>
      <c r="Q243" s="195"/>
      <c r="R243" s="195"/>
      <c r="S243" s="195"/>
      <c r="T243" s="195"/>
      <c r="U243" s="195"/>
      <c r="V243" s="60"/>
      <c r="W243" s="13"/>
      <c r="X243" s="194"/>
      <c r="Y243" s="60"/>
      <c r="Z243" s="13"/>
      <c r="AA243" s="194"/>
      <c r="AB243" s="60"/>
      <c r="AC243" s="13"/>
      <c r="AD243" s="194"/>
      <c r="AE243" s="60"/>
      <c r="AF243" s="13"/>
      <c r="AG243" s="194"/>
      <c r="AH243" s="60"/>
      <c r="AI243" s="13"/>
      <c r="AJ243" s="194"/>
      <c r="AK243" s="60"/>
      <c r="AL243" s="13"/>
      <c r="AM243" s="194"/>
      <c r="AN243" s="60"/>
      <c r="AO243" s="13"/>
      <c r="AP243" s="194"/>
      <c r="AQ243" s="60"/>
      <c r="AR243" s="13"/>
      <c r="AS243" s="194"/>
      <c r="AT243" s="60"/>
      <c r="AU243" s="13"/>
      <c r="AV243" s="194"/>
    </row>
    <row r="244" spans="1:48" outlineLevel="1" x14ac:dyDescent="0.25">
      <c r="A244" t="s">
        <v>458</v>
      </c>
      <c r="B244" s="8" t="s">
        <v>60</v>
      </c>
      <c r="C244" s="22" t="s">
        <v>28</v>
      </c>
      <c r="F244" s="45">
        <v>-34.700000000000003</v>
      </c>
      <c r="G244" s="45">
        <v>-21.4</v>
      </c>
      <c r="H244" s="37">
        <f>+I244-G244</f>
        <v>-25.200000000000003</v>
      </c>
      <c r="I244" s="45">
        <v>-46.6</v>
      </c>
      <c r="J244" s="45">
        <v>-30.3</v>
      </c>
      <c r="K244" s="37">
        <f>+L244-J244</f>
        <v>-33.400000000000006</v>
      </c>
      <c r="L244" s="354">
        <v>-63.7</v>
      </c>
      <c r="M244" s="441">
        <v>-38.1</v>
      </c>
      <c r="N244" s="37">
        <f>+O244-M244</f>
        <v>-38.9</v>
      </c>
      <c r="O244" s="45">
        <v>-77</v>
      </c>
      <c r="P244" s="19">
        <v>-42.899164375000005</v>
      </c>
      <c r="Q244" s="19">
        <v>-43.323524375000005</v>
      </c>
      <c r="R244" s="19">
        <v>-86.222688750000003</v>
      </c>
      <c r="S244" s="19">
        <v>-47.433353037500012</v>
      </c>
      <c r="T244" s="19">
        <f t="shared" ref="T244" si="1853">+U244-S244</f>
        <v>-47.870443837500005</v>
      </c>
      <c r="U244" s="19">
        <v>-95.303796875000018</v>
      </c>
      <c r="V244" s="19">
        <v>-52.391955560250018</v>
      </c>
      <c r="W244" s="19">
        <f t="shared" ref="W244" si="1854">+X244-V244</f>
        <v>-52.954709965250025</v>
      </c>
      <c r="X244" s="19">
        <v>-105.34666552550004</v>
      </c>
      <c r="Y244" s="19">
        <v>-56.679967471855015</v>
      </c>
      <c r="Z244" s="19">
        <f t="shared" ref="Z244" si="1855">+AA244-Y244</f>
        <v>-57.346550064577507</v>
      </c>
      <c r="AA244" s="19">
        <v>-114.02651753643252</v>
      </c>
      <c r="AB244" s="19">
        <v>-61.204336349890006</v>
      </c>
      <c r="AC244" s="19">
        <f t="shared" ref="AC244" si="1856">+AD244-AB244</f>
        <v>-61.851501101867974</v>
      </c>
      <c r="AD244" s="19">
        <v>-123.05583745175798</v>
      </c>
      <c r="AE244" s="19">
        <v>-65.989399333317863</v>
      </c>
      <c r="AF244" s="19">
        <f t="shared" ref="AF244" si="1857">+AG244-AE244</f>
        <v>-66.646271556575499</v>
      </c>
      <c r="AG244" s="19">
        <v>-132.63567088989336</v>
      </c>
      <c r="AH244" s="19">
        <v>-71.100433712864714</v>
      </c>
      <c r="AI244" s="19">
        <f t="shared" ref="AI244" si="1858">+AJ244-AH244</f>
        <v>-71.767159019471222</v>
      </c>
      <c r="AJ244" s="19">
        <v>-142.86759273233594</v>
      </c>
      <c r="AK244" s="19">
        <v>-76.560856277414999</v>
      </c>
      <c r="AL244" s="19">
        <f t="shared" ref="AL244" si="1859">+AM244-AK244</f>
        <v>-77.237582463620598</v>
      </c>
      <c r="AM244" s="19">
        <v>-153.7984387410356</v>
      </c>
      <c r="AN244" s="19">
        <v>-82.380205704713916</v>
      </c>
      <c r="AO244" s="19">
        <f t="shared" ref="AO244" si="1860">+AP244-AN244</f>
        <v>-83.03586109830357</v>
      </c>
      <c r="AP244" s="19">
        <v>-165.41606680301749</v>
      </c>
      <c r="AQ244" s="19">
        <v>-88.553101229193828</v>
      </c>
      <c r="AR244" s="19">
        <f t="shared" ref="AR244" si="1861">+AS244-AQ244</f>
        <v>-89.218591453687338</v>
      </c>
      <c r="AS244" s="19">
        <v>-177.77169268288117</v>
      </c>
      <c r="AT244" s="19">
        <v>-95.154654407913753</v>
      </c>
      <c r="AU244" s="19">
        <f t="shared" ref="AU244" si="1862">+AV244-AT244</f>
        <v>-95.830126985774669</v>
      </c>
      <c r="AV244" s="19">
        <v>-190.98478139368842</v>
      </c>
    </row>
    <row r="245" spans="1:48" outlineLevel="1" x14ac:dyDescent="0.25">
      <c r="B245" s="8" t="s">
        <v>61</v>
      </c>
      <c r="C245" s="22" t="s">
        <v>29</v>
      </c>
      <c r="F245" s="53">
        <f t="shared" ref="F245:AV245" si="1863">F244/(F46+F104+F128)</f>
        <v>-6.060076842472932E-2</v>
      </c>
      <c r="G245" s="53">
        <f t="shared" si="1863"/>
        <v>-5.9510567296996664E-2</v>
      </c>
      <c r="H245" s="53">
        <f t="shared" si="1863"/>
        <v>-6.4056939501779361E-2</v>
      </c>
      <c r="I245" s="53">
        <f t="shared" si="1863"/>
        <v>-6.1885790172642764E-2</v>
      </c>
      <c r="J245" s="325">
        <f t="shared" si="1863"/>
        <v>-6.5161290322580653E-2</v>
      </c>
      <c r="K245" s="53">
        <f t="shared" si="1863"/>
        <v>-6.902252531514777E-2</v>
      </c>
      <c r="L245" s="385">
        <f t="shared" si="1863"/>
        <v>-6.7130361471177152E-2</v>
      </c>
      <c r="M245" s="325">
        <f t="shared" si="1863"/>
        <v>-6.6492146596858634E-2</v>
      </c>
      <c r="N245" s="53">
        <f t="shared" si="1863"/>
        <v>-6.5334229089687612E-2</v>
      </c>
      <c r="O245" s="385">
        <f t="shared" si="1863"/>
        <v>-6.5902088325915792E-2</v>
      </c>
      <c r="P245" s="53">
        <f t="shared" si="1863"/>
        <v>-6.3452670613596926E-2</v>
      </c>
      <c r="Q245" s="53">
        <f t="shared" si="1863"/>
        <v>-5.9860736117575648E-2</v>
      </c>
      <c r="R245" s="53">
        <f t="shared" si="1863"/>
        <v>-6.1595559134318557E-2</v>
      </c>
      <c r="S245" s="53">
        <f t="shared" si="1863"/>
        <v>-5.9628989910332324E-2</v>
      </c>
      <c r="T245" s="53">
        <f t="shared" si="1863"/>
        <v>-5.4741458694384681E-2</v>
      </c>
      <c r="U245" s="53">
        <f t="shared" si="1863"/>
        <v>-5.7069606743697619E-2</v>
      </c>
      <c r="V245" s="53">
        <f t="shared" si="1863"/>
        <v>-5.5468921826619937E-2</v>
      </c>
      <c r="W245" s="53">
        <f t="shared" si="1863"/>
        <v>-5.1003091896515036E-2</v>
      </c>
      <c r="X245" s="53">
        <f t="shared" si="1863"/>
        <v>-5.3130445730752859E-2</v>
      </c>
      <c r="Y245" s="53">
        <f t="shared" si="1863"/>
        <v>-5.0659157974640455E-2</v>
      </c>
      <c r="Z245" s="53">
        <f t="shared" si="1863"/>
        <v>-4.690064592472086E-2</v>
      </c>
      <c r="AA245" s="53">
        <f t="shared" si="1863"/>
        <v>-4.869653612951045E-2</v>
      </c>
      <c r="AB245" s="53">
        <f t="shared" si="1863"/>
        <v>-4.6909118842699556E-2</v>
      </c>
      <c r="AC245" s="53">
        <f t="shared" si="1863"/>
        <v>-4.3784034352833935E-2</v>
      </c>
      <c r="AD245" s="53">
        <f t="shared" si="1863"/>
        <v>-4.5284528520270581E-2</v>
      </c>
      <c r="AE245" s="53">
        <f t="shared" si="1863"/>
        <v>-4.4217413414403196E-2</v>
      </c>
      <c r="AF245" s="53">
        <f t="shared" si="1863"/>
        <v>-4.1370749248932331E-2</v>
      </c>
      <c r="AG245" s="53">
        <f t="shared" si="1863"/>
        <v>-4.2739701244400151E-2</v>
      </c>
      <c r="AH245" s="53">
        <f t="shared" si="1863"/>
        <v>-4.1937994759683954E-2</v>
      </c>
      <c r="AI245" s="53">
        <f t="shared" si="1863"/>
        <v>-3.9315988343210949E-2</v>
      </c>
      <c r="AJ245" s="53">
        <f t="shared" si="1863"/>
        <v>-4.0578575625316533E-2</v>
      </c>
      <c r="AK245" s="53">
        <f t="shared" si="1863"/>
        <v>-3.9984217907433131E-2</v>
      </c>
      <c r="AL245" s="53">
        <f t="shared" si="1863"/>
        <v>-3.7546726370898328E-2</v>
      </c>
      <c r="AM245" s="53">
        <f t="shared" si="1863"/>
        <v>-3.8721799507589499E-2</v>
      </c>
      <c r="AN245" s="53">
        <f t="shared" si="1863"/>
        <v>-3.9075902539385733E-2</v>
      </c>
      <c r="AO245" s="53">
        <f t="shared" si="1863"/>
        <v>-3.6860390251510354E-2</v>
      </c>
      <c r="AP245" s="53">
        <f t="shared" si="1863"/>
        <v>-3.7931440035431863E-2</v>
      </c>
      <c r="AQ245" s="53">
        <f t="shared" si="1863"/>
        <v>-3.8581307266403055E-2</v>
      </c>
      <c r="AR245" s="53">
        <f t="shared" si="1863"/>
        <v>-3.6423292318004646E-2</v>
      </c>
      <c r="AS245" s="53">
        <f t="shared" si="1863"/>
        <v>-3.7467219341794609E-2</v>
      </c>
      <c r="AT245" s="53">
        <f t="shared" si="1863"/>
        <v>-3.8191487491753412E-2</v>
      </c>
      <c r="AU245" s="53">
        <f t="shared" si="1863"/>
        <v>-3.6080810402432578E-2</v>
      </c>
      <c r="AV245" s="53">
        <f t="shared" si="1863"/>
        <v>-3.7102429118912254E-2</v>
      </c>
    </row>
    <row r="246" spans="1:48" outlineLevel="1" x14ac:dyDescent="0.25">
      <c r="M246" s="8"/>
    </row>
    <row r="247" spans="1:48" outlineLevel="1" x14ac:dyDescent="0.25">
      <c r="M247" s="8"/>
    </row>
    <row r="248" spans="1:48" outlineLevel="1" x14ac:dyDescent="0.25">
      <c r="A248" s="9"/>
      <c r="B248" s="13" t="s">
        <v>26</v>
      </c>
      <c r="C248" s="194"/>
      <c r="D248" s="194"/>
      <c r="E248" s="194"/>
      <c r="F248" s="195"/>
      <c r="G248" s="195"/>
      <c r="H248" s="195"/>
      <c r="I248" s="195"/>
      <c r="J248" s="195"/>
      <c r="K248" s="195"/>
      <c r="L248" s="342"/>
      <c r="M248" s="195"/>
      <c r="N248" s="195"/>
      <c r="O248" s="195"/>
      <c r="P248" s="195"/>
      <c r="Q248" s="195"/>
      <c r="R248" s="195"/>
      <c r="S248" s="195"/>
      <c r="T248" s="195"/>
      <c r="U248" s="195"/>
      <c r="V248" s="60"/>
      <c r="W248" s="13"/>
      <c r="X248" s="195"/>
      <c r="Y248" s="60"/>
      <c r="Z248" s="13"/>
      <c r="AA248" s="195"/>
      <c r="AB248" s="60"/>
      <c r="AC248" s="13"/>
      <c r="AD248" s="195"/>
      <c r="AE248" s="60"/>
      <c r="AF248" s="13"/>
      <c r="AG248" s="195"/>
      <c r="AH248" s="60"/>
      <c r="AI248" s="13"/>
      <c r="AJ248" s="195"/>
      <c r="AK248" s="60"/>
      <c r="AL248" s="13"/>
      <c r="AM248" s="195"/>
      <c r="AN248" s="60"/>
      <c r="AO248" s="13"/>
      <c r="AP248" s="195"/>
      <c r="AQ248" s="60"/>
      <c r="AR248" s="13"/>
      <c r="AS248" s="195"/>
      <c r="AT248" s="60"/>
      <c r="AU248" s="13"/>
      <c r="AV248" s="195"/>
    </row>
    <row r="249" spans="1:48" outlineLevel="1" x14ac:dyDescent="0.25">
      <c r="B249" s="8" t="s">
        <v>60</v>
      </c>
      <c r="C249" s="22" t="s">
        <v>28</v>
      </c>
      <c r="F249" s="45">
        <v>-2.5</v>
      </c>
      <c r="G249" s="45">
        <v>-1.5</v>
      </c>
      <c r="H249" s="37">
        <f>+I249-G249</f>
        <v>-2</v>
      </c>
      <c r="I249" s="45">
        <v>-3.5</v>
      </c>
      <c r="J249" s="45">
        <v>-2.6</v>
      </c>
      <c r="K249" s="37">
        <f>+L249-J249</f>
        <v>-2.9</v>
      </c>
      <c r="L249" s="354">
        <v>-5.5</v>
      </c>
      <c r="M249" s="441">
        <v>-3.8</v>
      </c>
      <c r="N249" s="37">
        <f>+O249-M249</f>
        <v>-4.6000000000000005</v>
      </c>
      <c r="O249" s="45">
        <v>-8.4</v>
      </c>
      <c r="P249" s="19">
        <f>(1+P250)*M249</f>
        <v>-4.5219999999999994</v>
      </c>
      <c r="Q249" s="19">
        <f t="shared" ref="Q249" si="1864">+R249-P249</f>
        <v>-4.2980000000000009</v>
      </c>
      <c r="R249" s="19">
        <f>(1+R250)*O249</f>
        <v>-8.82</v>
      </c>
      <c r="S249" s="19">
        <f>(1+S250)*P249</f>
        <v>-4.657659999999999</v>
      </c>
      <c r="T249" s="19">
        <f t="shared" ref="T249" si="1865">+U249-S249</f>
        <v>-4.426940000000001</v>
      </c>
      <c r="U249" s="19">
        <f>(1+U250)*R249</f>
        <v>-9.0846</v>
      </c>
      <c r="V249" s="19">
        <f>(1+V250)*S249</f>
        <v>-4.7973897999999995</v>
      </c>
      <c r="W249" s="19">
        <f t="shared" ref="W249" si="1866">+X249-V249</f>
        <v>-4.5597482000000014</v>
      </c>
      <c r="X249" s="19">
        <f>(1+X250)*U249</f>
        <v>-9.3571380000000008</v>
      </c>
      <c r="Y249" s="19">
        <f t="shared" ref="Y249" si="1867">(1+Y250)*V249</f>
        <v>-4.9413114939999998</v>
      </c>
      <c r="Z249" s="19">
        <f t="shared" ref="Z249" si="1868">+AA249-Y249</f>
        <v>-4.6965406460000017</v>
      </c>
      <c r="AA249" s="19">
        <f t="shared" ref="AA249:AB249" si="1869">(1+AA250)*X249</f>
        <v>-9.6378521400000015</v>
      </c>
      <c r="AB249" s="19">
        <f t="shared" si="1869"/>
        <v>-5.0895508388200001</v>
      </c>
      <c r="AC249" s="19">
        <f t="shared" ref="AC249" si="1870">+AD249-AB249</f>
        <v>-4.8374368653800017</v>
      </c>
      <c r="AD249" s="19">
        <f t="shared" ref="AD249:AE249" si="1871">(1+AD250)*AA249</f>
        <v>-9.9269877042000019</v>
      </c>
      <c r="AE249" s="19">
        <f t="shared" si="1871"/>
        <v>-5.2422373639846001</v>
      </c>
      <c r="AF249" s="19">
        <f t="shared" ref="AF249" si="1872">+AG249-AE249</f>
        <v>-4.9825599713414022</v>
      </c>
      <c r="AG249" s="19">
        <f t="shared" ref="AG249:AH249" si="1873">(1+AG250)*AD249</f>
        <v>-10.224797335326002</v>
      </c>
      <c r="AH249" s="19">
        <f t="shared" si="1873"/>
        <v>-5.3995044849041385</v>
      </c>
      <c r="AI249" s="19">
        <f t="shared" ref="AI249" si="1874">+AJ249-AH249</f>
        <v>-5.1320367704816441</v>
      </c>
      <c r="AJ249" s="19">
        <f t="shared" ref="AJ249:AK249" si="1875">(1+AJ250)*AG249</f>
        <v>-10.531541255385783</v>
      </c>
      <c r="AK249" s="19">
        <f t="shared" si="1875"/>
        <v>-5.5614896194512626</v>
      </c>
      <c r="AL249" s="19">
        <f t="shared" ref="AL249" si="1876">+AM249-AK249</f>
        <v>-5.2859978735960942</v>
      </c>
      <c r="AM249" s="19">
        <f t="shared" ref="AM249:AN249" si="1877">(1+AM250)*AJ249</f>
        <v>-10.847487493047357</v>
      </c>
      <c r="AN249" s="19">
        <f t="shared" si="1877"/>
        <v>-5.7283343080348006</v>
      </c>
      <c r="AO249" s="19">
        <f t="shared" ref="AO249" si="1878">+AP249-AN249</f>
        <v>-5.4445778098039765</v>
      </c>
      <c r="AP249" s="19">
        <f t="shared" ref="AP249:AQ249" si="1879">(1+AP250)*AM249</f>
        <v>-11.172912117838777</v>
      </c>
      <c r="AQ249" s="19">
        <f t="shared" si="1879"/>
        <v>-5.9001843372758449</v>
      </c>
      <c r="AR249" s="19">
        <f t="shared" ref="AR249" si="1880">+AS249-AQ249</f>
        <v>-5.6079151440980963</v>
      </c>
      <c r="AS249" s="19">
        <f t="shared" ref="AS249" si="1881">(1+AS250)*AP249</f>
        <v>-11.508099481373941</v>
      </c>
      <c r="AT249" s="19">
        <f t="shared" ref="AT249" si="1882">(1+AT250)*AQ249</f>
        <v>-6.0771898673941207</v>
      </c>
      <c r="AU249" s="19">
        <f t="shared" ref="AU249" si="1883">+AV249-AT249</f>
        <v>-5.7761525984210396</v>
      </c>
      <c r="AV249" s="19">
        <f t="shared" ref="AV249" si="1884">(1+AV250)*AS249</f>
        <v>-11.85334246581516</v>
      </c>
    </row>
    <row r="250" spans="1:48" outlineLevel="1" x14ac:dyDescent="0.25">
      <c r="B250" s="8" t="s">
        <v>61</v>
      </c>
      <c r="C250" s="22" t="s">
        <v>29</v>
      </c>
      <c r="F250" s="54">
        <f t="shared" ref="F250:L250" si="1885">+F249/F165</f>
        <v>-1</v>
      </c>
      <c r="G250" s="54">
        <f t="shared" si="1885"/>
        <v>-1</v>
      </c>
      <c r="H250" s="54">
        <f t="shared" si="1885"/>
        <v>-0.44444444444444442</v>
      </c>
      <c r="I250" s="54">
        <f t="shared" si="1885"/>
        <v>-0.58333333333333337</v>
      </c>
      <c r="J250" s="326">
        <f t="shared" si="1885"/>
        <v>-0.46428571428571436</v>
      </c>
      <c r="K250" s="54">
        <f t="shared" si="1885"/>
        <v>-0.5576923076923076</v>
      </c>
      <c r="L250" s="386">
        <f t="shared" si="1885"/>
        <v>-0.50925925925925919</v>
      </c>
      <c r="M250" s="326">
        <f>+M249/M165</f>
        <v>-0.77551020408163251</v>
      </c>
      <c r="N250" s="54">
        <f t="shared" ref="N250:O250" si="1886">+N249/N165</f>
        <v>-0.63013698630137005</v>
      </c>
      <c r="O250" s="386">
        <f t="shared" si="1886"/>
        <v>-0.68852459016393452</v>
      </c>
      <c r="P250" s="24">
        <v>0.19</v>
      </c>
      <c r="Q250" s="55">
        <f>+Q249/N249-1</f>
        <v>-6.5652173913043343E-2</v>
      </c>
      <c r="R250" s="24">
        <v>0.05</v>
      </c>
      <c r="S250" s="24">
        <f>3%</f>
        <v>0.03</v>
      </c>
      <c r="T250" s="55">
        <f>+T249/Q249-1</f>
        <v>3.0000000000000027E-2</v>
      </c>
      <c r="U250" s="24">
        <v>0.03</v>
      </c>
      <c r="V250" s="24">
        <f>3%</f>
        <v>0.03</v>
      </c>
      <c r="W250" s="55">
        <f>+W249/T249-1</f>
        <v>3.0000000000000027E-2</v>
      </c>
      <c r="X250" s="24">
        <v>0.03</v>
      </c>
      <c r="Y250" s="24">
        <f>+X250</f>
        <v>0.03</v>
      </c>
      <c r="Z250" s="55">
        <f>+Z249/W249-1</f>
        <v>3.0000000000000027E-2</v>
      </c>
      <c r="AA250" s="24">
        <f>+Y250</f>
        <v>0.03</v>
      </c>
      <c r="AB250" s="24">
        <f t="shared" ref="AB250" si="1887">+AA250</f>
        <v>0.03</v>
      </c>
      <c r="AC250" s="55">
        <f>+AC249/Z249-1</f>
        <v>3.0000000000000027E-2</v>
      </c>
      <c r="AD250" s="24">
        <f t="shared" ref="AD250" si="1888">+AB250</f>
        <v>0.03</v>
      </c>
      <c r="AE250" s="24">
        <f t="shared" ref="AE250" si="1889">+AD250</f>
        <v>0.03</v>
      </c>
      <c r="AF250" s="55">
        <f>+AF249/AC249-1</f>
        <v>3.0000000000000027E-2</v>
      </c>
      <c r="AG250" s="24">
        <f t="shared" ref="AG250" si="1890">+AE250</f>
        <v>0.03</v>
      </c>
      <c r="AH250" s="24">
        <f t="shared" ref="AH250" si="1891">+AG250</f>
        <v>0.03</v>
      </c>
      <c r="AI250" s="55">
        <f>+AI249/AF249-1</f>
        <v>3.0000000000000027E-2</v>
      </c>
      <c r="AJ250" s="24">
        <f t="shared" ref="AJ250" si="1892">+AH250</f>
        <v>0.03</v>
      </c>
      <c r="AK250" s="24">
        <f t="shared" ref="AK250" si="1893">+AJ250</f>
        <v>0.03</v>
      </c>
      <c r="AL250" s="55">
        <f>+AL249/AI249-1</f>
        <v>3.0000000000000249E-2</v>
      </c>
      <c r="AM250" s="24">
        <f t="shared" ref="AM250" si="1894">+AK250</f>
        <v>0.03</v>
      </c>
      <c r="AN250" s="24">
        <f t="shared" ref="AN250" si="1895">+AM250</f>
        <v>0.03</v>
      </c>
      <c r="AO250" s="55">
        <f>+AO249/AL249-1</f>
        <v>2.9999999999999805E-2</v>
      </c>
      <c r="AP250" s="24">
        <f t="shared" ref="AP250" si="1896">+AN250</f>
        <v>0.03</v>
      </c>
      <c r="AQ250" s="24">
        <f t="shared" ref="AQ250" si="1897">+AP250</f>
        <v>0.03</v>
      </c>
      <c r="AR250" s="55">
        <f>+AR249/AO249-1</f>
        <v>3.0000000000000027E-2</v>
      </c>
      <c r="AS250" s="24">
        <f t="shared" ref="AS250" si="1898">+AQ250</f>
        <v>0.03</v>
      </c>
      <c r="AT250" s="24">
        <f t="shared" ref="AT250" si="1899">+AS250</f>
        <v>0.03</v>
      </c>
      <c r="AU250" s="55">
        <f>+AU249/AR249-1</f>
        <v>3.0000000000000027E-2</v>
      </c>
      <c r="AV250" s="24">
        <f t="shared" ref="AV250" si="1900">+AT250</f>
        <v>0.03</v>
      </c>
    </row>
    <row r="251" spans="1:48" outlineLevel="1" x14ac:dyDescent="0.25">
      <c r="B251" s="11"/>
      <c r="M251" s="8"/>
    </row>
    <row r="252" spans="1:48" outlineLevel="1" x14ac:dyDescent="0.25">
      <c r="A252" s="9"/>
      <c r="B252" s="13" t="s">
        <v>444</v>
      </c>
      <c r="C252" s="194"/>
      <c r="D252" s="194"/>
      <c r="E252" s="194"/>
      <c r="F252" s="195"/>
      <c r="G252" s="195"/>
      <c r="H252" s="195"/>
      <c r="I252" s="195"/>
      <c r="J252" s="195"/>
      <c r="K252" s="195"/>
      <c r="L252" s="342"/>
      <c r="M252" s="195"/>
      <c r="N252" s="195"/>
      <c r="O252" s="195"/>
      <c r="P252" s="195"/>
      <c r="Q252" s="195"/>
      <c r="R252" s="195"/>
      <c r="S252" s="195"/>
      <c r="T252" s="195"/>
      <c r="U252" s="195"/>
      <c r="V252" s="60"/>
      <c r="W252" s="13"/>
      <c r="X252" s="195"/>
      <c r="Y252" s="60"/>
      <c r="Z252" s="13"/>
      <c r="AA252" s="195"/>
      <c r="AB252" s="60"/>
      <c r="AC252" s="13"/>
      <c r="AD252" s="195"/>
      <c r="AE252" s="60"/>
      <c r="AF252" s="13"/>
      <c r="AG252" s="195"/>
      <c r="AH252" s="60"/>
      <c r="AI252" s="13"/>
      <c r="AJ252" s="195"/>
      <c r="AK252" s="60"/>
      <c r="AL252" s="13"/>
      <c r="AM252" s="195"/>
      <c r="AN252" s="60"/>
      <c r="AO252" s="13"/>
      <c r="AP252" s="195"/>
      <c r="AQ252" s="60"/>
      <c r="AR252" s="13"/>
      <c r="AS252" s="195"/>
      <c r="AT252" s="60"/>
      <c r="AU252" s="13"/>
      <c r="AV252" s="195"/>
    </row>
    <row r="253" spans="1:48" outlineLevel="1" x14ac:dyDescent="0.25">
      <c r="B253" s="11"/>
      <c r="M253" s="8"/>
    </row>
    <row r="254" spans="1:48" outlineLevel="1" x14ac:dyDescent="0.25">
      <c r="A254" t="s">
        <v>626</v>
      </c>
      <c r="B254" s="11" t="s">
        <v>60</v>
      </c>
      <c r="C254" s="22" t="s">
        <v>28</v>
      </c>
      <c r="F254" s="21">
        <f>+F244+F249</f>
        <v>-37.200000000000003</v>
      </c>
      <c r="G254" s="21">
        <f t="shared" ref="G254:AS254" si="1901">+G244+G249</f>
        <v>-22.9</v>
      </c>
      <c r="H254" s="21">
        <f t="shared" si="1901"/>
        <v>-27.200000000000003</v>
      </c>
      <c r="I254" s="21">
        <f t="shared" si="1901"/>
        <v>-50.1</v>
      </c>
      <c r="J254" s="21">
        <f t="shared" si="1901"/>
        <v>-32.9</v>
      </c>
      <c r="K254" s="21">
        <f t="shared" ref="K254:L254" si="1902">+K244+K249</f>
        <v>-36.300000000000004</v>
      </c>
      <c r="L254" s="308">
        <f t="shared" si="1902"/>
        <v>-69.2</v>
      </c>
      <c r="M254" s="21">
        <f>+M244+M249</f>
        <v>-41.9</v>
      </c>
      <c r="N254" s="21">
        <f t="shared" ref="N254:O254" si="1903">+N244+N249</f>
        <v>-43.5</v>
      </c>
      <c r="O254" s="308">
        <f t="shared" si="1903"/>
        <v>-85.4</v>
      </c>
      <c r="P254" s="19">
        <f t="shared" si="1901"/>
        <v>-47.421164375000004</v>
      </c>
      <c r="Q254" s="19">
        <f t="shared" si="1901"/>
        <v>-47.621524375000007</v>
      </c>
      <c r="R254" s="19">
        <f t="shared" si="1901"/>
        <v>-95.042688749999996</v>
      </c>
      <c r="S254" s="19">
        <f t="shared" si="1901"/>
        <v>-52.091013037500012</v>
      </c>
      <c r="T254" s="19">
        <f t="shared" si="1901"/>
        <v>-52.297383837500007</v>
      </c>
      <c r="U254" s="19">
        <f t="shared" si="1901"/>
        <v>-104.38839687500001</v>
      </c>
      <c r="V254" s="19">
        <f t="shared" si="1901"/>
        <v>-57.189345360250016</v>
      </c>
      <c r="W254" s="19">
        <f t="shared" si="1901"/>
        <v>-57.514458165250026</v>
      </c>
      <c r="X254" s="19">
        <f t="shared" si="1901"/>
        <v>-114.70380352550005</v>
      </c>
      <c r="Y254" s="19">
        <f t="shared" si="1901"/>
        <v>-61.621278965855012</v>
      </c>
      <c r="Z254" s="19">
        <f t="shared" si="1901"/>
        <v>-62.043090710577509</v>
      </c>
      <c r="AA254" s="19">
        <f t="shared" si="1901"/>
        <v>-123.66436967643253</v>
      </c>
      <c r="AB254" s="19">
        <f t="shared" si="1901"/>
        <v>-66.293887188710002</v>
      </c>
      <c r="AC254" s="19">
        <f t="shared" si="1901"/>
        <v>-66.688937967247981</v>
      </c>
      <c r="AD254" s="19">
        <f t="shared" si="1901"/>
        <v>-132.98282515595798</v>
      </c>
      <c r="AE254" s="19">
        <f t="shared" si="1901"/>
        <v>-71.231636697302463</v>
      </c>
      <c r="AF254" s="19">
        <f t="shared" si="1901"/>
        <v>-71.628831527916901</v>
      </c>
      <c r="AG254" s="19">
        <f t="shared" si="1901"/>
        <v>-142.86046822521936</v>
      </c>
      <c r="AH254" s="19">
        <f t="shared" si="1901"/>
        <v>-76.499938197768856</v>
      </c>
      <c r="AI254" s="19">
        <f t="shared" si="1901"/>
        <v>-76.89919578995287</v>
      </c>
      <c r="AJ254" s="19">
        <f t="shared" si="1901"/>
        <v>-153.39913398772171</v>
      </c>
      <c r="AK254" s="19">
        <f t="shared" si="1901"/>
        <v>-82.122345896866264</v>
      </c>
      <c r="AL254" s="19">
        <f t="shared" si="1901"/>
        <v>-82.523580337216686</v>
      </c>
      <c r="AM254" s="19">
        <f t="shared" si="1901"/>
        <v>-164.64592623408296</v>
      </c>
      <c r="AN254" s="19">
        <f t="shared" si="1901"/>
        <v>-88.108540012748719</v>
      </c>
      <c r="AO254" s="19">
        <f t="shared" si="1901"/>
        <v>-88.480438908107544</v>
      </c>
      <c r="AP254" s="19">
        <f t="shared" si="1901"/>
        <v>-176.58897892085628</v>
      </c>
      <c r="AQ254" s="19">
        <f t="shared" si="1901"/>
        <v>-94.453285566469674</v>
      </c>
      <c r="AR254" s="19">
        <f t="shared" si="1901"/>
        <v>-94.826506597785439</v>
      </c>
      <c r="AS254" s="19">
        <f t="shared" si="1901"/>
        <v>-189.2797921642551</v>
      </c>
      <c r="AT254" s="19">
        <f t="shared" ref="AT254:AV254" si="1904">+AT244+AT249</f>
        <v>-101.23184427530788</v>
      </c>
      <c r="AU254" s="19">
        <f t="shared" si="1904"/>
        <v>-101.6062795841957</v>
      </c>
      <c r="AV254" s="19">
        <f t="shared" si="1904"/>
        <v>-202.83812385950358</v>
      </c>
    </row>
    <row r="255" spans="1:48" outlineLevel="1" x14ac:dyDescent="0.25">
      <c r="B255" s="11" t="s">
        <v>61</v>
      </c>
      <c r="F255" s="14">
        <f>-F254/F14</f>
        <v>6.468440271257174E-2</v>
      </c>
      <c r="I255" s="18">
        <f t="shared" ref="I255:AV255" si="1905">-I254/I14</f>
        <v>6.6007905138339928E-2</v>
      </c>
      <c r="J255" s="18">
        <f t="shared" si="1905"/>
        <v>6.9910752231194209E-2</v>
      </c>
      <c r="K255" s="18">
        <f t="shared" si="1905"/>
        <v>7.4217951339194455E-2</v>
      </c>
      <c r="L255" s="314">
        <f t="shared" si="1905"/>
        <v>7.2105866416588532E-2</v>
      </c>
      <c r="M255" s="18">
        <f t="shared" si="1905"/>
        <v>7.2503893407163858E-2</v>
      </c>
      <c r="N255" s="18">
        <f t="shared" si="1905"/>
        <v>7.2175211548033871E-2</v>
      </c>
      <c r="O255" s="314">
        <f t="shared" si="1905"/>
        <v>7.2336100287989175E-2</v>
      </c>
      <c r="P255" s="18">
        <f t="shared" si="1905"/>
        <v>6.9314899811754621E-2</v>
      </c>
      <c r="Q255" s="18">
        <f t="shared" si="1905"/>
        <v>6.4992055206421137E-2</v>
      </c>
      <c r="R255" s="18">
        <f t="shared" si="1905"/>
        <v>6.7079357835093265E-2</v>
      </c>
      <c r="S255" s="18">
        <f t="shared" si="1905"/>
        <v>6.4530746142137441E-2</v>
      </c>
      <c r="T255" s="18">
        <f t="shared" si="1905"/>
        <v>5.8925522810412148E-2</v>
      </c>
      <c r="U255" s="18">
        <f t="shared" si="1905"/>
        <v>6.1595360188515934E-2</v>
      </c>
      <c r="V255" s="18">
        <f t="shared" si="1905"/>
        <v>5.9451451683239773E-2</v>
      </c>
      <c r="W255" s="18">
        <f t="shared" si="1905"/>
        <v>5.4487939984029253E-2</v>
      </c>
      <c r="X255" s="18">
        <f t="shared" si="1905"/>
        <v>5.6854563763433057E-2</v>
      </c>
      <c r="Y255" s="18">
        <f t="shared" si="1905"/>
        <v>5.4189572098492275E-2</v>
      </c>
      <c r="Z255" s="18">
        <f t="shared" si="1905"/>
        <v>4.9999745301475336E-2</v>
      </c>
      <c r="AA255" s="18">
        <f t="shared" si="1905"/>
        <v>5.2003281615305937E-2</v>
      </c>
      <c r="AB255" s="18">
        <f t="shared" si="1905"/>
        <v>5.0072770028890948E-2</v>
      </c>
      <c r="AC255" s="18">
        <f t="shared" si="1905"/>
        <v>4.6580216752167829E-2</v>
      </c>
      <c r="AD255" s="18">
        <f t="shared" si="1905"/>
        <v>4.8258211410423656E-2</v>
      </c>
      <c r="AE255" s="18">
        <f t="shared" si="1905"/>
        <v>4.7093636736814215E-2</v>
      </c>
      <c r="AF255" s="18">
        <f t="shared" si="1905"/>
        <v>4.3918328423491915E-2</v>
      </c>
      <c r="AG255" s="18">
        <f t="shared" si="1905"/>
        <v>4.5446182703532546E-2</v>
      </c>
      <c r="AH255" s="18">
        <f t="shared" si="1905"/>
        <v>4.4566171427613807E-2</v>
      </c>
      <c r="AI255" s="18">
        <f t="shared" si="1905"/>
        <v>4.1648229178567801E-2</v>
      </c>
      <c r="AJ255" s="18">
        <f t="shared" si="1905"/>
        <v>4.3054028522851749E-2</v>
      </c>
      <c r="AK255" s="18">
        <f t="shared" si="1905"/>
        <v>4.239639240227458E-2</v>
      </c>
      <c r="AL255" s="18">
        <f t="shared" si="1905"/>
        <v>3.9690830561095125E-2</v>
      </c>
      <c r="AM255" s="18">
        <f t="shared" si="1905"/>
        <v>4.0995731548609339E-2</v>
      </c>
      <c r="AN255" s="18">
        <f t="shared" si="1905"/>
        <v>4.1335288111903193E-2</v>
      </c>
      <c r="AO255" s="18">
        <f t="shared" si="1905"/>
        <v>3.887764377360485E-2</v>
      </c>
      <c r="AP255" s="18">
        <f t="shared" si="1905"/>
        <v>4.0066230734737175E-2</v>
      </c>
      <c r="AQ255" s="18">
        <f t="shared" si="1905"/>
        <v>4.0717042906287179E-2</v>
      </c>
      <c r="AR255" s="18">
        <f t="shared" si="1905"/>
        <v>3.833220888552228E-2</v>
      </c>
      <c r="AS255" s="18">
        <f t="shared" si="1905"/>
        <v>3.9486302987498612E-2</v>
      </c>
      <c r="AT255" s="18">
        <f t="shared" si="1905"/>
        <v>4.0215166881060027E-2</v>
      </c>
      <c r="AU255" s="18">
        <f t="shared" si="1905"/>
        <v>3.789135016396615E-2</v>
      </c>
      <c r="AV255" s="18">
        <f t="shared" si="1905"/>
        <v>3.9016546705251724E-2</v>
      </c>
    </row>
    <row r="256" spans="1:48" outlineLevel="1" x14ac:dyDescent="0.25">
      <c r="B256" s="11"/>
      <c r="J256" s="14"/>
      <c r="K256" s="14"/>
      <c r="L256" s="311"/>
      <c r="M256" s="14"/>
    </row>
    <row r="257" spans="1:55" outlineLevel="1" x14ac:dyDescent="0.25">
      <c r="B257" s="11"/>
      <c r="J257" s="14"/>
      <c r="K257" s="14"/>
      <c r="L257" s="311"/>
      <c r="M257" s="14"/>
    </row>
    <row r="258" spans="1:55" ht="15.75" x14ac:dyDescent="0.25">
      <c r="A258" s="49" t="s">
        <v>23</v>
      </c>
      <c r="B258" s="50" t="s">
        <v>69</v>
      </c>
      <c r="C258" s="2"/>
      <c r="D258" s="2"/>
      <c r="E258" s="2"/>
      <c r="F258" s="158"/>
      <c r="G258" s="86"/>
      <c r="H258" s="86"/>
      <c r="I258" s="86"/>
      <c r="J258" s="86"/>
      <c r="K258" s="86"/>
      <c r="L258" s="371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  <c r="AP258" s="86"/>
      <c r="AQ258" s="86"/>
      <c r="AR258" s="86"/>
      <c r="AS258" s="86"/>
      <c r="AT258" s="86"/>
      <c r="AU258" s="86"/>
      <c r="AV258" s="86"/>
    </row>
    <row r="259" spans="1:55" outlineLevel="1" x14ac:dyDescent="0.25">
      <c r="B259" s="11"/>
      <c r="M259" s="8"/>
    </row>
    <row r="260" spans="1:55" outlineLevel="1" x14ac:dyDescent="0.25">
      <c r="B260" s="48" t="s">
        <v>138</v>
      </c>
      <c r="C260" s="22" t="s">
        <v>28</v>
      </c>
      <c r="F260" s="17">
        <f t="shared" ref="F260:O260" si="1906">+F22+F178+F224</f>
        <v>21.599999999999966</v>
      </c>
      <c r="G260" s="17">
        <f t="shared" si="1906"/>
        <v>14.592499999999987</v>
      </c>
      <c r="H260" s="17">
        <f t="shared" si="1906"/>
        <v>14.707500000000039</v>
      </c>
      <c r="I260" s="17">
        <f t="shared" si="1906"/>
        <v>29.300000000000011</v>
      </c>
      <c r="J260" s="17">
        <f t="shared" si="1906"/>
        <v>25.57099999999997</v>
      </c>
      <c r="K260" s="17">
        <f t="shared" si="1906"/>
        <v>19.188000000000017</v>
      </c>
      <c r="L260" s="361">
        <f t="shared" si="1906"/>
        <v>44.759000000000071</v>
      </c>
      <c r="M260" s="17">
        <f t="shared" si="1906"/>
        <v>31.681999999999988</v>
      </c>
      <c r="N260" s="17">
        <f t="shared" si="1906"/>
        <v>33.746000000000095</v>
      </c>
      <c r="O260" s="361">
        <f t="shared" si="1906"/>
        <v>65.428000000000054</v>
      </c>
      <c r="P260" s="178"/>
      <c r="Q260" s="178"/>
      <c r="R260" s="178"/>
      <c r="S260" s="178"/>
      <c r="T260" s="178"/>
      <c r="U260" s="178"/>
      <c r="V260" s="178"/>
      <c r="W260" s="178"/>
      <c r="X260" s="178"/>
      <c r="Y260" s="178"/>
      <c r="Z260" s="178"/>
      <c r="AA260" s="178"/>
      <c r="AB260" s="178"/>
      <c r="AC260" s="178"/>
      <c r="AD260" s="178"/>
      <c r="AE260" s="178"/>
      <c r="AF260" s="178"/>
      <c r="AG260" s="178"/>
      <c r="AH260" s="178"/>
      <c r="AI260" s="178"/>
      <c r="AJ260" s="178"/>
      <c r="AK260" s="178"/>
      <c r="AL260" s="178"/>
      <c r="AM260" s="178"/>
      <c r="AN260" s="178"/>
      <c r="AO260" s="178"/>
      <c r="AP260" s="178"/>
      <c r="AQ260" s="178"/>
      <c r="AR260" s="178"/>
      <c r="AS260" s="178"/>
      <c r="AT260" s="178"/>
      <c r="AU260" s="178"/>
      <c r="AV260" s="178"/>
    </row>
    <row r="261" spans="1:55" outlineLevel="1" x14ac:dyDescent="0.25">
      <c r="B261" s="48" t="s">
        <v>84</v>
      </c>
      <c r="F261" s="18">
        <f t="shared" ref="F261:O261" si="1907">F$260/F$14</f>
        <v>3.7558685446009335E-2</v>
      </c>
      <c r="G261" s="18">
        <f t="shared" si="1907"/>
        <v>4.041124342287452E-2</v>
      </c>
      <c r="H261" s="18">
        <f t="shared" si="1907"/>
        <v>3.6962804724805322E-2</v>
      </c>
      <c r="I261" s="18">
        <f t="shared" si="1907"/>
        <v>3.8603425559947314E-2</v>
      </c>
      <c r="J261" s="304">
        <f t="shared" si="1907"/>
        <v>5.4337016574585568E-2</v>
      </c>
      <c r="K261" s="18">
        <f t="shared" si="1907"/>
        <v>3.9231241054999012E-2</v>
      </c>
      <c r="L261" s="314">
        <f t="shared" si="1907"/>
        <v>4.6638532874856801E-2</v>
      </c>
      <c r="M261" s="304">
        <f t="shared" si="1907"/>
        <v>5.4822633673645933E-2</v>
      </c>
      <c r="N261" s="18">
        <f t="shared" si="1907"/>
        <v>5.5991372158619719E-2</v>
      </c>
      <c r="O261" s="314">
        <f t="shared" si="1907"/>
        <v>5.5419278333051041E-2</v>
      </c>
      <c r="P261" s="179"/>
      <c r="Q261" s="179"/>
      <c r="R261" s="179"/>
      <c r="S261" s="179"/>
      <c r="T261" s="179"/>
      <c r="U261" s="179"/>
      <c r="V261" s="179"/>
      <c r="W261" s="179"/>
      <c r="X261" s="179"/>
      <c r="Y261" s="179"/>
      <c r="Z261" s="179"/>
      <c r="AA261" s="179"/>
      <c r="AB261" s="179"/>
      <c r="AC261" s="179"/>
      <c r="AD261" s="179"/>
      <c r="AE261" s="179"/>
      <c r="AF261" s="179"/>
      <c r="AG261" s="179"/>
      <c r="AH261" s="179"/>
      <c r="AI261" s="179"/>
      <c r="AJ261" s="179"/>
      <c r="AK261" s="179"/>
      <c r="AL261" s="179"/>
      <c r="AM261" s="179"/>
      <c r="AN261" s="179"/>
      <c r="AO261" s="179"/>
      <c r="AP261" s="179"/>
      <c r="AQ261" s="179"/>
      <c r="AR261" s="179"/>
      <c r="AS261" s="179"/>
      <c r="AT261" s="179"/>
      <c r="AU261" s="179"/>
      <c r="AV261" s="179"/>
    </row>
    <row r="262" spans="1:55" outlineLevel="1" x14ac:dyDescent="0.25">
      <c r="B262" s="48" t="s">
        <v>86</v>
      </c>
      <c r="M262" s="8"/>
      <c r="O262" s="313"/>
    </row>
    <row r="263" spans="1:55" outlineLevel="1" x14ac:dyDescent="0.25">
      <c r="B263" s="48" t="s">
        <v>85</v>
      </c>
      <c r="F263" s="18">
        <f t="shared" ref="F263:O263" si="1908">F$260/F$22</f>
        <v>0.12572759022118724</v>
      </c>
      <c r="G263" s="14">
        <f t="shared" si="1908"/>
        <v>0.11991289520718193</v>
      </c>
      <c r="H263" s="14">
        <f t="shared" si="1908"/>
        <v>0.10703564215927104</v>
      </c>
      <c r="I263" s="14">
        <f t="shared" si="1908"/>
        <v>0.11308375144731767</v>
      </c>
      <c r="J263" s="254">
        <f t="shared" si="1908"/>
        <v>0.15178279941354877</v>
      </c>
      <c r="K263" s="14">
        <f t="shared" si="1908"/>
        <v>0.11044597425920394</v>
      </c>
      <c r="L263" s="311">
        <f t="shared" si="1908"/>
        <v>0.1307966324082491</v>
      </c>
      <c r="M263" s="254">
        <f t="shared" si="1908"/>
        <v>0.14907562946128178</v>
      </c>
      <c r="N263" s="14">
        <f t="shared" si="1908"/>
        <v>0.15080797969325413</v>
      </c>
      <c r="O263" s="311">
        <f t="shared" si="1908"/>
        <v>0.14996412944571411</v>
      </c>
      <c r="P263" s="180"/>
      <c r="Q263" s="180"/>
      <c r="R263" s="180"/>
      <c r="S263" s="180"/>
      <c r="T263" s="180"/>
      <c r="U263" s="180"/>
      <c r="V263" s="180"/>
      <c r="W263" s="180"/>
      <c r="X263" s="180"/>
      <c r="Y263" s="180"/>
      <c r="Z263" s="180"/>
      <c r="AA263" s="180"/>
      <c r="AB263" s="180"/>
      <c r="AC263" s="180"/>
      <c r="AD263" s="180"/>
      <c r="AE263" s="180"/>
      <c r="AF263" s="180"/>
      <c r="AG263" s="180"/>
      <c r="AH263" s="180"/>
      <c r="AI263" s="180"/>
      <c r="AJ263" s="180"/>
      <c r="AK263" s="180"/>
      <c r="AL263" s="180"/>
      <c r="AM263" s="180"/>
      <c r="AN263" s="180"/>
      <c r="AO263" s="180"/>
      <c r="AP263" s="180"/>
      <c r="AQ263" s="180"/>
      <c r="AR263" s="180"/>
      <c r="AS263" s="180"/>
      <c r="AT263" s="180"/>
      <c r="AU263" s="180"/>
      <c r="AV263" s="180"/>
    </row>
    <row r="264" spans="1:55" outlineLevel="1" x14ac:dyDescent="0.25">
      <c r="B264" s="48"/>
      <c r="F264" s="18"/>
      <c r="G264" s="14"/>
      <c r="H264" s="14"/>
      <c r="I264" s="14"/>
      <c r="J264" s="254"/>
      <c r="K264" s="14"/>
      <c r="L264" s="311"/>
      <c r="M264" s="254"/>
      <c r="N264" s="14"/>
      <c r="O264" s="311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  <c r="AA264" s="28"/>
      <c r="AB264" s="28"/>
      <c r="AC264" s="28"/>
      <c r="AD264" s="28"/>
      <c r="AE264" s="28"/>
      <c r="AF264" s="28"/>
      <c r="AG264" s="28"/>
      <c r="AH264" s="28"/>
      <c r="AI264" s="28"/>
      <c r="AJ264" s="28"/>
      <c r="AK264" s="28"/>
      <c r="AL264" s="28"/>
      <c r="AM264" s="28"/>
      <c r="AN264" s="28"/>
      <c r="AO264" s="28"/>
      <c r="AP264" s="28"/>
      <c r="AQ264" s="28"/>
      <c r="AR264" s="28"/>
      <c r="AS264" s="28"/>
      <c r="AT264" s="28"/>
      <c r="AU264" s="28"/>
      <c r="AV264" s="28"/>
    </row>
    <row r="265" spans="1:55" outlineLevel="1" x14ac:dyDescent="0.25">
      <c r="B265" s="51" t="s">
        <v>693</v>
      </c>
      <c r="M265" s="8"/>
      <c r="R265" s="18"/>
    </row>
    <row r="266" spans="1:55" outlineLevel="1" x14ac:dyDescent="0.25">
      <c r="A266" t="s">
        <v>700</v>
      </c>
      <c r="B266" s="11" t="s">
        <v>690</v>
      </c>
      <c r="F266" s="19">
        <f>F72+F92+F54+F244+F116+F139</f>
        <v>18.327199999999994</v>
      </c>
      <c r="I266" s="19">
        <f t="shared" ref="I266:AV266" si="1909">I72+I92+I54+I244+I116+I139</f>
        <v>30.727999999999998</v>
      </c>
      <c r="J266" s="19">
        <f t="shared" si="1909"/>
        <v>23.104999999999997</v>
      </c>
      <c r="K266" s="19">
        <f t="shared" si="1909"/>
        <v>22.423599999999983</v>
      </c>
      <c r="L266" s="361">
        <f t="shared" si="1909"/>
        <v>45.528599999999983</v>
      </c>
      <c r="M266" s="19">
        <f t="shared" si="1909"/>
        <v>31.789180000000002</v>
      </c>
      <c r="N266" s="19">
        <f t="shared" si="1909"/>
        <v>34.521120000000003</v>
      </c>
      <c r="O266" s="19">
        <f t="shared" si="1909"/>
        <v>66.310300000000012</v>
      </c>
      <c r="P266" s="19">
        <f>P72+P92+P54+P244+P116+P139</f>
        <v>40.727801465558962</v>
      </c>
      <c r="Q266" s="19">
        <f t="shared" si="1909"/>
        <v>45.210318958877963</v>
      </c>
      <c r="R266" s="19">
        <f>R72+R92+R54+R244+R116+R139</f>
        <v>85.938120424436931</v>
      </c>
      <c r="S266" s="19">
        <f t="shared" si="1909"/>
        <v>53.750013738778648</v>
      </c>
      <c r="T266" s="19">
        <f t="shared" si="1909"/>
        <v>63.576654139960368</v>
      </c>
      <c r="U266" s="19">
        <f>U72+U92+U54+U244+U116+U139</f>
        <v>117.32666787873902</v>
      </c>
      <c r="V266" s="19">
        <f t="shared" si="1909"/>
        <v>76.400186866589465</v>
      </c>
      <c r="W266" s="19">
        <f t="shared" si="1909"/>
        <v>80.126685736765367</v>
      </c>
      <c r="X266" s="19">
        <f t="shared" si="1909"/>
        <v>156.52687260335483</v>
      </c>
      <c r="Y266" s="19">
        <f t="shared" si="1909"/>
        <v>99.260378057373515</v>
      </c>
      <c r="Z266" s="19">
        <f t="shared" si="1909"/>
        <v>107.04477822935185</v>
      </c>
      <c r="AA266" s="19">
        <f t="shared" si="1909"/>
        <v>206.30515628672535</v>
      </c>
      <c r="AB266" s="19">
        <f t="shared" si="1909"/>
        <v>121.13500942239124</v>
      </c>
      <c r="AC266" s="19">
        <f t="shared" si="1909"/>
        <v>135.91188181815471</v>
      </c>
      <c r="AD266" s="19">
        <f>AD72+AD92+AD54+AD244+AD116+AD139</f>
        <v>257.04689124054602</v>
      </c>
      <c r="AE266" s="19">
        <f t="shared" si="1909"/>
        <v>145.89390873558639</v>
      </c>
      <c r="AF266" s="19">
        <f t="shared" si="1909"/>
        <v>162.4615762688141</v>
      </c>
      <c r="AG266" s="19">
        <f t="shared" si="1909"/>
        <v>308.35548500440052</v>
      </c>
      <c r="AH266" s="19">
        <f t="shared" si="1909"/>
        <v>173.29856627973751</v>
      </c>
      <c r="AI266" s="19">
        <f t="shared" si="1909"/>
        <v>191.81622582222141</v>
      </c>
      <c r="AJ266" s="19">
        <f t="shared" si="1909"/>
        <v>365.11479210195893</v>
      </c>
      <c r="AK266" s="19">
        <f t="shared" si="1909"/>
        <v>203.57366410784221</v>
      </c>
      <c r="AL266" s="19">
        <f t="shared" si="1909"/>
        <v>224.21282985255823</v>
      </c>
      <c r="AM266" s="19">
        <f t="shared" si="1909"/>
        <v>427.78649396040038</v>
      </c>
      <c r="AN266" s="19">
        <f t="shared" si="1909"/>
        <v>229.8694885634257</v>
      </c>
      <c r="AO266" s="19">
        <f t="shared" si="1909"/>
        <v>251.16106228946072</v>
      </c>
      <c r="AP266" s="19">
        <f t="shared" si="1909"/>
        <v>481.03055085288651</v>
      </c>
      <c r="AQ266" s="19">
        <f t="shared" si="1909"/>
        <v>253.48716230484555</v>
      </c>
      <c r="AR266" s="19">
        <f t="shared" si="1909"/>
        <v>276.38726365106749</v>
      </c>
      <c r="AS266" s="19">
        <f>AS72+AS92+AS54+AS244+AS116+AS139</f>
        <v>529.87442595591301</v>
      </c>
      <c r="AT266" s="19">
        <f>AT72+AT92+AT54+AT244+AT116+AT139</f>
        <v>277.78669283978633</v>
      </c>
      <c r="AU266" s="19">
        <f t="shared" si="1909"/>
        <v>302.34069425489434</v>
      </c>
      <c r="AV266" s="19">
        <f t="shared" si="1909"/>
        <v>580.12738709468067</v>
      </c>
    </row>
    <row r="267" spans="1:55" outlineLevel="1" x14ac:dyDescent="0.25">
      <c r="A267" t="s">
        <v>701</v>
      </c>
      <c r="B267" s="11" t="s">
        <v>691</v>
      </c>
      <c r="F267" s="19">
        <f>F169+F249+F173</f>
        <v>-2.895</v>
      </c>
      <c r="G267" s="19">
        <f t="shared" ref="G267:AV267" si="1910">G169+G249+G173</f>
        <v>-1.7415</v>
      </c>
      <c r="H267" s="19">
        <f t="shared" si="1910"/>
        <v>-2.5265</v>
      </c>
      <c r="I267" s="19">
        <f t="shared" si="1910"/>
        <v>-4.2679999999999998</v>
      </c>
      <c r="J267" s="19">
        <f t="shared" si="1910"/>
        <v>-3.1040000000000001</v>
      </c>
      <c r="K267" s="19">
        <f t="shared" si="1910"/>
        <v>-3.3895999999999997</v>
      </c>
      <c r="L267" s="361">
        <f t="shared" si="1910"/>
        <v>-6.4935999999999998</v>
      </c>
      <c r="M267" s="19">
        <f t="shared" si="1910"/>
        <v>-4.9695999999999998</v>
      </c>
      <c r="N267" s="19">
        <f t="shared" si="1910"/>
        <v>-8.2478999999999996</v>
      </c>
      <c r="O267" s="19">
        <f t="shared" si="1910"/>
        <v>-13.217499999999999</v>
      </c>
      <c r="P267" s="19">
        <f t="shared" si="1910"/>
        <v>-6.9913984374999991</v>
      </c>
      <c r="Q267" s="19">
        <f t="shared" si="1910"/>
        <v>-7.0696890625000002</v>
      </c>
      <c r="R267" s="19">
        <f t="shared" si="1910"/>
        <v>-14.061087499999999</v>
      </c>
      <c r="S267" s="19">
        <f t="shared" si="1910"/>
        <v>-5.3891432031249984</v>
      </c>
      <c r="T267" s="19">
        <f t="shared" si="1910"/>
        <v>-5.2545080468750003</v>
      </c>
      <c r="U267" s="19">
        <f t="shared" si="1910"/>
        <v>-10.64365125</v>
      </c>
      <c r="V267" s="19">
        <f t="shared" si="1910"/>
        <v>-4.6473897999999991</v>
      </c>
      <c r="W267" s="19">
        <f t="shared" si="1910"/>
        <v>-4.409748200000001</v>
      </c>
      <c r="X267" s="19">
        <f t="shared" si="1910"/>
        <v>-9.0571380000000001</v>
      </c>
      <c r="Y267" s="19">
        <f t="shared" si="1910"/>
        <v>-4.2425104221249992</v>
      </c>
      <c r="Z267" s="19">
        <f t="shared" si="1910"/>
        <v>-4.0022195828750009</v>
      </c>
      <c r="AA267" s="19">
        <f t="shared" si="1910"/>
        <v>-8.244730005000001</v>
      </c>
      <c r="AB267" s="19">
        <f t="shared" si="1910"/>
        <v>-3.7870685878825001</v>
      </c>
      <c r="AC267" s="19">
        <f t="shared" si="1910"/>
        <v>-3.5443626328175015</v>
      </c>
      <c r="AD267" s="19">
        <f t="shared" si="1910"/>
        <v>-7.3314312207000016</v>
      </c>
      <c r="AE267" s="19">
        <f t="shared" si="1910"/>
        <v>-3.2770778187580372</v>
      </c>
      <c r="AF267" s="19">
        <f t="shared" si="1910"/>
        <v>-3.0322180550554645</v>
      </c>
      <c r="AG267" s="19">
        <f t="shared" si="1910"/>
        <v>-6.3092958738135012</v>
      </c>
      <c r="AH267" s="19">
        <f t="shared" si="1910"/>
        <v>-2.7082811215869507</v>
      </c>
      <c r="AI267" s="19">
        <f t="shared" si="1910"/>
        <v>-2.4615580876813317</v>
      </c>
      <c r="AJ267" s="19">
        <f t="shared" si="1910"/>
        <v>-5.1698392092682823</v>
      </c>
      <c r="AK267" s="19">
        <f t="shared" si="1910"/>
        <v>-2.0761339550974531</v>
      </c>
      <c r="AL267" s="19">
        <f t="shared" si="1910"/>
        <v>-1.8278696024206829</v>
      </c>
      <c r="AM267" s="19">
        <f t="shared" si="1910"/>
        <v>-3.904003557518136</v>
      </c>
      <c r="AN267" s="19">
        <f t="shared" si="1910"/>
        <v>-2.0762108604633007</v>
      </c>
      <c r="AO267" s="19">
        <f t="shared" si="1910"/>
        <v>-1.8210431250697954</v>
      </c>
      <c r="AP267" s="19">
        <f t="shared" si="1910"/>
        <v>-3.8972539855330961</v>
      </c>
      <c r="AQ267" s="19">
        <f t="shared" si="1910"/>
        <v>-2.0729547173257696</v>
      </c>
      <c r="AR267" s="19">
        <f t="shared" si="1910"/>
        <v>-1.8107037251272056</v>
      </c>
      <c r="AS267" s="19">
        <f t="shared" si="1910"/>
        <v>-3.8836584424529752</v>
      </c>
      <c r="AT267" s="19">
        <f t="shared" si="1910"/>
        <v>-2.0660987664465416</v>
      </c>
      <c r="AU267" s="19">
        <f t="shared" si="1910"/>
        <v>-1.7965806085016029</v>
      </c>
      <c r="AV267" s="19">
        <f t="shared" si="1910"/>
        <v>-3.8626793749481445</v>
      </c>
    </row>
    <row r="268" spans="1:55" s="62" customFormat="1" outlineLevel="1" x14ac:dyDescent="0.25">
      <c r="B268" s="51" t="s">
        <v>692</v>
      </c>
      <c r="C268" s="56"/>
      <c r="D268" s="12"/>
      <c r="E268" s="12"/>
      <c r="F268" s="52">
        <f>F266+F267</f>
        <v>15.432199999999995</v>
      </c>
      <c r="G268" s="12"/>
      <c r="H268" s="12"/>
      <c r="I268" s="52">
        <f t="shared" ref="I268:AV268" si="1911">I266+I267</f>
        <v>26.459999999999997</v>
      </c>
      <c r="J268" s="52">
        <f t="shared" si="1911"/>
        <v>20.000999999999998</v>
      </c>
      <c r="K268" s="52">
        <f t="shared" si="1911"/>
        <v>19.033999999999985</v>
      </c>
      <c r="L268" s="373">
        <f t="shared" si="1911"/>
        <v>39.034999999999982</v>
      </c>
      <c r="M268" s="52">
        <f t="shared" si="1911"/>
        <v>26.819580000000002</v>
      </c>
      <c r="N268" s="52">
        <f t="shared" si="1911"/>
        <v>26.273220000000002</v>
      </c>
      <c r="O268" s="52">
        <f t="shared" si="1911"/>
        <v>53.092800000000011</v>
      </c>
      <c r="P268" s="52">
        <f t="shared" si="1911"/>
        <v>33.736403028058959</v>
      </c>
      <c r="Q268" s="52">
        <f t="shared" si="1911"/>
        <v>38.140629896377959</v>
      </c>
      <c r="R268" s="52">
        <f t="shared" si="1911"/>
        <v>71.877032924436932</v>
      </c>
      <c r="S268" s="52">
        <f t="shared" si="1911"/>
        <v>48.360870535653646</v>
      </c>
      <c r="T268" s="52">
        <f t="shared" si="1911"/>
        <v>58.322146093085365</v>
      </c>
      <c r="U268" s="52">
        <f t="shared" si="1911"/>
        <v>106.68301662873901</v>
      </c>
      <c r="V268" s="52">
        <f t="shared" si="1911"/>
        <v>71.752797066589466</v>
      </c>
      <c r="W268" s="52">
        <f t="shared" si="1911"/>
        <v>75.716937536765371</v>
      </c>
      <c r="X268" s="52">
        <f t="shared" si="1911"/>
        <v>147.46973460335482</v>
      </c>
      <c r="Y268" s="52">
        <f t="shared" si="1911"/>
        <v>95.017867635248521</v>
      </c>
      <c r="Z268" s="52">
        <f t="shared" si="1911"/>
        <v>103.04255864647685</v>
      </c>
      <c r="AA268" s="52">
        <f t="shared" si="1911"/>
        <v>198.06042628172534</v>
      </c>
      <c r="AB268" s="52">
        <f t="shared" si="1911"/>
        <v>117.34794083450873</v>
      </c>
      <c r="AC268" s="52">
        <f t="shared" si="1911"/>
        <v>132.36751918533722</v>
      </c>
      <c r="AD268" s="52">
        <f t="shared" si="1911"/>
        <v>249.71546001984601</v>
      </c>
      <c r="AE268" s="52">
        <f t="shared" si="1911"/>
        <v>142.61683091682835</v>
      </c>
      <c r="AF268" s="52">
        <f t="shared" si="1911"/>
        <v>159.42935821375863</v>
      </c>
      <c r="AG268" s="52">
        <f t="shared" si="1911"/>
        <v>302.04618913058704</v>
      </c>
      <c r="AH268" s="52">
        <f t="shared" si="1911"/>
        <v>170.59028515815055</v>
      </c>
      <c r="AI268" s="52">
        <f t="shared" si="1911"/>
        <v>189.35466773454007</v>
      </c>
      <c r="AJ268" s="52">
        <f t="shared" si="1911"/>
        <v>359.94495289269065</v>
      </c>
      <c r="AK268" s="52">
        <f t="shared" si="1911"/>
        <v>201.49753015274476</v>
      </c>
      <c r="AL268" s="52">
        <f t="shared" si="1911"/>
        <v>222.38496025013754</v>
      </c>
      <c r="AM268" s="52">
        <f t="shared" si="1911"/>
        <v>423.88249040288224</v>
      </c>
      <c r="AN268" s="52">
        <f t="shared" si="1911"/>
        <v>227.7932777029624</v>
      </c>
      <c r="AO268" s="52">
        <f t="shared" si="1911"/>
        <v>249.34001916439092</v>
      </c>
      <c r="AP268" s="52">
        <f t="shared" si="1911"/>
        <v>477.13329686735341</v>
      </c>
      <c r="AQ268" s="52">
        <f t="shared" si="1911"/>
        <v>251.4142075875198</v>
      </c>
      <c r="AR268" s="52">
        <f t="shared" si="1911"/>
        <v>274.57655992594027</v>
      </c>
      <c r="AS268" s="52">
        <f t="shared" si="1911"/>
        <v>525.99076751346001</v>
      </c>
      <c r="AT268" s="52">
        <f t="shared" si="1911"/>
        <v>275.72059407333978</v>
      </c>
      <c r="AU268" s="52">
        <f t="shared" si="1911"/>
        <v>300.54411364639276</v>
      </c>
      <c r="AV268" s="52">
        <f t="shared" si="1911"/>
        <v>576.26470771973254</v>
      </c>
      <c r="AX268"/>
      <c r="AY268"/>
      <c r="AZ268"/>
      <c r="BA268"/>
      <c r="BB268"/>
      <c r="BC268"/>
    </row>
    <row r="269" spans="1:55" s="62" customFormat="1" outlineLevel="1" x14ac:dyDescent="0.25">
      <c r="B269" s="51"/>
      <c r="C269" s="56"/>
      <c r="D269" s="12"/>
      <c r="E269" s="12"/>
      <c r="F269" s="52"/>
      <c r="G269" s="12"/>
      <c r="H269" s="12"/>
      <c r="I269" s="52"/>
      <c r="J269" s="12"/>
      <c r="K269" s="12"/>
      <c r="L269" s="373"/>
      <c r="M269" s="12"/>
      <c r="N269" s="12"/>
      <c r="O269" s="52"/>
      <c r="P269" s="52"/>
      <c r="Q269" s="52"/>
      <c r="R269" s="110">
        <f>+R266/O266-1</f>
        <v>0.29599957207910266</v>
      </c>
      <c r="S269" s="52"/>
      <c r="T269" s="52"/>
      <c r="U269" s="110">
        <f>+U266/R266-1</f>
        <v>0.36524591530834316</v>
      </c>
      <c r="V269" s="52"/>
      <c r="W269" s="52"/>
      <c r="X269" s="110">
        <f>+X266/U266-1</f>
        <v>0.33411163406712041</v>
      </c>
      <c r="Y269" s="52"/>
      <c r="Z269" s="52"/>
      <c r="AA269" s="110">
        <f>+AA266/X266-1</f>
        <v>0.31801749345309305</v>
      </c>
      <c r="AB269" s="52"/>
      <c r="AC269" s="52"/>
      <c r="AD269" s="52"/>
      <c r="AE269" s="52"/>
      <c r="AF269" s="52"/>
      <c r="AG269" s="52"/>
      <c r="AH269" s="52"/>
      <c r="AI269" s="52"/>
      <c r="AJ269" s="52"/>
      <c r="AK269" s="52"/>
      <c r="AL269" s="52"/>
      <c r="AM269" s="52"/>
      <c r="AN269" s="52"/>
      <c r="AO269" s="52"/>
      <c r="AP269" s="52"/>
      <c r="AQ269" s="52"/>
      <c r="AR269" s="52"/>
      <c r="AS269" s="52"/>
      <c r="AT269" s="52"/>
      <c r="AU269" s="52"/>
      <c r="AV269" s="52"/>
      <c r="AX269"/>
      <c r="AY269"/>
      <c r="AZ269"/>
      <c r="BA269"/>
      <c r="BB269"/>
      <c r="BC269"/>
    </row>
    <row r="270" spans="1:55" outlineLevel="1" x14ac:dyDescent="0.25">
      <c r="B270" s="48" t="s">
        <v>694</v>
      </c>
      <c r="F270" s="18">
        <f>F266/(F10+F11+F12)</f>
        <v>3.2006985679357315E-2</v>
      </c>
      <c r="G270" s="18">
        <f>G266/G10</f>
        <v>0</v>
      </c>
      <c r="H270" s="18">
        <f>H266/H10</f>
        <v>0</v>
      </c>
      <c r="I270" s="18">
        <f>I266/(I10+I11+I12)</f>
        <v>4.0807436918990699E-2</v>
      </c>
      <c r="J270" s="18">
        <f>J266/J10</f>
        <v>5.2678978568171442E-2</v>
      </c>
      <c r="K270" s="18">
        <f>K266/K10</f>
        <v>4.9174561403508732E-2</v>
      </c>
      <c r="L270" s="314">
        <f>L266/(L10+L11+L12)</f>
        <v>4.7980398355991133E-2</v>
      </c>
      <c r="M270" s="18">
        <f>M266/M10</f>
        <v>5.9065737643998514E-2</v>
      </c>
      <c r="N270" s="18">
        <f>N266/N10</f>
        <v>6.2043709561466591E-2</v>
      </c>
      <c r="O270" s="18">
        <f t="shared" ref="O270:AV270" si="1912">O266/(O10+O11+O12)</f>
        <v>5.6753081136597071E-2</v>
      </c>
      <c r="P270" s="18">
        <f>P266/(P10+P11+P12)</f>
        <v>6.024098158695388E-2</v>
      </c>
      <c r="Q270" s="18">
        <f t="shared" si="1912"/>
        <v>6.2467747304291672E-2</v>
      </c>
      <c r="R270" s="18">
        <f>R266/(R10+R11+R12)</f>
        <v>6.1392269891323632E-2</v>
      </c>
      <c r="S270" s="18">
        <f t="shared" si="1912"/>
        <v>6.7569733566505197E-2</v>
      </c>
      <c r="T270" s="18">
        <f t="shared" si="1912"/>
        <v>7.2702037155617391E-2</v>
      </c>
      <c r="U270" s="18">
        <f>U266/(U10+U11+U12)</f>
        <v>7.0257293160840339E-2</v>
      </c>
      <c r="V270" s="18">
        <f t="shared" si="1912"/>
        <v>8.0887150470429645E-2</v>
      </c>
      <c r="W270" s="18">
        <f t="shared" si="1912"/>
        <v>7.717365874871579E-2</v>
      </c>
      <c r="X270" s="18">
        <f t="shared" si="1912"/>
        <v>7.8942626885935646E-2</v>
      </c>
      <c r="Y270" s="18">
        <f t="shared" si="1912"/>
        <v>8.8716479506237261E-2</v>
      </c>
      <c r="Z270" s="18">
        <f t="shared" si="1912"/>
        <v>8.754614246491875E-2</v>
      </c>
      <c r="AA270" s="18">
        <f t="shared" si="1912"/>
        <v>8.8105352280103799E-2</v>
      </c>
      <c r="AB270" s="18">
        <f t="shared" si="1912"/>
        <v>9.2842058126763646E-2</v>
      </c>
      <c r="AC270" s="18">
        <f t="shared" si="1912"/>
        <v>9.6210607608109816E-2</v>
      </c>
      <c r="AD270" s="18">
        <f>AD266/(AD10+AD11+AD12)</f>
        <v>9.4593214905329168E-2</v>
      </c>
      <c r="AE270" s="18">
        <f t="shared" si="1912"/>
        <v>9.7758902829526373E-2</v>
      </c>
      <c r="AF270" s="18">
        <f t="shared" si="1912"/>
        <v>0.10084820917097914</v>
      </c>
      <c r="AG270" s="18">
        <f>AG266/(AG10+AG11+AG12)</f>
        <v>9.9362571303316036E-2</v>
      </c>
      <c r="AH270" s="18">
        <f t="shared" si="1912"/>
        <v>0.10221870648287425</v>
      </c>
      <c r="AI270" s="18">
        <f t="shared" si="1912"/>
        <v>0.10508210999991097</v>
      </c>
      <c r="AJ270" s="18">
        <f t="shared" si="1912"/>
        <v>0.10370328161816732</v>
      </c>
      <c r="AK270" s="18">
        <f t="shared" si="1912"/>
        <v>0.10631717226892792</v>
      </c>
      <c r="AL270" s="18">
        <f t="shared" si="1912"/>
        <v>0.10899431989969308</v>
      </c>
      <c r="AM270" s="18">
        <f t="shared" si="1912"/>
        <v>0.10770371264353792</v>
      </c>
      <c r="AN270" s="18">
        <f t="shared" si="1912"/>
        <v>0.10903538847765808</v>
      </c>
      <c r="AO270" s="18">
        <f t="shared" si="1912"/>
        <v>0.11149272915967341</v>
      </c>
      <c r="AP270" s="18">
        <f t="shared" si="1912"/>
        <v>0.1103047717644933</v>
      </c>
      <c r="AQ270" s="18">
        <f t="shared" si="1912"/>
        <v>0.11044069559641398</v>
      </c>
      <c r="AR270" s="18">
        <f t="shared" si="1912"/>
        <v>0.11283448811408232</v>
      </c>
      <c r="AS270" s="18">
        <f t="shared" si="1912"/>
        <v>0.11167650507953716</v>
      </c>
      <c r="AT270" s="18">
        <f>AT266/(AT10+AT11+AT12)</f>
        <v>0.111493095855161</v>
      </c>
      <c r="AU270" s="18">
        <f t="shared" si="1912"/>
        <v>0.11383369311375327</v>
      </c>
      <c r="AV270" s="18">
        <f t="shared" si="1912"/>
        <v>0.1127007874792451</v>
      </c>
    </row>
    <row r="271" spans="1:55" outlineLevel="1" x14ac:dyDescent="0.25">
      <c r="B271" s="48" t="s">
        <v>695</v>
      </c>
      <c r="F271" s="14">
        <f t="shared" ref="F271:AV271" si="1913">F267/F13</f>
        <v>-1.1579999999999999</v>
      </c>
      <c r="G271" s="14">
        <f t="shared" si="1913"/>
        <v>-1.161</v>
      </c>
      <c r="H271" s="14">
        <f t="shared" si="1913"/>
        <v>-0.56144444444444441</v>
      </c>
      <c r="I271" s="14">
        <f t="shared" si="1913"/>
        <v>-0.71133333333333326</v>
      </c>
      <c r="J271" s="14">
        <f t="shared" si="1913"/>
        <v>-0.55428571428571438</v>
      </c>
      <c r="K271" s="14">
        <f t="shared" si="1913"/>
        <v>-0.65184615384615363</v>
      </c>
      <c r="L271" s="311">
        <f t="shared" si="1913"/>
        <v>-0.60125925925925916</v>
      </c>
      <c r="M271" s="14">
        <f t="shared" si="1913"/>
        <v>-1.014204081632653</v>
      </c>
      <c r="N271" s="14">
        <f t="shared" si="1913"/>
        <v>-1.1298493150684932</v>
      </c>
      <c r="O271" s="14">
        <f t="shared" si="1913"/>
        <v>-1.0834016393442623</v>
      </c>
      <c r="P271" s="14">
        <f t="shared" si="1913"/>
        <v>-0.86745279361017391</v>
      </c>
      <c r="Q271" s="14">
        <f t="shared" si="1913"/>
        <v>-0.78641118071150007</v>
      </c>
      <c r="R271" s="14">
        <f>R267/R13</f>
        <v>-0.82472139945452949</v>
      </c>
      <c r="S271" s="14">
        <f t="shared" si="1913"/>
        <v>-0.45852914587762006</v>
      </c>
      <c r="T271" s="14">
        <f t="shared" si="1913"/>
        <v>-0.40313112194635425</v>
      </c>
      <c r="U271" s="14">
        <f t="shared" si="1913"/>
        <v>-0.42939851375802573</v>
      </c>
      <c r="V271" s="14">
        <f t="shared" si="1913"/>
        <v>-0.26675016905459642</v>
      </c>
      <c r="W271" s="14">
        <f t="shared" si="1913"/>
        <v>-0.25519326314973195</v>
      </c>
      <c r="X271" s="14">
        <f t="shared" si="1913"/>
        <v>-0.26099539828639545</v>
      </c>
      <c r="Y271" s="14">
        <f t="shared" si="1913"/>
        <v>-0.23191520422675005</v>
      </c>
      <c r="Z271" s="14">
        <f t="shared" si="1913"/>
        <v>-0.2205804544783479</v>
      </c>
      <c r="AA271" s="14">
        <f t="shared" si="1913"/>
        <v>-0.22627105629875474</v>
      </c>
      <c r="AB271" s="14">
        <f t="shared" si="1913"/>
        <v>-0.19716062012071064</v>
      </c>
      <c r="AC271" s="14">
        <f t="shared" si="1913"/>
        <v>-0.18604369857267541</v>
      </c>
      <c r="AD271" s="14">
        <f t="shared" si="1913"/>
        <v>-0.19162493992363572</v>
      </c>
      <c r="AE271" s="14">
        <f t="shared" si="1913"/>
        <v>-0.16248544347731711</v>
      </c>
      <c r="AF271" s="14">
        <f t="shared" si="1913"/>
        <v>-0.15158210920177717</v>
      </c>
      <c r="AG271" s="14">
        <f t="shared" si="1913"/>
        <v>-0.15705611923765275</v>
      </c>
      <c r="AH271" s="14">
        <f t="shared" si="1913"/>
        <v>-0.12788869301366851</v>
      </c>
      <c r="AI271" s="14">
        <f t="shared" si="1913"/>
        <v>-0.11719479023467785</v>
      </c>
      <c r="AJ271" s="14">
        <f t="shared" si="1913"/>
        <v>-0.12256365535937604</v>
      </c>
      <c r="AK271" s="14">
        <f t="shared" si="1913"/>
        <v>-9.3369380840814281E-2</v>
      </c>
      <c r="AL271" s="14">
        <f t="shared" si="1913"/>
        <v>-8.2880837104204338E-2</v>
      </c>
      <c r="AM271" s="14">
        <f t="shared" si="1913"/>
        <v>-8.8146601890002368E-2</v>
      </c>
      <c r="AN271" s="14">
        <f t="shared" si="1913"/>
        <v>-8.8926513794210515E-2</v>
      </c>
      <c r="AO271" s="14">
        <f t="shared" si="1913"/>
        <v>-7.8639338182216287E-2</v>
      </c>
      <c r="AP271" s="14">
        <f t="shared" si="1913"/>
        <v>-8.3804006266106831E-2</v>
      </c>
      <c r="AQ271" s="14">
        <f t="shared" si="1913"/>
        <v>-8.4559094681470284E-2</v>
      </c>
      <c r="AR271" s="14">
        <f t="shared" si="1913"/>
        <v>-7.4469376070805893E-2</v>
      </c>
      <c r="AS271" s="14">
        <f t="shared" si="1913"/>
        <v>-7.9534911029028793E-2</v>
      </c>
      <c r="AT271" s="14">
        <f>AT267/AT13</f>
        <v>-8.0266123451716201E-2</v>
      </c>
      <c r="AU271" s="14">
        <f t="shared" si="1913"/>
        <v>-7.0370028813823052E-2</v>
      </c>
      <c r="AV271" s="14">
        <f t="shared" si="1913"/>
        <v>-7.5338355015224318E-2</v>
      </c>
    </row>
    <row r="272" spans="1:55" s="62" customFormat="1" outlineLevel="1" x14ac:dyDescent="0.25">
      <c r="B272" s="48" t="s">
        <v>696</v>
      </c>
      <c r="C272" s="56"/>
      <c r="D272" s="12"/>
      <c r="E272" s="12"/>
      <c r="F272" s="18">
        <f t="shared" ref="F272:AV272" si="1914">F268/F14</f>
        <v>2.6833941923143798E-2</v>
      </c>
      <c r="G272" s="18">
        <f t="shared" si="1914"/>
        <v>0</v>
      </c>
      <c r="H272" s="18">
        <f t="shared" si="1914"/>
        <v>0</v>
      </c>
      <c r="I272" s="18">
        <f t="shared" si="1914"/>
        <v>3.4861660079051379E-2</v>
      </c>
      <c r="J272" s="18">
        <f t="shared" si="1914"/>
        <v>4.2501062473438156E-2</v>
      </c>
      <c r="K272" s="18">
        <f t="shared" si="1914"/>
        <v>3.8916377019014486E-2</v>
      </c>
      <c r="L272" s="314">
        <f t="shared" si="1914"/>
        <v>4.06741690111493E-2</v>
      </c>
      <c r="M272" s="18">
        <f t="shared" si="1914"/>
        <v>4.6408686623983383E-2</v>
      </c>
      <c r="N272" s="18">
        <f t="shared" si="1914"/>
        <v>4.359253359880539E-2</v>
      </c>
      <c r="O272" s="18">
        <f t="shared" si="1914"/>
        <v>4.4971031678807401E-2</v>
      </c>
      <c r="P272" s="18">
        <f t="shared" si="1914"/>
        <v>4.9312061960496339E-2</v>
      </c>
      <c r="Q272" s="18">
        <f t="shared" si="1914"/>
        <v>5.2052889032136798E-2</v>
      </c>
      <c r="R272" s="18">
        <f t="shared" si="1914"/>
        <v>5.0729469831661149E-2</v>
      </c>
      <c r="S272" s="18">
        <f t="shared" si="1914"/>
        <v>5.9909817025490003E-2</v>
      </c>
      <c r="T272" s="18">
        <f t="shared" si="1914"/>
        <v>6.5713859810632075E-2</v>
      </c>
      <c r="U272" s="18">
        <f t="shared" si="1914"/>
        <v>6.2949322261489263E-2</v>
      </c>
      <c r="V272" s="18">
        <f t="shared" si="1914"/>
        <v>7.4590956078798579E-2</v>
      </c>
      <c r="W272" s="18">
        <f t="shared" si="1914"/>
        <v>7.1732570902849402E-2</v>
      </c>
      <c r="X272" s="18">
        <f t="shared" si="1914"/>
        <v>7.309546127926829E-2</v>
      </c>
      <c r="Y272" s="18">
        <f t="shared" si="1914"/>
        <v>8.3558434282391264E-2</v>
      </c>
      <c r="Z272" s="18">
        <f t="shared" si="1914"/>
        <v>8.3040700076822793E-2</v>
      </c>
      <c r="AA272" s="18">
        <f t="shared" si="1914"/>
        <v>8.3288275771958242E-2</v>
      </c>
      <c r="AB272" s="18">
        <f t="shared" si="1914"/>
        <v>8.8634664581426784E-2</v>
      </c>
      <c r="AC272" s="18">
        <f>AC268/AC14</f>
        <v>9.2454729712862116E-2</v>
      </c>
      <c r="AD272" s="18">
        <f>AD268/AD14</f>
        <v>9.0619382224404604E-2</v>
      </c>
      <c r="AE272" s="18">
        <f t="shared" si="1914"/>
        <v>9.4288795529067437E-2</v>
      </c>
      <c r="AF272" s="18">
        <f t="shared" si="1914"/>
        <v>9.7752130881116672E-2</v>
      </c>
      <c r="AG272" s="18">
        <f t="shared" si="1914"/>
        <v>9.6085687430997685E-2</v>
      </c>
      <c r="AH272" s="18">
        <f t="shared" si="1914"/>
        <v>9.9379895871149759E-2</v>
      </c>
      <c r="AI272" s="18">
        <f t="shared" si="1914"/>
        <v>0.10255356401100428</v>
      </c>
      <c r="AJ272" s="18">
        <f t="shared" si="1914"/>
        <v>0.10102456164934308</v>
      </c>
      <c r="AK272" s="18">
        <f t="shared" si="1914"/>
        <v>0.1040248943591236</v>
      </c>
      <c r="AL272" s="18">
        <f t="shared" si="1914"/>
        <v>0.10695905025637166</v>
      </c>
      <c r="AM272" s="18">
        <f t="shared" si="1914"/>
        <v>0.1055438976364742</v>
      </c>
      <c r="AN272" s="18">
        <f t="shared" si="1914"/>
        <v>0.1068670614953364</v>
      </c>
      <c r="AO272" s="18">
        <f t="shared" si="1914"/>
        <v>0.10955814147401058</v>
      </c>
      <c r="AP272" s="18">
        <f t="shared" si="1914"/>
        <v>0.10825665837323328</v>
      </c>
      <c r="AQ272" s="18">
        <f t="shared" si="1914"/>
        <v>0.10837995752288844</v>
      </c>
      <c r="AR272" s="18">
        <f t="shared" si="1914"/>
        <v>0.11099350200458688</v>
      </c>
      <c r="AS272" s="18">
        <f t="shared" si="1914"/>
        <v>0.10972872791745207</v>
      </c>
      <c r="AT272" s="18">
        <f>AT268/AT14</f>
        <v>0.10953223052075672</v>
      </c>
      <c r="AU272" s="18">
        <f t="shared" si="1914"/>
        <v>0.11207990585323675</v>
      </c>
      <c r="AV272" s="18">
        <f t="shared" si="1914"/>
        <v>0.11084631653815083</v>
      </c>
      <c r="AX272"/>
      <c r="AY272"/>
      <c r="AZ272"/>
      <c r="BA272"/>
      <c r="BB272"/>
      <c r="BC272"/>
    </row>
    <row r="273" spans="1:49" outlineLevel="1" x14ac:dyDescent="0.25">
      <c r="B273" s="48"/>
      <c r="M273" s="8"/>
      <c r="O273" s="15"/>
      <c r="R273" s="15"/>
      <c r="U273" s="15"/>
      <c r="X273" s="15"/>
      <c r="AA273" s="18"/>
    </row>
    <row r="274" spans="1:49" outlineLevel="1" x14ac:dyDescent="0.25">
      <c r="B274" s="51" t="s">
        <v>81</v>
      </c>
      <c r="M274" s="8"/>
    </row>
    <row r="275" spans="1:49" outlineLevel="1" x14ac:dyDescent="0.25">
      <c r="A275" t="s">
        <v>665</v>
      </c>
      <c r="B275" s="11" t="s">
        <v>89</v>
      </c>
      <c r="C275" s="22" t="s">
        <v>28</v>
      </c>
      <c r="F275" s="19">
        <f t="shared" ref="F275:AV275" si="1915">+F72+F169</f>
        <v>19.232199999999995</v>
      </c>
      <c r="G275" s="19">
        <f t="shared" si="1915"/>
        <v>13.540699999999999</v>
      </c>
      <c r="H275" s="19">
        <f t="shared" si="1915"/>
        <v>16.2193</v>
      </c>
      <c r="I275" s="19">
        <f t="shared" si="1915"/>
        <v>29.759999999999998</v>
      </c>
      <c r="J275" s="19">
        <f t="shared" si="1915"/>
        <v>23.400999999999996</v>
      </c>
      <c r="K275" s="19">
        <f t="shared" si="1915"/>
        <v>24.133999999999993</v>
      </c>
      <c r="L275" s="309">
        <f t="shared" si="1915"/>
        <v>47.534999999999989</v>
      </c>
      <c r="M275" s="41">
        <f t="shared" si="1915"/>
        <v>30.383579999999995</v>
      </c>
      <c r="N275" s="19">
        <f t="shared" si="1915"/>
        <v>28.885219999999997</v>
      </c>
      <c r="O275" s="170">
        <f t="shared" si="1915"/>
        <v>59.268799999999992</v>
      </c>
      <c r="P275" s="19">
        <f t="shared" si="1915"/>
        <v>39.58583971385405</v>
      </c>
      <c r="Q275" s="19">
        <f t="shared" si="1915"/>
        <v>42.319244329877982</v>
      </c>
      <c r="R275" s="19">
        <f>+R72+R169</f>
        <v>81.905084043732032</v>
      </c>
      <c r="S275" s="19">
        <f t="shared" si="1915"/>
        <v>50.836823863573294</v>
      </c>
      <c r="T275" s="19">
        <f t="shared" si="1915"/>
        <v>56.772360745680317</v>
      </c>
      <c r="U275" s="19">
        <f t="shared" si="1915"/>
        <v>107.60918460925362</v>
      </c>
      <c r="V275" s="19">
        <f t="shared" si="1915"/>
        <v>64.412347696316388</v>
      </c>
      <c r="W275" s="19">
        <f t="shared" si="1915"/>
        <v>71.865816455074409</v>
      </c>
      <c r="X275" s="19">
        <f t="shared" si="1915"/>
        <v>136.2781641513908</v>
      </c>
      <c r="Y275" s="19">
        <f t="shared" si="1915"/>
        <v>80.375078739368703</v>
      </c>
      <c r="Z275" s="19">
        <f t="shared" si="1915"/>
        <v>88.957279676510154</v>
      </c>
      <c r="AA275" s="19">
        <f t="shared" si="1915"/>
        <v>169.33235841587884</v>
      </c>
      <c r="AB275" s="19">
        <f t="shared" si="1915"/>
        <v>97.585391136633149</v>
      </c>
      <c r="AC275" s="19">
        <f t="shared" si="1915"/>
        <v>106.7888953180021</v>
      </c>
      <c r="AD275" s="19">
        <f t="shared" si="1915"/>
        <v>204.37428645463527</v>
      </c>
      <c r="AE275" s="19">
        <f t="shared" si="1915"/>
        <v>114.62143246112983</v>
      </c>
      <c r="AF275" s="19">
        <f t="shared" si="1915"/>
        <v>124.94466325696597</v>
      </c>
      <c r="AG275" s="19">
        <f t="shared" si="1915"/>
        <v>239.5660957180958</v>
      </c>
      <c r="AH275" s="19">
        <f t="shared" si="1915"/>
        <v>133.44185220126002</v>
      </c>
      <c r="AI275" s="19">
        <f t="shared" si="1915"/>
        <v>144.98958972190741</v>
      </c>
      <c r="AJ275" s="19">
        <f t="shared" si="1915"/>
        <v>278.43144192316743</v>
      </c>
      <c r="AK275" s="19">
        <f t="shared" si="1915"/>
        <v>154.20643785828966</v>
      </c>
      <c r="AL275" s="19">
        <f t="shared" si="1915"/>
        <v>167.09212177321277</v>
      </c>
      <c r="AM275" s="19">
        <f t="shared" si="1915"/>
        <v>321.29855963150243</v>
      </c>
      <c r="AN275" s="19">
        <f t="shared" si="1915"/>
        <v>172.7478951191724</v>
      </c>
      <c r="AO275" s="19">
        <f t="shared" si="1915"/>
        <v>186.09585771825405</v>
      </c>
      <c r="AP275" s="19">
        <f t="shared" si="1915"/>
        <v>358.84375283742645</v>
      </c>
      <c r="AQ275" s="19">
        <f t="shared" si="1915"/>
        <v>189.08904423098286</v>
      </c>
      <c r="AR275" s="19">
        <f t="shared" si="1915"/>
        <v>203.43746852520133</v>
      </c>
      <c r="AS275" s="19">
        <f t="shared" si="1915"/>
        <v>392.52651275618416</v>
      </c>
      <c r="AT275" s="19">
        <f t="shared" si="1915"/>
        <v>206.35992593805497</v>
      </c>
      <c r="AU275" s="19">
        <f t="shared" si="1915"/>
        <v>221.76257244795647</v>
      </c>
      <c r="AV275" s="19">
        <f t="shared" si="1915"/>
        <v>428.12249838601144</v>
      </c>
    </row>
    <row r="276" spans="1:49" outlineLevel="1" x14ac:dyDescent="0.25">
      <c r="A276" t="s">
        <v>666</v>
      </c>
      <c r="B276" s="11" t="s">
        <v>90</v>
      </c>
      <c r="C276" s="22" t="s">
        <v>28</v>
      </c>
      <c r="F276" s="17">
        <f t="shared" ref="F276:L276" si="1916">+F92+F116+F139+F54</f>
        <v>33.4</v>
      </c>
      <c r="G276" s="17">
        <f t="shared" si="1916"/>
        <v>21</v>
      </c>
      <c r="H276" s="17">
        <f t="shared" si="1916"/>
        <v>25.8</v>
      </c>
      <c r="I276" s="174">
        <f t="shared" si="1916"/>
        <v>46.8</v>
      </c>
      <c r="J276" s="174">
        <f t="shared" si="1916"/>
        <v>29.5</v>
      </c>
      <c r="K276" s="19">
        <f t="shared" si="1916"/>
        <v>31.200000000000003</v>
      </c>
      <c r="L276" s="309">
        <f t="shared" si="1916"/>
        <v>60.7</v>
      </c>
      <c r="M276" s="41">
        <f t="shared" ref="M276:AV276" si="1917">M55</f>
        <v>38.200000000000003</v>
      </c>
      <c r="N276" s="41">
        <f t="shared" si="1917"/>
        <v>40.724000000000004</v>
      </c>
      <c r="O276" s="170">
        <f t="shared" si="1917"/>
        <v>78.924000000000007</v>
      </c>
      <c r="P276" s="41">
        <f t="shared" si="1917"/>
        <v>41.421727689204914</v>
      </c>
      <c r="Q276" s="41">
        <f t="shared" si="1917"/>
        <v>43.292909941500014</v>
      </c>
      <c r="R276" s="41">
        <f>R55</f>
        <v>84.714637630704928</v>
      </c>
      <c r="S276" s="41">
        <f t="shared" si="1917"/>
        <v>49.465059709580359</v>
      </c>
      <c r="T276" s="41">
        <f t="shared" si="1917"/>
        <v>53.697169184905064</v>
      </c>
      <c r="U276" s="41">
        <f t="shared" si="1917"/>
        <v>103.16222889448542</v>
      </c>
      <c r="V276" s="41">
        <f t="shared" si="1917"/>
        <v>64.379794730523088</v>
      </c>
      <c r="W276" s="41">
        <f t="shared" si="1917"/>
        <v>61.215579246940962</v>
      </c>
      <c r="X276" s="41">
        <f t="shared" si="1917"/>
        <v>125.59537397746405</v>
      </c>
      <c r="Y276" s="41">
        <f t="shared" si="1917"/>
        <v>76.114067861734853</v>
      </c>
      <c r="Z276" s="41">
        <f t="shared" si="1917"/>
        <v>75.978369680544219</v>
      </c>
      <c r="AA276" s="41">
        <f t="shared" si="1917"/>
        <v>152.09243754227907</v>
      </c>
      <c r="AB276" s="41">
        <f t="shared" si="1917"/>
        <v>85.906436886585624</v>
      </c>
      <c r="AC276" s="41">
        <f t="shared" si="1917"/>
        <v>92.117561834583086</v>
      </c>
      <c r="AD276" s="41">
        <f t="shared" si="1917"/>
        <v>178.02399872116871</v>
      </c>
      <c r="AE276" s="41">
        <f t="shared" si="1917"/>
        <v>99.077035153001006</v>
      </c>
      <c r="AF276" s="41">
        <f t="shared" si="1917"/>
        <v>105.96352648470956</v>
      </c>
      <c r="AG276" s="41">
        <f t="shared" si="1917"/>
        <v>205.04056163771057</v>
      </c>
      <c r="AH276" s="41">
        <f t="shared" si="1917"/>
        <v>113.49837115465938</v>
      </c>
      <c r="AI276" s="41">
        <f t="shared" si="1917"/>
        <v>121.11427380258554</v>
      </c>
      <c r="AJ276" s="41">
        <f t="shared" si="1917"/>
        <v>234.61264495724492</v>
      </c>
      <c r="AK276" s="41">
        <f t="shared" si="1917"/>
        <v>129.2634381913214</v>
      </c>
      <c r="AL276" s="41">
        <f t="shared" si="1917"/>
        <v>137.66641881414145</v>
      </c>
      <c r="AM276" s="41">
        <f t="shared" si="1917"/>
        <v>266.92985700546285</v>
      </c>
      <c r="AN276" s="41">
        <f t="shared" si="1917"/>
        <v>143.00392259653879</v>
      </c>
      <c r="AO276" s="41">
        <f t="shared" si="1917"/>
        <v>151.57460035424444</v>
      </c>
      <c r="AP276" s="41">
        <f t="shared" si="1917"/>
        <v>294.57852295078322</v>
      </c>
      <c r="AQ276" s="41">
        <f t="shared" si="1917"/>
        <v>156.6284489230066</v>
      </c>
      <c r="AR276" s="41">
        <f t="shared" si="1917"/>
        <v>165.81559799852437</v>
      </c>
      <c r="AS276" s="41">
        <f t="shared" si="1917"/>
        <v>322.44404692153097</v>
      </c>
      <c r="AT276" s="41">
        <f t="shared" si="1917"/>
        <v>170.44251241059266</v>
      </c>
      <c r="AU276" s="41">
        <f t="shared" si="1917"/>
        <v>180.23782078263196</v>
      </c>
      <c r="AV276" s="41">
        <f t="shared" si="1917"/>
        <v>350.68033319322461</v>
      </c>
    </row>
    <row r="277" spans="1:49" outlineLevel="1" x14ac:dyDescent="0.25">
      <c r="B277" s="11" t="s">
        <v>91</v>
      </c>
      <c r="C277" s="22" t="s">
        <v>28</v>
      </c>
      <c r="F277" s="19">
        <f t="shared" ref="F277:AV277" si="1918">+F244+F249</f>
        <v>-37.200000000000003</v>
      </c>
      <c r="G277" s="19">
        <f t="shared" si="1918"/>
        <v>-22.9</v>
      </c>
      <c r="H277" s="19">
        <f t="shared" si="1918"/>
        <v>-27.200000000000003</v>
      </c>
      <c r="I277" s="19">
        <f t="shared" si="1918"/>
        <v>-50.1</v>
      </c>
      <c r="J277" s="19">
        <f t="shared" si="1918"/>
        <v>-32.9</v>
      </c>
      <c r="K277" s="19">
        <f t="shared" si="1918"/>
        <v>-36.300000000000004</v>
      </c>
      <c r="L277" s="309">
        <f t="shared" si="1918"/>
        <v>-69.2</v>
      </c>
      <c r="M277" s="41">
        <f t="shared" si="1918"/>
        <v>-41.9</v>
      </c>
      <c r="N277" s="19">
        <f t="shared" si="1918"/>
        <v>-43.5</v>
      </c>
      <c r="O277" s="170">
        <f t="shared" si="1918"/>
        <v>-85.4</v>
      </c>
      <c r="P277" s="19">
        <f t="shared" si="1918"/>
        <v>-47.421164375000004</v>
      </c>
      <c r="Q277" s="19">
        <f t="shared" si="1918"/>
        <v>-47.621524375000007</v>
      </c>
      <c r="R277" s="19">
        <f>+R244+R249</f>
        <v>-95.042688749999996</v>
      </c>
      <c r="S277" s="19">
        <f t="shared" si="1918"/>
        <v>-52.091013037500012</v>
      </c>
      <c r="T277" s="19">
        <f t="shared" si="1918"/>
        <v>-52.297383837500007</v>
      </c>
      <c r="U277" s="19">
        <f t="shared" si="1918"/>
        <v>-104.38839687500001</v>
      </c>
      <c r="V277" s="19">
        <f t="shared" si="1918"/>
        <v>-57.189345360250016</v>
      </c>
      <c r="W277" s="19">
        <f t="shared" si="1918"/>
        <v>-57.514458165250026</v>
      </c>
      <c r="X277" s="19">
        <f t="shared" si="1918"/>
        <v>-114.70380352550005</v>
      </c>
      <c r="Y277" s="19">
        <f t="shared" si="1918"/>
        <v>-61.621278965855012</v>
      </c>
      <c r="Z277" s="19">
        <f t="shared" si="1918"/>
        <v>-62.043090710577509</v>
      </c>
      <c r="AA277" s="19">
        <f t="shared" si="1918"/>
        <v>-123.66436967643253</v>
      </c>
      <c r="AB277" s="19">
        <f t="shared" si="1918"/>
        <v>-66.293887188710002</v>
      </c>
      <c r="AC277" s="19">
        <f t="shared" si="1918"/>
        <v>-66.688937967247981</v>
      </c>
      <c r="AD277" s="19">
        <f t="shared" si="1918"/>
        <v>-132.98282515595798</v>
      </c>
      <c r="AE277" s="19">
        <f t="shared" si="1918"/>
        <v>-71.231636697302463</v>
      </c>
      <c r="AF277" s="19">
        <f t="shared" si="1918"/>
        <v>-71.628831527916901</v>
      </c>
      <c r="AG277" s="19">
        <f t="shared" si="1918"/>
        <v>-142.86046822521936</v>
      </c>
      <c r="AH277" s="19">
        <f t="shared" si="1918"/>
        <v>-76.499938197768856</v>
      </c>
      <c r="AI277" s="19">
        <f t="shared" si="1918"/>
        <v>-76.89919578995287</v>
      </c>
      <c r="AJ277" s="19">
        <f t="shared" si="1918"/>
        <v>-153.39913398772171</v>
      </c>
      <c r="AK277" s="19">
        <f t="shared" si="1918"/>
        <v>-82.122345896866264</v>
      </c>
      <c r="AL277" s="19">
        <f t="shared" si="1918"/>
        <v>-82.523580337216686</v>
      </c>
      <c r="AM277" s="19">
        <f t="shared" si="1918"/>
        <v>-164.64592623408296</v>
      </c>
      <c r="AN277" s="19">
        <f t="shared" si="1918"/>
        <v>-88.108540012748719</v>
      </c>
      <c r="AO277" s="19">
        <f t="shared" si="1918"/>
        <v>-88.480438908107544</v>
      </c>
      <c r="AP277" s="19">
        <f t="shared" si="1918"/>
        <v>-176.58897892085628</v>
      </c>
      <c r="AQ277" s="19">
        <f t="shared" si="1918"/>
        <v>-94.453285566469674</v>
      </c>
      <c r="AR277" s="19">
        <f t="shared" si="1918"/>
        <v>-94.826506597785439</v>
      </c>
      <c r="AS277" s="19">
        <f t="shared" si="1918"/>
        <v>-189.2797921642551</v>
      </c>
      <c r="AT277" s="19">
        <f t="shared" si="1918"/>
        <v>-101.23184427530788</v>
      </c>
      <c r="AU277" s="19">
        <f t="shared" si="1918"/>
        <v>-101.6062795841957</v>
      </c>
      <c r="AV277" s="19">
        <f t="shared" si="1918"/>
        <v>-202.83812385950358</v>
      </c>
    </row>
    <row r="278" spans="1:49" outlineLevel="1" x14ac:dyDescent="0.25">
      <c r="A278" t="s">
        <v>558</v>
      </c>
      <c r="B278" s="51" t="s">
        <v>81</v>
      </c>
      <c r="C278" s="22" t="s">
        <v>28</v>
      </c>
      <c r="D278" s="12"/>
      <c r="E278" s="12"/>
      <c r="F278" s="57">
        <f t="shared" ref="F278:L278" si="1919">+F275+F276+F277</f>
        <v>15.432199999999995</v>
      </c>
      <c r="G278" s="57">
        <f t="shared" si="1919"/>
        <v>11.640700000000002</v>
      </c>
      <c r="H278" s="57">
        <f t="shared" si="1919"/>
        <v>14.819299999999998</v>
      </c>
      <c r="I278" s="57">
        <f t="shared" si="1919"/>
        <v>26.46</v>
      </c>
      <c r="J278" s="57">
        <f t="shared" si="1919"/>
        <v>20.000999999999998</v>
      </c>
      <c r="K278" s="52">
        <f t="shared" si="1919"/>
        <v>19.033999999999992</v>
      </c>
      <c r="L278" s="312">
        <f t="shared" si="1919"/>
        <v>39.034999999999982</v>
      </c>
      <c r="M278" s="41">
        <f>+M275+M276+M277</f>
        <v>26.683579999999999</v>
      </c>
      <c r="N278" s="19">
        <f t="shared" ref="N278:X278" si="1920">+N275+N276+N277</f>
        <v>26.109219999999993</v>
      </c>
      <c r="O278" s="170">
        <f>+O275+O276+O277</f>
        <v>52.7928</v>
      </c>
      <c r="P278" s="19">
        <f>+P275+P276+P277</f>
        <v>33.586403028058967</v>
      </c>
      <c r="Q278" s="19">
        <f>+Q275+Q276+Q277</f>
        <v>37.990629896377982</v>
      </c>
      <c r="R278" s="19">
        <f>+R275+R276+R277</f>
        <v>71.577032924436963</v>
      </c>
      <c r="S278" s="19">
        <f t="shared" si="1920"/>
        <v>48.210870535653633</v>
      </c>
      <c r="T278" s="19">
        <f t="shared" si="1920"/>
        <v>58.172146093085374</v>
      </c>
      <c r="U278" s="19">
        <f t="shared" si="1920"/>
        <v>106.38301662873903</v>
      </c>
      <c r="V278" s="19">
        <f t="shared" si="1920"/>
        <v>71.602797066589446</v>
      </c>
      <c r="W278" s="19">
        <f t="shared" si="1920"/>
        <v>75.566937536765323</v>
      </c>
      <c r="X278" s="19">
        <f t="shared" si="1920"/>
        <v>147.16973460335481</v>
      </c>
      <c r="Y278" s="19">
        <f t="shared" ref="Y278:AA278" si="1921">+Y275+Y276+Y277</f>
        <v>94.867867635248544</v>
      </c>
      <c r="Z278" s="19">
        <f t="shared" si="1921"/>
        <v>102.89255864647689</v>
      </c>
      <c r="AA278" s="19">
        <f t="shared" si="1921"/>
        <v>197.76042628172539</v>
      </c>
      <c r="AB278" s="19">
        <f t="shared" ref="AB278:AP278" si="1922">+AB275+AB276+AB277</f>
        <v>117.19794083450877</v>
      </c>
      <c r="AC278" s="19">
        <f t="shared" si="1922"/>
        <v>132.21751918533721</v>
      </c>
      <c r="AD278" s="19">
        <f t="shared" si="1922"/>
        <v>249.41546001984597</v>
      </c>
      <c r="AE278" s="19">
        <f t="shared" si="1922"/>
        <v>142.46683091682837</v>
      </c>
      <c r="AF278" s="19">
        <f t="shared" si="1922"/>
        <v>159.27935821375863</v>
      </c>
      <c r="AG278" s="19">
        <f t="shared" si="1922"/>
        <v>301.74618913058703</v>
      </c>
      <c r="AH278" s="19">
        <f t="shared" si="1922"/>
        <v>170.44028515815052</v>
      </c>
      <c r="AI278" s="19">
        <f t="shared" si="1922"/>
        <v>189.2046677345401</v>
      </c>
      <c r="AJ278" s="19">
        <f t="shared" si="1922"/>
        <v>359.64495289269064</v>
      </c>
      <c r="AK278" s="19">
        <f t="shared" si="1922"/>
        <v>201.34753015274481</v>
      </c>
      <c r="AL278" s="19">
        <f t="shared" si="1922"/>
        <v>222.23496025013753</v>
      </c>
      <c r="AM278" s="19">
        <f t="shared" si="1922"/>
        <v>423.58249040288229</v>
      </c>
      <c r="AN278" s="19">
        <f t="shared" si="1922"/>
        <v>227.64327770296245</v>
      </c>
      <c r="AO278" s="19">
        <f t="shared" si="1922"/>
        <v>249.19001916439095</v>
      </c>
      <c r="AP278" s="19">
        <f t="shared" si="1922"/>
        <v>476.83329686735334</v>
      </c>
      <c r="AQ278" s="19">
        <f t="shared" ref="AQ278:AS278" si="1923">+AQ275+AQ276+AQ277</f>
        <v>251.26420758751982</v>
      </c>
      <c r="AR278" s="19">
        <f t="shared" si="1923"/>
        <v>274.42655992594024</v>
      </c>
      <c r="AS278" s="19">
        <f t="shared" si="1923"/>
        <v>525.69076751345995</v>
      </c>
      <c r="AT278" s="19">
        <f t="shared" ref="AT278:AV278" si="1924">+AT275+AT276+AT277</f>
        <v>275.57059407333975</v>
      </c>
      <c r="AU278" s="19">
        <f t="shared" si="1924"/>
        <v>300.39411364639273</v>
      </c>
      <c r="AV278" s="19">
        <f t="shared" si="1924"/>
        <v>575.96470771973236</v>
      </c>
    </row>
    <row r="279" spans="1:49" outlineLevel="1" x14ac:dyDescent="0.25">
      <c r="B279" s="11"/>
    </row>
    <row r="280" spans="1:49" outlineLevel="1" x14ac:dyDescent="0.25">
      <c r="B280" s="48" t="s">
        <v>92</v>
      </c>
    </row>
    <row r="281" spans="1:49" outlineLevel="1" x14ac:dyDescent="0.25">
      <c r="B281" s="48" t="s">
        <v>93</v>
      </c>
      <c r="O281" s="19"/>
      <c r="R281" s="19"/>
    </row>
    <row r="282" spans="1:49" outlineLevel="1" x14ac:dyDescent="0.25">
      <c r="B282" s="11" t="s">
        <v>94</v>
      </c>
      <c r="C282" s="22" t="s">
        <v>28</v>
      </c>
      <c r="F282" s="45">
        <v>-1.4</v>
      </c>
      <c r="G282" s="45">
        <v>-2.8</v>
      </c>
      <c r="H282" s="52">
        <f>+I282-G282</f>
        <v>-3.8</v>
      </c>
      <c r="I282" s="45">
        <v>-6.6</v>
      </c>
      <c r="J282" s="45">
        <v>-3.6</v>
      </c>
      <c r="K282" s="52">
        <f>+L282-J282</f>
        <v>-7.5</v>
      </c>
      <c r="L282" s="354">
        <v>-11.1</v>
      </c>
      <c r="M282" s="441">
        <v>-4.5869999999999997</v>
      </c>
      <c r="N282" s="174">
        <f>+O282-M282</f>
        <v>-4.4310000000000009</v>
      </c>
      <c r="O282" s="170">
        <v>-9.0180000000000007</v>
      </c>
      <c r="P282" s="41">
        <f>+R282*52%</f>
        <v>-4.2204240000000004</v>
      </c>
      <c r="Q282" s="41">
        <f>+R282-P282</f>
        <v>-3.8957760000000006</v>
      </c>
      <c r="R282" s="41">
        <f>+O282*90%</f>
        <v>-8.116200000000001</v>
      </c>
      <c r="S282" s="41">
        <f>+U282*55%</f>
        <v>-4.017519000000001</v>
      </c>
      <c r="T282" s="41">
        <f t="shared" ref="T282" si="1925">+U282-S282</f>
        <v>-3.2870610000000005</v>
      </c>
      <c r="U282" s="41">
        <f>+R282*90%</f>
        <v>-7.3045800000000014</v>
      </c>
      <c r="V282" s="41">
        <f>+X282*55%</f>
        <v>-3.6157671000000011</v>
      </c>
      <c r="W282" s="41">
        <f t="shared" ref="W282" si="1926">+X282-V282</f>
        <v>-2.9583549000000007</v>
      </c>
      <c r="X282" s="41">
        <f>+U282*90%</f>
        <v>-6.5741220000000018</v>
      </c>
      <c r="Y282" s="41">
        <f>+AA282*45%</f>
        <v>-3.047105547000001</v>
      </c>
      <c r="Z282" s="41">
        <f t="shared" ref="Z282" si="1927">+AA282-Y282</f>
        <v>-3.7242401130000014</v>
      </c>
      <c r="AA282" s="41">
        <f>+X282*1.03</f>
        <v>-6.7713456600000024</v>
      </c>
      <c r="AB282" s="41">
        <f t="shared" ref="AB282" si="1928">+AD282*45%</f>
        <v>-3.1385187134100012</v>
      </c>
      <c r="AC282" s="41">
        <f t="shared" ref="AC282" si="1929">+AD282-AB282</f>
        <v>-3.835967316390001</v>
      </c>
      <c r="AD282" s="41">
        <f t="shared" ref="AD282" si="1930">+AA282*1.03</f>
        <v>-6.9744860298000022</v>
      </c>
      <c r="AE282" s="41">
        <f t="shared" ref="AE282" si="1931">+AG282*45%</f>
        <v>-3.2326742748123012</v>
      </c>
      <c r="AF282" s="41">
        <f t="shared" ref="AF282" si="1932">+AG282-AE282</f>
        <v>-3.951046335881701</v>
      </c>
      <c r="AG282" s="41">
        <f t="shared" ref="AG282" si="1933">+AD282*1.03</f>
        <v>-7.1837206106940021</v>
      </c>
      <c r="AH282" s="41">
        <f t="shared" ref="AH282" si="1934">+AJ282*45%</f>
        <v>-3.3296545030566702</v>
      </c>
      <c r="AI282" s="41">
        <f t="shared" ref="AI282" si="1935">+AJ282-AH282</f>
        <v>-4.0695777259581529</v>
      </c>
      <c r="AJ282" s="41">
        <f t="shared" ref="AJ282" si="1936">+AG282*1.03</f>
        <v>-7.3992322290148227</v>
      </c>
      <c r="AK282" s="41">
        <f t="shared" ref="AK282" si="1937">+AM282*45%</f>
        <v>-3.4295441381483704</v>
      </c>
      <c r="AL282" s="41">
        <f t="shared" ref="AL282" si="1938">+AM282-AK282</f>
        <v>-4.1916650577368966</v>
      </c>
      <c r="AM282" s="41">
        <f t="shared" ref="AM282" si="1939">+AJ282*1.03</f>
        <v>-7.6212091958852675</v>
      </c>
      <c r="AN282" s="41">
        <f t="shared" ref="AN282" si="1940">+AP282*45%</f>
        <v>-3.5324304622928215</v>
      </c>
      <c r="AO282" s="41">
        <f t="shared" ref="AO282" si="1941">+AP282-AN282</f>
        <v>-4.3174150094690038</v>
      </c>
      <c r="AP282" s="41">
        <f t="shared" ref="AP282" si="1942">+AM282*1.03</f>
        <v>-7.8498454717618253</v>
      </c>
      <c r="AQ282" s="41">
        <f t="shared" ref="AQ282" si="1943">+AS282*45%</f>
        <v>-3.6384033761616061</v>
      </c>
      <c r="AR282" s="41">
        <f t="shared" ref="AR282" si="1944">+AS282-AQ282</f>
        <v>-4.446937459753074</v>
      </c>
      <c r="AS282" s="41">
        <f t="shared" ref="AS282" si="1945">+AP282*1.03</f>
        <v>-8.0853408359146801</v>
      </c>
      <c r="AT282" s="41">
        <f t="shared" ref="AT282" si="1946">+AV282*45%</f>
        <v>-3.7475554774464541</v>
      </c>
      <c r="AU282" s="41">
        <f t="shared" ref="AU282:AU283" si="1947">+AV282-AT282</f>
        <v>-4.5803455835456663</v>
      </c>
      <c r="AV282" s="41">
        <f t="shared" ref="AV282:AV283" si="1948">+AS282*1.03</f>
        <v>-8.3279010609921205</v>
      </c>
    </row>
    <row r="283" spans="1:49" outlineLevel="1" x14ac:dyDescent="0.25">
      <c r="B283" s="11" t="s">
        <v>95</v>
      </c>
      <c r="C283" s="22" t="s">
        <v>28</v>
      </c>
      <c r="F283" s="45">
        <v>-0.3</v>
      </c>
      <c r="G283" s="45">
        <v>-0.4</v>
      </c>
      <c r="H283" s="52">
        <f>+I283-G283</f>
        <v>-1.2999999999999998</v>
      </c>
      <c r="I283" s="45">
        <v>-1.7</v>
      </c>
      <c r="J283" s="45">
        <v>0.1</v>
      </c>
      <c r="K283" s="52">
        <f>+L283-J283</f>
        <v>-0.4</v>
      </c>
      <c r="L283" s="354">
        <v>-0.3</v>
      </c>
      <c r="M283" s="441">
        <f>0.5985</f>
        <v>0.59850000000000003</v>
      </c>
      <c r="N283" s="174">
        <f>+O283-M283</f>
        <v>2.2595000000000001</v>
      </c>
      <c r="O283" s="175">
        <v>2.8580000000000001</v>
      </c>
      <c r="P283" s="41">
        <f>+R283*50%</f>
        <v>0</v>
      </c>
      <c r="Q283" s="41">
        <f>+R283-P283</f>
        <v>0</v>
      </c>
      <c r="R283" s="41">
        <v>0</v>
      </c>
      <c r="S283" s="41">
        <f>+U283*50%</f>
        <v>0</v>
      </c>
      <c r="T283" s="41">
        <f>+U283-S283</f>
        <v>0</v>
      </c>
      <c r="U283" s="41">
        <f>+R283*1.03</f>
        <v>0</v>
      </c>
      <c r="V283" s="41">
        <f>+X283*50%</f>
        <v>0</v>
      </c>
      <c r="W283" s="41">
        <f>+X283-V283</f>
        <v>0</v>
      </c>
      <c r="X283" s="41">
        <f>+U283*1.03</f>
        <v>0</v>
      </c>
      <c r="Y283" s="41">
        <f>+AA283*50%</f>
        <v>0</v>
      </c>
      <c r="Z283" s="41">
        <f>+AA283-Y283</f>
        <v>0</v>
      </c>
      <c r="AA283" s="41">
        <f>+X283*1.03</f>
        <v>0</v>
      </c>
      <c r="AB283" s="41">
        <f t="shared" ref="AB283" si="1949">+AD283*50%</f>
        <v>0</v>
      </c>
      <c r="AC283" s="41">
        <f t="shared" ref="AC283" si="1950">+AD283-AB283</f>
        <v>0</v>
      </c>
      <c r="AD283" s="41">
        <f t="shared" ref="AD283" si="1951">+AA283*1.03</f>
        <v>0</v>
      </c>
      <c r="AE283" s="41">
        <f t="shared" ref="AE283" si="1952">+AG283*50%</f>
        <v>0</v>
      </c>
      <c r="AF283" s="41">
        <f t="shared" ref="AF283" si="1953">+AG283-AE283</f>
        <v>0</v>
      </c>
      <c r="AG283" s="41">
        <f t="shared" ref="AG283" si="1954">+AD283*1.03</f>
        <v>0</v>
      </c>
      <c r="AH283" s="41">
        <f t="shared" ref="AH283" si="1955">+AJ283*50%</f>
        <v>0</v>
      </c>
      <c r="AI283" s="41">
        <f t="shared" ref="AI283" si="1956">+AJ283-AH283</f>
        <v>0</v>
      </c>
      <c r="AJ283" s="41">
        <f t="shared" ref="AJ283" si="1957">+AG283*1.03</f>
        <v>0</v>
      </c>
      <c r="AK283" s="41">
        <f t="shared" ref="AK283" si="1958">+AM283*50%</f>
        <v>0</v>
      </c>
      <c r="AL283" s="41">
        <f t="shared" ref="AL283" si="1959">+AM283-AK283</f>
        <v>0</v>
      </c>
      <c r="AM283" s="41">
        <f t="shared" ref="AM283" si="1960">+AJ283*1.03</f>
        <v>0</v>
      </c>
      <c r="AN283" s="41">
        <f t="shared" ref="AN283" si="1961">+AP283*50%</f>
        <v>0</v>
      </c>
      <c r="AO283" s="41">
        <f t="shared" ref="AO283" si="1962">+AP283-AN283</f>
        <v>0</v>
      </c>
      <c r="AP283" s="41">
        <f t="shared" ref="AP283" si="1963">+AM283*1.03</f>
        <v>0</v>
      </c>
      <c r="AQ283" s="41">
        <f t="shared" ref="AQ283" si="1964">+AS283*50%</f>
        <v>0</v>
      </c>
      <c r="AR283" s="41">
        <f t="shared" ref="AR283" si="1965">+AS283-AQ283</f>
        <v>0</v>
      </c>
      <c r="AS283" s="41">
        <f t="shared" ref="AS283" si="1966">+AP283*1.03</f>
        <v>0</v>
      </c>
      <c r="AT283" s="41">
        <f t="shared" ref="AT283" si="1967">+AV283*50%</f>
        <v>0</v>
      </c>
      <c r="AU283" s="41">
        <f t="shared" si="1947"/>
        <v>0</v>
      </c>
      <c r="AV283" s="41">
        <f t="shared" si="1948"/>
        <v>0</v>
      </c>
    </row>
    <row r="284" spans="1:49" outlineLevel="1" x14ac:dyDescent="0.25">
      <c r="B284" s="176" t="s">
        <v>96</v>
      </c>
      <c r="C284" s="22" t="s">
        <v>28</v>
      </c>
      <c r="F284" s="45">
        <v>8</v>
      </c>
      <c r="G284" s="45">
        <v>5.7</v>
      </c>
      <c r="H284" s="52">
        <f>+I284-G284</f>
        <v>5.4999999999999991</v>
      </c>
      <c r="I284" s="45">
        <v>11.2</v>
      </c>
      <c r="J284" s="45">
        <v>8.1999999999999993</v>
      </c>
      <c r="K284" s="52">
        <f>+L284-J284</f>
        <v>8.9000000000000021</v>
      </c>
      <c r="L284" s="354">
        <v>17.100000000000001</v>
      </c>
      <c r="M284" s="441">
        <v>9.3979999999999997</v>
      </c>
      <c r="N284" s="174">
        <f>+O284-M284</f>
        <v>9.0749999999999993</v>
      </c>
      <c r="O284" s="175">
        <v>18.472999999999999</v>
      </c>
      <c r="P284" s="19">
        <f>+P483</f>
        <v>11.164513333333332</v>
      </c>
      <c r="Q284" s="19">
        <f t="shared" ref="Q284:AA284" si="1968">+Q483</f>
        <v>10.727094827586207</v>
      </c>
      <c r="R284" s="19">
        <f t="shared" si="1968"/>
        <v>21.891608160919539</v>
      </c>
      <c r="S284" s="19">
        <f t="shared" si="1968"/>
        <v>13.73430258974359</v>
      </c>
      <c r="T284" s="19">
        <f t="shared" si="1968"/>
        <v>12.87621646551724</v>
      </c>
      <c r="U284" s="19">
        <f t="shared" si="1968"/>
        <v>26.610519055260831</v>
      </c>
      <c r="V284" s="19">
        <f t="shared" si="1968"/>
        <v>16.20592593194872</v>
      </c>
      <c r="W284" s="19">
        <f t="shared" si="1968"/>
        <v>14.935505676724137</v>
      </c>
      <c r="X284" s="19">
        <f t="shared" si="1968"/>
        <v>31.14143160867286</v>
      </c>
      <c r="Y284" s="19">
        <f t="shared" si="1968"/>
        <v>18.688698620446669</v>
      </c>
      <c r="Z284" s="19">
        <f t="shared" si="1968"/>
        <v>17.106763645784483</v>
      </c>
      <c r="AA284" s="19">
        <f t="shared" si="1968"/>
        <v>35.795462266231148</v>
      </c>
      <c r="AB284" s="19">
        <f t="shared" ref="AB284:AM284" si="1969">+AB483</f>
        <v>21.177321539549762</v>
      </c>
      <c r="AC284" s="19">
        <f t="shared" si="1969"/>
        <v>19.172994065039227</v>
      </c>
      <c r="AD284" s="19">
        <f t="shared" si="1969"/>
        <v>40.350315604588992</v>
      </c>
      <c r="AE284" s="19">
        <f t="shared" si="1969"/>
        <v>23.666055283753678</v>
      </c>
      <c r="AF284" s="19">
        <f t="shared" si="1969"/>
        <v>21.347802222168045</v>
      </c>
      <c r="AG284" s="19">
        <f t="shared" si="1969"/>
        <v>45.01385750592172</v>
      </c>
      <c r="AH284" s="19">
        <f t="shared" si="1969"/>
        <v>26.285053463224234</v>
      </c>
      <c r="AI284" s="19">
        <f t="shared" si="1969"/>
        <v>23.635843174066061</v>
      </c>
      <c r="AJ284" s="19">
        <f t="shared" si="1969"/>
        <v>49.920896637290298</v>
      </c>
      <c r="AK284" s="19">
        <f t="shared" si="1969"/>
        <v>29.039892083707649</v>
      </c>
      <c r="AL284" s="19">
        <f t="shared" si="1969"/>
        <v>26.041953561078003</v>
      </c>
      <c r="AM284" s="19">
        <f t="shared" si="1969"/>
        <v>55.081845644785652</v>
      </c>
      <c r="AN284" s="19">
        <f t="shared" ref="AN284:AS284" si="1970">+AN483</f>
        <v>31.791701928511433</v>
      </c>
      <c r="AO284" s="19">
        <f t="shared" si="1970"/>
        <v>28.321451720376338</v>
      </c>
      <c r="AP284" s="19">
        <f t="shared" si="1970"/>
        <v>60.113153648887767</v>
      </c>
      <c r="AQ284" s="19">
        <f t="shared" si="1970"/>
        <v>34.533482039992613</v>
      </c>
      <c r="AR284" s="19">
        <f t="shared" si="1970"/>
        <v>30.714282011027603</v>
      </c>
      <c r="AS284" s="19">
        <f t="shared" si="1970"/>
        <v>65.247764051020212</v>
      </c>
      <c r="AT284" s="19">
        <f t="shared" ref="AT284:AV284" si="1971">+AT483</f>
        <v>37.411156426427013</v>
      </c>
      <c r="AU284" s="19">
        <f t="shared" si="1971"/>
        <v>33.225192812569603</v>
      </c>
      <c r="AV284" s="19">
        <f t="shared" si="1971"/>
        <v>70.636349238996615</v>
      </c>
    </row>
    <row r="285" spans="1:49" outlineLevel="1" x14ac:dyDescent="0.25">
      <c r="B285" s="51" t="s">
        <v>80</v>
      </c>
      <c r="C285" s="22" t="s">
        <v>28</v>
      </c>
      <c r="F285" s="52">
        <f>+F278+F282+F283+F284</f>
        <v>21.732199999999992</v>
      </c>
      <c r="G285" s="52">
        <f>+G278+G282+G283+G284</f>
        <v>14.140700000000002</v>
      </c>
      <c r="H285" s="52">
        <f>+I285-G285</f>
        <v>15.219299999999997</v>
      </c>
      <c r="I285" s="52">
        <f>+I278+I282+I283+I284</f>
        <v>29.36</v>
      </c>
      <c r="J285" s="52">
        <f>+J278+J282+J283+J284</f>
        <v>24.700999999999997</v>
      </c>
      <c r="K285" s="52">
        <f>+L285-J285</f>
        <v>20.033999999999988</v>
      </c>
      <c r="L285" s="312">
        <f>+L278+L282+L283+L284</f>
        <v>44.734999999999985</v>
      </c>
      <c r="M285" s="52">
        <f>+M278+M282+M283+M284</f>
        <v>32.09308</v>
      </c>
      <c r="N285" s="17">
        <f t="shared" ref="N285:W285" si="1972">+N278+N282+N283+N284</f>
        <v>33.012719999999987</v>
      </c>
      <c r="O285" s="171">
        <f>+O278+O282+O283+O284</f>
        <v>65.105799999999988</v>
      </c>
      <c r="P285" s="19">
        <f t="shared" si="1972"/>
        <v>40.530492361392298</v>
      </c>
      <c r="Q285" s="19">
        <f t="shared" si="1972"/>
        <v>44.821948723964191</v>
      </c>
      <c r="R285" s="19">
        <f>+R278+R282+R283+R284</f>
        <v>85.352441085356503</v>
      </c>
      <c r="S285" s="19">
        <f t="shared" si="1972"/>
        <v>57.927654125397225</v>
      </c>
      <c r="T285" s="19">
        <f>+T278+T282+T283+T284</f>
        <v>67.761301558602611</v>
      </c>
      <c r="U285" s="19">
        <f t="shared" si="1972"/>
        <v>125.68895568399986</v>
      </c>
      <c r="V285" s="19">
        <f t="shared" si="1972"/>
        <v>84.192955898538173</v>
      </c>
      <c r="W285" s="19">
        <f t="shared" si="1972"/>
        <v>87.544088313489453</v>
      </c>
      <c r="X285" s="19">
        <f>+X278+X282+X283+X284</f>
        <v>171.73704421202768</v>
      </c>
      <c r="Y285" s="19">
        <f t="shared" ref="Y285" si="1973">+Y278+Y282+Y283+Y284</f>
        <v>110.50946070869522</v>
      </c>
      <c r="Z285" s="19">
        <f t="shared" ref="Z285" si="1974">+Z278+Z282+Z283+Z284</f>
        <v>116.27508217926136</v>
      </c>
      <c r="AA285" s="19">
        <f>+AA278+AA282+AA283+AA284</f>
        <v>226.78454288795652</v>
      </c>
      <c r="AB285" s="19">
        <f t="shared" ref="AB285:AP285" si="1975">+AB278+AB282+AB283+AB284</f>
        <v>135.23674366064853</v>
      </c>
      <c r="AC285" s="19">
        <f t="shared" si="1975"/>
        <v>147.55454593398645</v>
      </c>
      <c r="AD285" s="19">
        <f t="shared" si="1975"/>
        <v>282.79128959463497</v>
      </c>
      <c r="AE285" s="19">
        <f t="shared" si="1975"/>
        <v>162.90021192576975</v>
      </c>
      <c r="AF285" s="19">
        <f t="shared" si="1975"/>
        <v>176.67611410004497</v>
      </c>
      <c r="AG285" s="19">
        <f t="shared" si="1975"/>
        <v>339.57632602581475</v>
      </c>
      <c r="AH285" s="19">
        <f t="shared" si="1975"/>
        <v>193.39568411831809</v>
      </c>
      <c r="AI285" s="19">
        <f t="shared" si="1975"/>
        <v>208.77093318264801</v>
      </c>
      <c r="AJ285" s="19">
        <f t="shared" si="1975"/>
        <v>402.1666173009661</v>
      </c>
      <c r="AK285" s="19">
        <f t="shared" si="1975"/>
        <v>226.95787809830409</v>
      </c>
      <c r="AL285" s="19">
        <f t="shared" si="1975"/>
        <v>244.08524875347865</v>
      </c>
      <c r="AM285" s="19">
        <f t="shared" si="1975"/>
        <v>471.04312685178263</v>
      </c>
      <c r="AN285" s="19">
        <f t="shared" si="1975"/>
        <v>255.90254916918107</v>
      </c>
      <c r="AO285" s="19">
        <f t="shared" si="1975"/>
        <v>273.19405587529826</v>
      </c>
      <c r="AP285" s="19">
        <f t="shared" si="1975"/>
        <v>529.09660504447925</v>
      </c>
      <c r="AQ285" s="19">
        <f t="shared" ref="AQ285:AS285" si="1976">+AQ278+AQ282+AQ283+AQ284</f>
        <v>282.15928625135081</v>
      </c>
      <c r="AR285" s="19">
        <f t="shared" si="1976"/>
        <v>300.69390447721474</v>
      </c>
      <c r="AS285" s="19">
        <f t="shared" si="1976"/>
        <v>582.85319072856544</v>
      </c>
      <c r="AT285" s="19">
        <f t="shared" ref="AT285:AV285" si="1977">+AT278+AT282+AT283+AT284</f>
        <v>309.23419502232031</v>
      </c>
      <c r="AU285" s="19">
        <f t="shared" si="1977"/>
        <v>329.03896087541665</v>
      </c>
      <c r="AV285" s="19">
        <f t="shared" si="1977"/>
        <v>638.27315589773684</v>
      </c>
    </row>
    <row r="286" spans="1:49" outlineLevel="1" x14ac:dyDescent="0.25">
      <c r="B286" s="11" t="s">
        <v>97</v>
      </c>
      <c r="C286" s="22" t="s">
        <v>28</v>
      </c>
      <c r="F286" s="59">
        <f t="shared" ref="F286:M286" si="1978">+F260-F285</f>
        <v>-0.13220000000002585</v>
      </c>
      <c r="G286" s="59">
        <f t="shared" si="1978"/>
        <v>0.45179999999998444</v>
      </c>
      <c r="H286" s="59">
        <f t="shared" si="1978"/>
        <v>-0.51179999999995829</v>
      </c>
      <c r="I286" s="59">
        <f t="shared" si="1978"/>
        <v>-5.9999999999988063E-2</v>
      </c>
      <c r="J286" s="59">
        <f t="shared" si="1978"/>
        <v>0.86999999999997257</v>
      </c>
      <c r="K286" s="59">
        <f t="shared" si="1978"/>
        <v>-0.84599999999997166</v>
      </c>
      <c r="L286" s="387">
        <f t="shared" si="1978"/>
        <v>2.4000000000086175E-2</v>
      </c>
      <c r="M286" s="59">
        <f t="shared" si="1978"/>
        <v>-0.41108000000001255</v>
      </c>
      <c r="N286" s="18"/>
      <c r="O286" s="336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  <c r="AD286" s="18"/>
      <c r="AE286" s="18"/>
      <c r="AF286" s="18"/>
      <c r="AG286" s="18"/>
      <c r="AH286" s="18"/>
      <c r="AI286" s="18"/>
      <c r="AJ286" s="18"/>
      <c r="AK286" s="18"/>
      <c r="AL286" s="18"/>
      <c r="AM286" s="18"/>
      <c r="AN286" s="18"/>
      <c r="AO286" s="18"/>
      <c r="AP286" s="18"/>
      <c r="AQ286" s="18"/>
      <c r="AR286" s="18"/>
      <c r="AS286" s="18"/>
      <c r="AT286" s="18"/>
      <c r="AU286" s="18"/>
      <c r="AV286" s="18"/>
    </row>
    <row r="287" spans="1:49" outlineLevel="1" x14ac:dyDescent="0.25"/>
    <row r="288" spans="1:49" outlineLevel="1" x14ac:dyDescent="0.25">
      <c r="B288" s="8" t="s">
        <v>234</v>
      </c>
      <c r="C288" s="22" t="s">
        <v>28</v>
      </c>
      <c r="F288" s="19">
        <f>+F389</f>
        <v>14.4</v>
      </c>
      <c r="G288" s="19">
        <f>+G389</f>
        <v>12.550000000000002</v>
      </c>
      <c r="H288" s="19">
        <f t="shared" ref="H288:AA288" si="1979">+H389</f>
        <v>12.950000000000003</v>
      </c>
      <c r="I288" s="19">
        <f t="shared" si="1979"/>
        <v>25.500000000000004</v>
      </c>
      <c r="J288" s="19">
        <f>+J389</f>
        <v>15.903500000000001</v>
      </c>
      <c r="K288" s="19">
        <f t="shared" ref="K288:L288" si="1980">+K389</f>
        <v>15.2195</v>
      </c>
      <c r="L288" s="309">
        <f t="shared" si="1980"/>
        <v>31.123000000000001</v>
      </c>
      <c r="M288" s="41">
        <f t="shared" ref="M288" si="1981">+M389</f>
        <v>19.079999999999998</v>
      </c>
      <c r="N288" s="19">
        <f t="shared" si="1979"/>
        <v>20.600999999999999</v>
      </c>
      <c r="O288" s="170">
        <f>+O389</f>
        <v>39.681000000000004</v>
      </c>
      <c r="P288" s="19">
        <f t="shared" si="1979"/>
        <v>23.636060884138406</v>
      </c>
      <c r="Q288" s="19">
        <f t="shared" si="1979"/>
        <v>25.042784062025323</v>
      </c>
      <c r="R288" s="19">
        <f t="shared" si="1979"/>
        <v>48.678844946163736</v>
      </c>
      <c r="S288" s="19">
        <f t="shared" si="1979"/>
        <v>28.364530553279938</v>
      </c>
      <c r="T288" s="19">
        <f t="shared" si="1979"/>
        <v>30.096671760314262</v>
      </c>
      <c r="U288" s="19">
        <f t="shared" si="1979"/>
        <v>58.4612023135942</v>
      </c>
      <c r="V288" s="19">
        <f t="shared" si="1979"/>
        <v>33.73595112015952</v>
      </c>
      <c r="W288" s="19">
        <f t="shared" si="1979"/>
        <v>35.743003987614586</v>
      </c>
      <c r="X288" s="19">
        <f t="shared" si="1979"/>
        <v>69.478955107774112</v>
      </c>
      <c r="Y288" s="19">
        <f t="shared" si="1979"/>
        <v>39.386736005169254</v>
      </c>
      <c r="Z288" s="19">
        <f t="shared" si="1979"/>
        <v>41.737179169989403</v>
      </c>
      <c r="AA288" s="19">
        <f t="shared" si="1979"/>
        <v>81.123915175158658</v>
      </c>
      <c r="AB288" s="19">
        <f t="shared" ref="AB288:AP288" si="1982">+AB389</f>
        <v>45.137307091232266</v>
      </c>
      <c r="AC288" s="19">
        <f t="shared" si="1982"/>
        <v>47.83829791874669</v>
      </c>
      <c r="AD288" s="19">
        <f t="shared" si="1982"/>
        <v>92.975605009978949</v>
      </c>
      <c r="AE288" s="19">
        <f t="shared" si="1982"/>
        <v>50.969655174267693</v>
      </c>
      <c r="AF288" s="19">
        <f t="shared" si="1982"/>
        <v>53.996457712194356</v>
      </c>
      <c r="AG288" s="19">
        <f t="shared" si="1982"/>
        <v>104.96611288646206</v>
      </c>
      <c r="AH288" s="19">
        <f t="shared" si="1982"/>
        <v>57.177471189638744</v>
      </c>
      <c r="AI288" s="19">
        <f t="shared" si="1982"/>
        <v>60.545559828610862</v>
      </c>
      <c r="AJ288" s="19">
        <f t="shared" si="1982"/>
        <v>117.72303101824961</v>
      </c>
      <c r="AK288" s="19">
        <f t="shared" si="1982"/>
        <v>63.778715258388097</v>
      </c>
      <c r="AL288" s="19">
        <f t="shared" si="1982"/>
        <v>67.50376771361185</v>
      </c>
      <c r="AM288" s="19">
        <f t="shared" si="1982"/>
        <v>131.28248297199994</v>
      </c>
      <c r="AN288" s="19">
        <f t="shared" si="1982"/>
        <v>69.211537459061745</v>
      </c>
      <c r="AO288" s="19">
        <f t="shared" si="1982"/>
        <v>73.194748019047083</v>
      </c>
      <c r="AP288" s="19">
        <f t="shared" si="1982"/>
        <v>142.40628547810883</v>
      </c>
      <c r="AQ288" s="19">
        <f t="shared" ref="AQ288:AS288" si="1983">+AQ389</f>
        <v>74.455763681325621</v>
      </c>
      <c r="AR288" s="19">
        <f t="shared" si="1983"/>
        <v>78.700527045866423</v>
      </c>
      <c r="AS288" s="19">
        <f t="shared" si="1983"/>
        <v>153.15629072719204</v>
      </c>
      <c r="AT288" s="19">
        <f t="shared" ref="AT288:AV288" si="1984">+AT389</f>
        <v>79.852085075420518</v>
      </c>
      <c r="AU288" s="19">
        <f t="shared" si="1984"/>
        <v>84.359988464726911</v>
      </c>
      <c r="AV288" s="19">
        <f t="shared" si="1984"/>
        <v>164.2120735401474</v>
      </c>
      <c r="AW288" s="19"/>
    </row>
    <row r="289" spans="1:49" outlineLevel="1" x14ac:dyDescent="0.25">
      <c r="F289" s="19"/>
      <c r="G289" s="19"/>
      <c r="H289" s="19"/>
      <c r="I289" s="19"/>
      <c r="J289" s="19"/>
      <c r="K289" s="19"/>
      <c r="L289" s="309"/>
      <c r="M289" s="41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  <c r="AC289" s="19"/>
      <c r="AD289" s="19"/>
      <c r="AE289" s="19"/>
      <c r="AF289" s="19"/>
      <c r="AG289" s="19"/>
      <c r="AH289" s="19"/>
      <c r="AI289" s="19"/>
      <c r="AJ289" s="19"/>
      <c r="AK289" s="19"/>
      <c r="AL289" s="19"/>
      <c r="AM289" s="19"/>
      <c r="AN289" s="19"/>
      <c r="AO289" s="19"/>
      <c r="AP289" s="19"/>
      <c r="AQ289" s="19"/>
      <c r="AR289" s="19"/>
      <c r="AS289" s="19"/>
      <c r="AT289" s="19"/>
      <c r="AU289" s="19"/>
      <c r="AV289" s="19"/>
      <c r="AW289" s="19"/>
    </row>
    <row r="290" spans="1:49" outlineLevel="1" x14ac:dyDescent="0.25">
      <c r="A290" t="s">
        <v>570</v>
      </c>
      <c r="B290" s="8" t="s">
        <v>70</v>
      </c>
      <c r="C290" s="22" t="s">
        <v>28</v>
      </c>
      <c r="F290" s="19">
        <f t="shared" ref="F290:AA290" si="1985">+F285-F288</f>
        <v>7.3321999999999914</v>
      </c>
      <c r="G290" s="19">
        <f t="shared" si="1985"/>
        <v>1.5907</v>
      </c>
      <c r="H290" s="19">
        <f t="shared" si="1985"/>
        <v>2.2692999999999941</v>
      </c>
      <c r="I290" s="19">
        <f t="shared" si="1985"/>
        <v>3.8599999999999959</v>
      </c>
      <c r="J290" s="19">
        <f t="shared" si="1985"/>
        <v>8.7974999999999959</v>
      </c>
      <c r="K290" s="19">
        <f t="shared" ref="K290:L290" si="1986">+K285-K288</f>
        <v>4.8144999999999882</v>
      </c>
      <c r="L290" s="309">
        <f t="shared" si="1986"/>
        <v>13.611999999999984</v>
      </c>
      <c r="M290" s="41">
        <f t="shared" ref="M290" si="1987">+M285-M288</f>
        <v>13.013080000000002</v>
      </c>
      <c r="N290" s="19">
        <f t="shared" si="1985"/>
        <v>12.411719999999988</v>
      </c>
      <c r="O290" s="19">
        <f>+O285-O288</f>
        <v>25.424799999999983</v>
      </c>
      <c r="P290" s="19">
        <f t="shared" si="1985"/>
        <v>16.894431477253892</v>
      </c>
      <c r="Q290" s="19">
        <f t="shared" si="1985"/>
        <v>19.779164661938868</v>
      </c>
      <c r="R290" s="19">
        <f>+R285-R288</f>
        <v>36.673596139192767</v>
      </c>
      <c r="S290" s="19">
        <f t="shared" si="1985"/>
        <v>29.563123572117288</v>
      </c>
      <c r="T290" s="19">
        <f t="shared" si="1985"/>
        <v>37.664629798288345</v>
      </c>
      <c r="U290" s="19">
        <f>+U285-U288</f>
        <v>67.227753370405665</v>
      </c>
      <c r="V290" s="19">
        <f t="shared" si="1985"/>
        <v>50.457004778378653</v>
      </c>
      <c r="W290" s="19">
        <f t="shared" si="1985"/>
        <v>51.801084325874868</v>
      </c>
      <c r="X290" s="19">
        <f t="shared" si="1985"/>
        <v>102.25808910425357</v>
      </c>
      <c r="Y290" s="19">
        <f t="shared" si="1985"/>
        <v>71.122724703525961</v>
      </c>
      <c r="Z290" s="19">
        <f t="shared" si="1985"/>
        <v>74.537903009271957</v>
      </c>
      <c r="AA290" s="19">
        <f t="shared" si="1985"/>
        <v>145.66062771279786</v>
      </c>
      <c r="AB290" s="19">
        <f t="shared" ref="AB290:AP290" si="1988">+AB285-AB288</f>
        <v>90.09943656941627</v>
      </c>
      <c r="AC290" s="19">
        <f t="shared" si="1988"/>
        <v>99.716248015239756</v>
      </c>
      <c r="AD290" s="19">
        <f t="shared" si="1988"/>
        <v>189.81568458465603</v>
      </c>
      <c r="AE290" s="19">
        <f t="shared" si="1988"/>
        <v>111.93055675150205</v>
      </c>
      <c r="AF290" s="19">
        <f t="shared" si="1988"/>
        <v>122.67965638785061</v>
      </c>
      <c r="AG290" s="19">
        <f t="shared" si="1988"/>
        <v>234.61021313935271</v>
      </c>
      <c r="AH290" s="19">
        <f t="shared" si="1988"/>
        <v>136.21821292867935</v>
      </c>
      <c r="AI290" s="19">
        <f t="shared" si="1988"/>
        <v>148.22537335403715</v>
      </c>
      <c r="AJ290" s="19">
        <f t="shared" si="1988"/>
        <v>284.44358628271647</v>
      </c>
      <c r="AK290" s="19">
        <f t="shared" si="1988"/>
        <v>163.17916283991599</v>
      </c>
      <c r="AL290" s="19">
        <f t="shared" si="1988"/>
        <v>176.58148103986679</v>
      </c>
      <c r="AM290" s="19">
        <f t="shared" si="1988"/>
        <v>339.76064387978272</v>
      </c>
      <c r="AN290" s="19">
        <f t="shared" si="1988"/>
        <v>186.69101171011931</v>
      </c>
      <c r="AO290" s="19">
        <f t="shared" si="1988"/>
        <v>199.99930785625116</v>
      </c>
      <c r="AP290" s="19">
        <f t="shared" si="1988"/>
        <v>386.69031956637042</v>
      </c>
      <c r="AQ290" s="19">
        <f t="shared" ref="AQ290:AS290" si="1989">+AQ285-AQ288</f>
        <v>207.7035225700252</v>
      </c>
      <c r="AR290" s="19">
        <f t="shared" si="1989"/>
        <v>221.99337743134834</v>
      </c>
      <c r="AS290" s="19">
        <f t="shared" si="1989"/>
        <v>429.69690000137336</v>
      </c>
      <c r="AT290" s="19">
        <f t="shared" ref="AT290:AV290" si="1990">+AT285-AT288</f>
        <v>229.38210994689979</v>
      </c>
      <c r="AU290" s="19">
        <f t="shared" si="1990"/>
        <v>244.67897241068974</v>
      </c>
      <c r="AV290" s="19">
        <f t="shared" si="1990"/>
        <v>474.06108235758944</v>
      </c>
      <c r="AW290" s="19"/>
    </row>
    <row r="291" spans="1:49" outlineLevel="1" x14ac:dyDescent="0.25">
      <c r="AW291" s="8"/>
    </row>
    <row r="292" spans="1:49" outlineLevel="1" x14ac:dyDescent="0.25">
      <c r="B292" s="16" t="s">
        <v>490</v>
      </c>
      <c r="C292" s="22" t="s">
        <v>28</v>
      </c>
      <c r="F292" s="19">
        <f>+F474</f>
        <v>-1.5999999999999999</v>
      </c>
      <c r="G292" s="19">
        <f t="shared" ref="G292:H292" si="1991">+G474</f>
        <v>1.6</v>
      </c>
      <c r="H292" s="19">
        <f t="shared" si="1991"/>
        <v>2.2999999999999994</v>
      </c>
      <c r="I292" s="19">
        <f>+I474</f>
        <v>3.8999999999999995</v>
      </c>
      <c r="J292" s="8">
        <f t="shared" ref="J292:AA292" si="1992">+J474</f>
        <v>1.3084999999999996</v>
      </c>
      <c r="K292" s="19">
        <f t="shared" si="1992"/>
        <v>1.3084999999999996</v>
      </c>
      <c r="L292" s="309">
        <f>+L474</f>
        <v>2.6169999999999991</v>
      </c>
      <c r="M292" s="41">
        <f>+M474</f>
        <v>2.6929999999999996</v>
      </c>
      <c r="N292" s="19">
        <f t="shared" si="1992"/>
        <v>1.0789999999999988</v>
      </c>
      <c r="O292" s="170">
        <f t="shared" si="1992"/>
        <v>3.7719999999999985</v>
      </c>
      <c r="P292" s="19">
        <f t="shared" ca="1" si="1992"/>
        <v>1.2976756942868111</v>
      </c>
      <c r="Q292" s="19">
        <f t="shared" ca="1" si="1992"/>
        <v>0.95768166057458792</v>
      </c>
      <c r="R292" s="19">
        <f t="shared" ca="1" si="1992"/>
        <v>2.2553573548614239</v>
      </c>
      <c r="S292" s="19">
        <f t="shared" ca="1" si="1992"/>
        <v>-0.25230575950418199</v>
      </c>
      <c r="T292" s="19">
        <f t="shared" ca="1" si="1992"/>
        <v>-0.67640165047461487</v>
      </c>
      <c r="U292" s="19">
        <f t="shared" ca="1" si="1992"/>
        <v>-0.92870740997891055</v>
      </c>
      <c r="V292" s="19">
        <f t="shared" ca="1" si="1992"/>
        <v>-2.3231508095681002</v>
      </c>
      <c r="W292" s="19">
        <f t="shared" ca="1" si="1992"/>
        <v>-2.5104087675957287</v>
      </c>
      <c r="X292" s="19">
        <f t="shared" ca="1" si="1992"/>
        <v>-4.8335595771776774</v>
      </c>
      <c r="Y292" s="19">
        <f t="shared" ca="1" si="1992"/>
        <v>-2.8221813469615302</v>
      </c>
      <c r="Z292" s="19">
        <f t="shared" ca="1" si="1992"/>
        <v>-2.9876405068549889</v>
      </c>
      <c r="AA292" s="19">
        <f t="shared" ca="1" si="1992"/>
        <v>-5.8098218539382565</v>
      </c>
      <c r="AB292" s="19">
        <f t="shared" ref="AB292:AP292" ca="1" si="1993">+AB474</f>
        <v>-2.9790150312881369</v>
      </c>
      <c r="AC292" s="19">
        <f t="shared" ca="1" si="1993"/>
        <v>-3.081003376351684</v>
      </c>
      <c r="AD292" s="19">
        <f t="shared" ca="1" si="1993"/>
        <v>-6.0600184078315893</v>
      </c>
      <c r="AE292" s="19">
        <f t="shared" ca="1" si="1993"/>
        <v>-2.7562624540262646</v>
      </c>
      <c r="AF292" s="19">
        <f t="shared" ca="1" si="1993"/>
        <v>-2.8272493661208569</v>
      </c>
      <c r="AG292" s="19">
        <f t="shared" ca="1" si="1993"/>
        <v>-5.583511816113889</v>
      </c>
      <c r="AH292" s="19">
        <f t="shared" ca="1" si="1993"/>
        <v>-2.2126515924334273</v>
      </c>
      <c r="AI292" s="19">
        <f t="shared" ca="1" si="1993"/>
        <v>-2.245039321284684</v>
      </c>
      <c r="AJ292" s="19">
        <f t="shared" ca="1" si="1993"/>
        <v>-4.4576908851467758</v>
      </c>
      <c r="AK292" s="19">
        <f t="shared" ca="1" si="1993"/>
        <v>-1.3146200027962986</v>
      </c>
      <c r="AL292" s="19">
        <f t="shared" ca="1" si="1993"/>
        <v>-1.3001659005149133</v>
      </c>
      <c r="AM292" s="19">
        <f t="shared" ca="1" si="1993"/>
        <v>-2.6147858591759991</v>
      </c>
      <c r="AN292" s="19">
        <f t="shared" ca="1" si="1993"/>
        <v>-0.34809226732288656</v>
      </c>
      <c r="AO292" s="19">
        <f t="shared" ca="1" si="1993"/>
        <v>-0.26164398050261783</v>
      </c>
      <c r="AP292" s="19">
        <f t="shared" ca="1" si="1993"/>
        <v>-0.60973618094197457</v>
      </c>
      <c r="AQ292" s="19">
        <f t="shared" ref="AQ292:AS292" ca="1" si="1994">+AQ474</f>
        <v>0.86889569161092739</v>
      </c>
      <c r="AR292" s="19">
        <f t="shared" ca="1" si="1994"/>
        <v>0.98671916071711996</v>
      </c>
      <c r="AS292" s="19">
        <f t="shared" ca="1" si="1994"/>
        <v>1.8556136036464697</v>
      </c>
      <c r="AT292" s="19">
        <f t="shared" ref="AT292:AV292" ca="1" si="1995">+AT474</f>
        <v>2.3187469109475796</v>
      </c>
      <c r="AU292" s="19">
        <f t="shared" ca="1" si="1995"/>
        <v>2.4691921417232825</v>
      </c>
      <c r="AV292" s="19">
        <f t="shared" ca="1" si="1995"/>
        <v>4.787936608733415</v>
      </c>
      <c r="AW292" s="19"/>
    </row>
    <row r="293" spans="1:49" outlineLevel="1" x14ac:dyDescent="0.25">
      <c r="L293" s="309"/>
      <c r="O293" s="19"/>
      <c r="R293" s="19"/>
      <c r="U293" s="19"/>
      <c r="X293" s="19"/>
      <c r="AW293" s="8"/>
    </row>
    <row r="294" spans="1:49" outlineLevel="1" x14ac:dyDescent="0.25">
      <c r="B294" s="8" t="s">
        <v>73</v>
      </c>
      <c r="C294" s="22" t="s">
        <v>28</v>
      </c>
      <c r="F294" s="19">
        <f>+F290+F292</f>
        <v>5.7321999999999917</v>
      </c>
      <c r="G294" s="19">
        <f t="shared" ref="G294:H294" si="1996">+G290+G292</f>
        <v>3.1907000000000001</v>
      </c>
      <c r="H294" s="19">
        <f t="shared" si="1996"/>
        <v>4.569299999999993</v>
      </c>
      <c r="I294" s="19">
        <f t="shared" ref="I294:AA294" si="1997">+I290+I292</f>
        <v>7.7599999999999953</v>
      </c>
      <c r="J294" s="19">
        <f t="shared" si="1997"/>
        <v>10.105999999999995</v>
      </c>
      <c r="K294" s="19">
        <f t="shared" si="1997"/>
        <v>6.1229999999999878</v>
      </c>
      <c r="L294" s="309">
        <f>+L290+L292</f>
        <v>16.228999999999985</v>
      </c>
      <c r="M294" s="41">
        <f>+M290+M292</f>
        <v>15.706080000000002</v>
      </c>
      <c r="N294" s="19">
        <f t="shared" si="1997"/>
        <v>13.490719999999987</v>
      </c>
      <c r="O294" s="170">
        <f>+O290+O292</f>
        <v>29.196799999999982</v>
      </c>
      <c r="P294" s="19">
        <f t="shared" ca="1" si="1997"/>
        <v>18.192107171540705</v>
      </c>
      <c r="Q294" s="19">
        <f t="shared" ca="1" si="1997"/>
        <v>20.736846322513458</v>
      </c>
      <c r="R294" s="19">
        <f ca="1">+R290+R292</f>
        <v>38.928953494054191</v>
      </c>
      <c r="S294" s="19">
        <f t="shared" ca="1" si="1997"/>
        <v>29.310817812613106</v>
      </c>
      <c r="T294" s="19">
        <f t="shared" ca="1" si="1997"/>
        <v>36.988228147813729</v>
      </c>
      <c r="U294" s="19">
        <f t="shared" ca="1" si="1997"/>
        <v>66.299045960426753</v>
      </c>
      <c r="V294" s="19">
        <f t="shared" ca="1" si="1997"/>
        <v>48.133853968810556</v>
      </c>
      <c r="W294" s="19">
        <f t="shared" ca="1" si="1997"/>
        <v>49.29067555827914</v>
      </c>
      <c r="X294" s="19">
        <f t="shared" ca="1" si="1997"/>
        <v>97.42452952707589</v>
      </c>
      <c r="Y294" s="19">
        <f t="shared" ca="1" si="1997"/>
        <v>68.300543356564432</v>
      </c>
      <c r="Z294" s="19">
        <f t="shared" ca="1" si="1997"/>
        <v>71.55026250241697</v>
      </c>
      <c r="AA294" s="19">
        <f t="shared" ca="1" si="1997"/>
        <v>139.85080585885962</v>
      </c>
      <c r="AB294" s="19">
        <f t="shared" ref="AB294:AP294" ca="1" si="1998">+AB290+AB292</f>
        <v>87.120421538128127</v>
      </c>
      <c r="AC294" s="19">
        <f t="shared" ca="1" si="1998"/>
        <v>96.635244638888068</v>
      </c>
      <c r="AD294" s="19">
        <f t="shared" ca="1" si="1998"/>
        <v>183.75566617682443</v>
      </c>
      <c r="AE294" s="19">
        <f t="shared" ca="1" si="1998"/>
        <v>109.17429429747578</v>
      </c>
      <c r="AF294" s="19">
        <f t="shared" ca="1" si="1998"/>
        <v>119.85240702172976</v>
      </c>
      <c r="AG294" s="19">
        <f t="shared" ca="1" si="1998"/>
        <v>229.02670132323883</v>
      </c>
      <c r="AH294" s="19">
        <f t="shared" ca="1" si="1998"/>
        <v>134.00556133624593</v>
      </c>
      <c r="AI294" s="19">
        <f t="shared" ca="1" si="1998"/>
        <v>145.98033403275247</v>
      </c>
      <c r="AJ294" s="19">
        <f t="shared" ca="1" si="1998"/>
        <v>279.98589539756966</v>
      </c>
      <c r="AK294" s="19">
        <f t="shared" ca="1" si="1998"/>
        <v>161.8645428371197</v>
      </c>
      <c r="AL294" s="19">
        <f t="shared" ca="1" si="1998"/>
        <v>175.28131513935188</v>
      </c>
      <c r="AM294" s="19">
        <f t="shared" ca="1" si="1998"/>
        <v>337.14585802060674</v>
      </c>
      <c r="AN294" s="19">
        <f t="shared" ca="1" si="1998"/>
        <v>186.34291944279641</v>
      </c>
      <c r="AO294" s="19">
        <f t="shared" ca="1" si="1998"/>
        <v>199.73766387574855</v>
      </c>
      <c r="AP294" s="19">
        <f t="shared" ca="1" si="1998"/>
        <v>386.08058338542844</v>
      </c>
      <c r="AQ294" s="19">
        <f t="shared" ref="AQ294:AS294" ca="1" si="1999">+AQ290+AQ292</f>
        <v>208.57241826163613</v>
      </c>
      <c r="AR294" s="19">
        <f t="shared" ca="1" si="1999"/>
        <v>222.98009659206545</v>
      </c>
      <c r="AS294" s="19">
        <f t="shared" ca="1" si="1999"/>
        <v>431.55251360501984</v>
      </c>
      <c r="AT294" s="19">
        <f t="shared" ref="AT294:AV294" ca="1" si="2000">+AT290+AT292</f>
        <v>231.70085685784736</v>
      </c>
      <c r="AU294" s="19">
        <f t="shared" ca="1" si="2000"/>
        <v>247.14816455241302</v>
      </c>
      <c r="AV294" s="19">
        <f t="shared" ca="1" si="2000"/>
        <v>478.84901896632283</v>
      </c>
      <c r="AW294" s="19"/>
    </row>
    <row r="295" spans="1:49" outlineLevel="1" x14ac:dyDescent="0.25"/>
    <row r="296" spans="1:49" outlineLevel="1" x14ac:dyDescent="0.25">
      <c r="B296" s="8" t="s">
        <v>491</v>
      </c>
      <c r="C296" s="22" t="s">
        <v>28</v>
      </c>
      <c r="F296" s="19">
        <f>+F315</f>
        <v>-2.4</v>
      </c>
      <c r="G296" s="19">
        <f t="shared" ref="G296:AS296" si="2001">+G315</f>
        <v>-2.2999999999999998</v>
      </c>
      <c r="H296" s="19">
        <f t="shared" si="2001"/>
        <v>-2.4000000000000004</v>
      </c>
      <c r="I296" s="19">
        <f t="shared" si="2001"/>
        <v>-4.7</v>
      </c>
      <c r="J296" s="19">
        <f t="shared" si="2001"/>
        <v>-6.2</v>
      </c>
      <c r="K296" s="19">
        <f t="shared" ref="K296:L296" si="2002">+K315</f>
        <v>-4.3999999999999995</v>
      </c>
      <c r="L296" s="308">
        <f t="shared" si="2002"/>
        <v>-10.6</v>
      </c>
      <c r="M296" s="267">
        <f t="shared" ref="M296" si="2003">+M315</f>
        <v>-7.9</v>
      </c>
      <c r="N296" s="21">
        <f t="shared" si="2001"/>
        <v>-6.7999999999999989</v>
      </c>
      <c r="O296" s="21">
        <f t="shared" si="2001"/>
        <v>-14.7</v>
      </c>
      <c r="P296" s="21">
        <f t="shared" ca="1" si="2001"/>
        <v>-8.3973821699393696</v>
      </c>
      <c r="Q296" s="21">
        <f t="shared" ca="1" si="2001"/>
        <v>-9.0504388158942675</v>
      </c>
      <c r="R296" s="21">
        <f t="shared" ca="1" si="2001"/>
        <v>-17.447820985833637</v>
      </c>
      <c r="S296" s="21">
        <f t="shared" ca="1" si="2001"/>
        <v>-11.043711885095602</v>
      </c>
      <c r="T296" s="21">
        <f t="shared" ca="1" si="2001"/>
        <v>-12.979347232788664</v>
      </c>
      <c r="U296" s="21">
        <f t="shared" ca="1" si="2001"/>
        <v>-24.023059117883751</v>
      </c>
      <c r="V296" s="21">
        <f t="shared" ca="1" si="2001"/>
        <v>-16.067131075793657</v>
      </c>
      <c r="W296" s="21">
        <f t="shared" ca="1" si="2001"/>
        <v>-16.141509143178521</v>
      </c>
      <c r="X296" s="21">
        <f t="shared" ca="1" si="2001"/>
        <v>-32.208640218964135</v>
      </c>
      <c r="Y296" s="21">
        <f t="shared" ca="1" si="2001"/>
        <v>-21.520625916211639</v>
      </c>
      <c r="Z296" s="21">
        <f t="shared" ca="1" si="2001"/>
        <v>-22.568116985733656</v>
      </c>
      <c r="AA296" s="21">
        <f t="shared" ca="1" si="2001"/>
        <v>-44.088742901924704</v>
      </c>
      <c r="AB296" s="21">
        <f t="shared" ca="1" si="2001"/>
        <v>-26.764626415709795</v>
      </c>
      <c r="AC296" s="21">
        <f t="shared" ca="1" si="2001"/>
        <v>-29.597354745493423</v>
      </c>
      <c r="AD296" s="21">
        <f t="shared" ca="1" si="2001"/>
        <v>-56.361981161571599</v>
      </c>
      <c r="AE296" s="21">
        <f t="shared" ca="1" si="2001"/>
        <v>-32.912806136230472</v>
      </c>
      <c r="AF296" s="21">
        <f t="shared" ca="1" si="2001"/>
        <v>-36.081401932498522</v>
      </c>
      <c r="AG296" s="21">
        <f t="shared" ca="1" si="2001"/>
        <v>-68.994208072108734</v>
      </c>
      <c r="AH296" s="21">
        <f t="shared" ca="1" si="2001"/>
        <v>-39.834241577955048</v>
      </c>
      <c r="AI296" s="21">
        <f t="shared" ca="1" si="2001"/>
        <v>-43.376861276554386</v>
      </c>
      <c r="AJ296" s="21">
        <f t="shared" ca="1" si="2001"/>
        <v>-83.211102861034234</v>
      </c>
      <c r="AK296" s="21">
        <f t="shared" ca="1" si="2001"/>
        <v>-47.598790917325829</v>
      </c>
      <c r="AL296" s="21">
        <f t="shared" ca="1" si="2001"/>
        <v>-51.557006153989533</v>
      </c>
      <c r="AM296" s="21">
        <f t="shared" ca="1" si="2001"/>
        <v>-99.155797078005648</v>
      </c>
      <c r="AN296" s="21">
        <f t="shared" ca="1" si="2001"/>
        <v>-54.583273540219054</v>
      </c>
      <c r="AO296" s="21">
        <f t="shared" ca="1" si="2001"/>
        <v>-58.539764736739855</v>
      </c>
      <c r="AP296" s="21">
        <f t="shared" ca="1" si="2001"/>
        <v>-113.12303808419452</v>
      </c>
      <c r="AQ296" s="21">
        <f t="shared" ca="1" si="2001"/>
        <v>-60.928695467335253</v>
      </c>
      <c r="AR296" s="21">
        <f t="shared" ca="1" si="2001"/>
        <v>-65.177677943599804</v>
      </c>
      <c r="AS296" s="21">
        <f t="shared" ca="1" si="2001"/>
        <v>-126.10637294974269</v>
      </c>
      <c r="AT296" s="21">
        <f t="shared" ref="AT296:AV296" ca="1" si="2004">+AT315</f>
        <v>-67.5294202937866</v>
      </c>
      <c r="AU296" s="21">
        <f t="shared" ca="1" si="2004"/>
        <v>-72.078627719016524</v>
      </c>
      <c r="AV296" s="21">
        <f t="shared" ca="1" si="2004"/>
        <v>-139.60804761023181</v>
      </c>
    </row>
    <row r="297" spans="1:49" outlineLevel="1" x14ac:dyDescent="0.25"/>
    <row r="298" spans="1:49" outlineLevel="1" x14ac:dyDescent="0.25">
      <c r="AA298" s="458">
        <v>90.1</v>
      </c>
      <c r="AB298" s="459"/>
      <c r="AC298" s="459"/>
      <c r="AD298" s="459"/>
      <c r="AE298" s="459"/>
      <c r="AF298" s="459"/>
      <c r="AG298" s="459">
        <v>13.4</v>
      </c>
      <c r="AH298" s="459"/>
      <c r="AI298" s="459"/>
      <c r="AJ298" s="460"/>
    </row>
    <row r="299" spans="1:49" outlineLevel="1" x14ac:dyDescent="0.25">
      <c r="R299" s="14"/>
      <c r="S299" s="14"/>
      <c r="T299" s="14"/>
      <c r="U299" s="14"/>
      <c r="V299" s="14"/>
      <c r="W299" s="14"/>
      <c r="X299" s="14"/>
      <c r="Y299" s="14"/>
      <c r="Z299" s="14"/>
      <c r="AA299" s="461">
        <f>1431.3*0.98</f>
        <v>1402.674</v>
      </c>
      <c r="AB299" s="321"/>
      <c r="AC299" s="321"/>
      <c r="AD299" s="323">
        <f>AD300/AA298-1</f>
        <v>-8.1489833518312849E-2</v>
      </c>
      <c r="AE299" s="321"/>
      <c r="AF299" s="321"/>
      <c r="AG299" s="321"/>
      <c r="AH299" s="321"/>
      <c r="AI299" s="321"/>
      <c r="AJ299" s="462"/>
      <c r="AK299" s="14"/>
      <c r="AL299" s="14"/>
      <c r="AM299" s="14"/>
      <c r="AN299" s="14"/>
      <c r="AO299" s="14"/>
      <c r="AP299" s="14"/>
      <c r="AQ299" s="14"/>
      <c r="AR299" s="14"/>
      <c r="AS299" s="14"/>
      <c r="AT299" s="14"/>
      <c r="AU299" s="14"/>
      <c r="AV299" s="14"/>
    </row>
    <row r="300" spans="1:49" outlineLevel="1" x14ac:dyDescent="0.25">
      <c r="AA300" s="463">
        <f>AA298/AA299</f>
        <v>6.4234455048001168E-2</v>
      </c>
      <c r="AB300" s="38"/>
      <c r="AC300" s="38"/>
      <c r="AD300" s="38">
        <f>5.9%*AA299</f>
        <v>82.757766000000004</v>
      </c>
      <c r="AE300" s="38"/>
      <c r="AF300" s="38"/>
      <c r="AG300" s="38">
        <f>AD300-$AG$298</f>
        <v>69.357765999999998</v>
      </c>
      <c r="AH300" s="68"/>
      <c r="AI300" s="68"/>
      <c r="AJ300" s="464">
        <f>AG300/79.2-1</f>
        <v>-0.12427063131313132</v>
      </c>
      <c r="AM300" s="18"/>
    </row>
    <row r="301" spans="1:49" outlineLevel="1" x14ac:dyDescent="0.25">
      <c r="AA301" s="463">
        <f>6.1%</f>
        <v>6.0999999999999999E-2</v>
      </c>
      <c r="AB301" s="38"/>
      <c r="AC301" s="38"/>
      <c r="AD301" s="38">
        <f>AA301*AA299</f>
        <v>85.563113999999999</v>
      </c>
      <c r="AE301" s="38"/>
      <c r="AF301" s="38"/>
      <c r="AG301" s="38">
        <f>AD301-$AG$298</f>
        <v>72.163113999999993</v>
      </c>
      <c r="AH301" s="68"/>
      <c r="AI301" s="68"/>
      <c r="AJ301" s="464">
        <f>AG301/79.2-1</f>
        <v>-8.884957070707078E-2</v>
      </c>
      <c r="AM301" s="18"/>
      <c r="AO301" s="18"/>
    </row>
    <row r="302" spans="1:49" outlineLevel="1" x14ac:dyDescent="0.25">
      <c r="AA302" s="465"/>
      <c r="AB302" s="466"/>
      <c r="AC302" s="466"/>
      <c r="AD302" s="467">
        <f>AA298/AD301-1</f>
        <v>5.3023853245920849E-2</v>
      </c>
      <c r="AE302" s="466"/>
      <c r="AF302" s="466"/>
      <c r="AG302" s="466"/>
      <c r="AH302" s="466"/>
      <c r="AI302" s="466"/>
      <c r="AJ302" s="468"/>
    </row>
    <row r="303" spans="1:49" outlineLevel="1" x14ac:dyDescent="0.25"/>
    <row r="304" spans="1:49" ht="15.75" x14ac:dyDescent="0.25">
      <c r="A304" s="49" t="s">
        <v>23</v>
      </c>
      <c r="B304" s="50" t="s">
        <v>140</v>
      </c>
      <c r="C304" s="2"/>
      <c r="D304" s="2"/>
      <c r="E304" s="2"/>
      <c r="F304" s="158"/>
      <c r="G304" s="86"/>
      <c r="H304" s="86"/>
      <c r="I304" s="86"/>
      <c r="J304" s="86"/>
      <c r="K304" s="86"/>
      <c r="L304" s="371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  <c r="AP304" s="86"/>
      <c r="AQ304" s="86"/>
      <c r="AR304" s="86"/>
      <c r="AS304" s="86"/>
      <c r="AT304" s="86"/>
      <c r="AU304" s="86"/>
      <c r="AV304" s="86"/>
    </row>
    <row r="305" spans="1:48" outlineLevel="1" x14ac:dyDescent="0.25">
      <c r="M305" s="8"/>
    </row>
    <row r="306" spans="1:48" outlineLevel="1" x14ac:dyDescent="0.25">
      <c r="B306" s="8" t="s">
        <v>73</v>
      </c>
      <c r="C306" s="22" t="s">
        <v>28</v>
      </c>
      <c r="F306" s="45">
        <v>5.6</v>
      </c>
      <c r="G306" s="45">
        <v>3.3</v>
      </c>
      <c r="H306" s="19">
        <f>+I306-G306</f>
        <v>4.3</v>
      </c>
      <c r="I306" s="45">
        <v>7.6</v>
      </c>
      <c r="J306" s="45">
        <v>10.1</v>
      </c>
      <c r="K306" s="19">
        <f>+L306-J306</f>
        <v>6.2000000000000011</v>
      </c>
      <c r="L306" s="354">
        <v>16.3</v>
      </c>
      <c r="M306" s="441">
        <v>15.2</v>
      </c>
      <c r="N306" s="19">
        <f>+O306-M306</f>
        <v>14</v>
      </c>
      <c r="O306" s="469">
        <v>29.2</v>
      </c>
      <c r="P306" s="19">
        <f ca="1">'Financial Statements'!P47</f>
        <v>18.192107171540705</v>
      </c>
      <c r="Q306" s="19">
        <f t="shared" ref="Q306:Q307" ca="1" si="2005">+R306-P306</f>
        <v>20.736846322513465</v>
      </c>
      <c r="R306" s="19">
        <f ca="1">'Financial Statements'!R47</f>
        <v>38.928953494054198</v>
      </c>
      <c r="S306" s="19">
        <f ca="1">'Financial Statements'!S47</f>
        <v>29.310817812613106</v>
      </c>
      <c r="T306" s="19">
        <f t="shared" ref="T306:T307" ca="1" si="2006">+U306-S306</f>
        <v>36.988228147813757</v>
      </c>
      <c r="U306" s="19">
        <f ca="1">'Financial Statements'!U47</f>
        <v>66.299045960426753</v>
      </c>
      <c r="V306" s="19">
        <f ca="1">'Financial Statements'!V47</f>
        <v>48.133853968810548</v>
      </c>
      <c r="W306" s="19">
        <f t="shared" ref="W306:W307" ca="1" si="2007">+X306-V306</f>
        <v>49.290675558279197</v>
      </c>
      <c r="X306" s="19">
        <f ca="1">'Financial Statements'!X47</f>
        <v>97.42452952707589</v>
      </c>
      <c r="Y306" s="19">
        <f ca="1">'Financial Statements'!Y47</f>
        <v>68.300543356564432</v>
      </c>
      <c r="Z306" s="19">
        <f t="shared" ref="Z306:Z307" ca="1" si="2008">+AA306-Y306</f>
        <v>71.550262502416913</v>
      </c>
      <c r="AA306" s="19">
        <f ca="1">'Financial Statements'!AA47</f>
        <v>139.85080585885962</v>
      </c>
      <c r="AB306" s="19">
        <f ca="1">'Financial Statements'!AB47</f>
        <v>87.120421538128127</v>
      </c>
      <c r="AC306" s="19">
        <f t="shared" ref="AC306:AC307" ca="1" si="2009">+AD306-AB306</f>
        <v>96.635244638888068</v>
      </c>
      <c r="AD306" s="19">
        <f ca="1">'Financial Statements'!AD47</f>
        <v>183.75566617682443</v>
      </c>
      <c r="AE306" s="19">
        <f ca="1">'Financial Statements'!AE47</f>
        <v>109.1742942974758</v>
      </c>
      <c r="AF306" s="19">
        <f t="shared" ref="AF306:AF307" ca="1" si="2010">+AG306-AE306</f>
        <v>119.85240702172979</v>
      </c>
      <c r="AG306" s="19">
        <f ca="1">'Financial Statements'!AG47</f>
        <v>229.02670132323883</v>
      </c>
      <c r="AH306" s="19">
        <f ca="1">'Financial Statements'!AH47</f>
        <v>134.00556133624593</v>
      </c>
      <c r="AI306" s="19">
        <f t="shared" ref="AI306:AI307" ca="1" si="2011">+AJ306-AH306</f>
        <v>145.98033403275241</v>
      </c>
      <c r="AJ306" s="19">
        <f ca="1">'Financial Statements'!AJ47</f>
        <v>279.98589539756972</v>
      </c>
      <c r="AK306" s="19">
        <f ca="1">'Financial Statements'!AK47</f>
        <v>161.8645428371197</v>
      </c>
      <c r="AL306" s="19">
        <f t="shared" ref="AL306:AL307" ca="1" si="2012">+AM306-AK306</f>
        <v>175.28131513935182</v>
      </c>
      <c r="AM306" s="19">
        <f ca="1">'Financial Statements'!AM47</f>
        <v>337.14585802060674</v>
      </c>
      <c r="AN306" s="19">
        <f ca="1">'Financial Statements'!AN47</f>
        <v>186.34291944279641</v>
      </c>
      <c r="AO306" s="19">
        <f t="shared" ref="AO306:AO307" ca="1" si="2013">+AP306-AN306</f>
        <v>199.73766387574852</v>
      </c>
      <c r="AP306" s="19">
        <f ca="1">'Financial Statements'!AP47</f>
        <v>386.08058338542844</v>
      </c>
      <c r="AQ306" s="19">
        <f ca="1">'Financial Statements'!AQ47</f>
        <v>208.57241826163613</v>
      </c>
      <c r="AR306" s="19">
        <f t="shared" ref="AR306:AR307" ca="1" si="2014">+AS306-AQ306</f>
        <v>222.98009659206525</v>
      </c>
      <c r="AS306" s="19">
        <f ca="1">'Financial Statements'!AS47</f>
        <v>431.55251360501984</v>
      </c>
      <c r="AT306" s="19">
        <f ca="1">'Financial Statements'!AT47</f>
        <v>231.70085685784738</v>
      </c>
      <c r="AU306" s="19">
        <f t="shared" ref="AU306:AU307" ca="1" si="2015">+AV306-AT306</f>
        <v>247.14816455241294</v>
      </c>
      <c r="AV306" s="19">
        <f ca="1">'Financial Statements'!AV47</f>
        <v>478.84901896632289</v>
      </c>
    </row>
    <row r="307" spans="1:48" outlineLevel="1" x14ac:dyDescent="0.25">
      <c r="B307" s="8" t="s">
        <v>246</v>
      </c>
      <c r="C307" s="22" t="s">
        <v>28</v>
      </c>
      <c r="F307" s="45">
        <v>-2.4</v>
      </c>
      <c r="G307" s="45">
        <v>-2.2999999999999998</v>
      </c>
      <c r="H307" s="19">
        <f>+I307-G307</f>
        <v>-2.4000000000000004</v>
      </c>
      <c r="I307" s="45">
        <v>-4.7</v>
      </c>
      <c r="J307" s="45">
        <v>-6.2</v>
      </c>
      <c r="K307" s="19">
        <f>+L307-J307</f>
        <v>-4.3999999999999995</v>
      </c>
      <c r="L307" s="354">
        <v>-10.6</v>
      </c>
      <c r="M307" s="441">
        <v>-7.9</v>
      </c>
      <c r="N307" s="19">
        <f>+O307-M307</f>
        <v>-6.7999999999999989</v>
      </c>
      <c r="O307" s="45">
        <v>-14.7</v>
      </c>
      <c r="P307" s="19">
        <f t="shared" ref="P307" ca="1" si="2016">+P315</f>
        <v>-8.3973821699393696</v>
      </c>
      <c r="Q307" s="19">
        <f t="shared" ca="1" si="2005"/>
        <v>-9.0504388158942675</v>
      </c>
      <c r="R307" s="19">
        <f t="shared" ref="R307:S307" ca="1" si="2017">+R315</f>
        <v>-17.447820985833637</v>
      </c>
      <c r="S307" s="19">
        <f t="shared" ca="1" si="2017"/>
        <v>-11.043711885095602</v>
      </c>
      <c r="T307" s="19">
        <f t="shared" ca="1" si="2006"/>
        <v>-12.979347232788664</v>
      </c>
      <c r="U307" s="19">
        <f t="shared" ref="U307:V307" ca="1" si="2018">+U315</f>
        <v>-24.023059117883751</v>
      </c>
      <c r="V307" s="19">
        <f t="shared" ca="1" si="2018"/>
        <v>-16.067131075793657</v>
      </c>
      <c r="W307" s="19">
        <f t="shared" ca="1" si="2007"/>
        <v>-16.141509143178521</v>
      </c>
      <c r="X307" s="19">
        <f t="shared" ref="X307" ca="1" si="2019">+X315</f>
        <v>-32.208640218964135</v>
      </c>
      <c r="Y307" s="19">
        <f ca="1">+Y315</f>
        <v>-21.520625916211639</v>
      </c>
      <c r="Z307" s="19">
        <f t="shared" ca="1" si="2008"/>
        <v>-22.568116985733656</v>
      </c>
      <c r="AA307" s="19">
        <f ca="1">+AA315</f>
        <v>-44.088742901924704</v>
      </c>
      <c r="AB307" s="19">
        <f t="shared" ref="AB307" ca="1" si="2020">+AB315</f>
        <v>-26.764626415709795</v>
      </c>
      <c r="AC307" s="19">
        <f t="shared" ca="1" si="2009"/>
        <v>-29.597354745493423</v>
      </c>
      <c r="AD307" s="19">
        <f t="shared" ref="AD307:AE307" ca="1" si="2021">+AD315</f>
        <v>-56.361981161571599</v>
      </c>
      <c r="AE307" s="19">
        <f t="shared" ca="1" si="2021"/>
        <v>-32.912806136230472</v>
      </c>
      <c r="AF307" s="19">
        <f t="shared" ca="1" si="2010"/>
        <v>-36.081401932498522</v>
      </c>
      <c r="AG307" s="19">
        <f t="shared" ref="AG307:AH307" ca="1" si="2022">+AG315</f>
        <v>-68.994208072108734</v>
      </c>
      <c r="AH307" s="19">
        <f t="shared" ca="1" si="2022"/>
        <v>-39.834241577955048</v>
      </c>
      <c r="AI307" s="19">
        <f t="shared" ca="1" si="2011"/>
        <v>-43.376861276554386</v>
      </c>
      <c r="AJ307" s="19">
        <f t="shared" ref="AJ307:AK307" ca="1" si="2023">+AJ315</f>
        <v>-83.211102861034234</v>
      </c>
      <c r="AK307" s="19">
        <f t="shared" ca="1" si="2023"/>
        <v>-47.598790917325829</v>
      </c>
      <c r="AL307" s="19">
        <f t="shared" ca="1" si="2012"/>
        <v>-51.557006153989533</v>
      </c>
      <c r="AM307" s="19">
        <f t="shared" ref="AM307:AN307" ca="1" si="2024">+AM315</f>
        <v>-99.155797078005648</v>
      </c>
      <c r="AN307" s="19">
        <f t="shared" ca="1" si="2024"/>
        <v>-54.583273540219054</v>
      </c>
      <c r="AO307" s="19">
        <f t="shared" ca="1" si="2013"/>
        <v>-58.539764736739855</v>
      </c>
      <c r="AP307" s="19">
        <f t="shared" ref="AP307:AQ307" ca="1" si="2025">+AP315</f>
        <v>-113.12303808419452</v>
      </c>
      <c r="AQ307" s="19">
        <f t="shared" ca="1" si="2025"/>
        <v>-60.928695467335253</v>
      </c>
      <c r="AR307" s="19">
        <f t="shared" ca="1" si="2014"/>
        <v>-65.177677943599804</v>
      </c>
      <c r="AS307" s="19">
        <f t="shared" ref="AS307:AT307" ca="1" si="2026">+AS315</f>
        <v>-126.10637294974269</v>
      </c>
      <c r="AT307" s="19">
        <f t="shared" ca="1" si="2026"/>
        <v>-67.5294202937866</v>
      </c>
      <c r="AU307" s="19">
        <f t="shared" ca="1" si="2015"/>
        <v>-72.078627719016524</v>
      </c>
      <c r="AV307" s="19">
        <f t="shared" ref="AV307" ca="1" si="2027">+AV315</f>
        <v>-139.60804761023181</v>
      </c>
    </row>
    <row r="308" spans="1:48" outlineLevel="1" x14ac:dyDescent="0.25">
      <c r="B308" s="8" t="s">
        <v>247</v>
      </c>
      <c r="C308" s="22" t="s">
        <v>29</v>
      </c>
      <c r="F308" s="14">
        <f t="shared" ref="F308:I308" si="2028">-F307/F306</f>
        <v>0.4285714285714286</v>
      </c>
      <c r="G308" s="14">
        <f t="shared" si="2028"/>
        <v>0.69696969696969691</v>
      </c>
      <c r="H308" s="14">
        <f t="shared" si="2028"/>
        <v>0.55813953488372103</v>
      </c>
      <c r="I308" s="14">
        <f t="shared" si="2028"/>
        <v>0.61842105263157898</v>
      </c>
      <c r="J308" s="254">
        <f>-J307/J306</f>
        <v>0.61386138613861385</v>
      </c>
      <c r="K308" s="14">
        <f t="shared" ref="K308:L308" si="2029">-K307/K306</f>
        <v>0.70967741935483852</v>
      </c>
      <c r="L308" s="311">
        <f t="shared" si="2029"/>
        <v>0.65030674846625758</v>
      </c>
      <c r="M308" s="415">
        <f>-M307/M306</f>
        <v>0.51973684210526316</v>
      </c>
      <c r="N308" s="254">
        <f>-N307/N306</f>
        <v>0.48571428571428565</v>
      </c>
      <c r="O308" s="311">
        <f t="shared" ref="O308" si="2030">-O307/O306</f>
        <v>0.50342465753424659</v>
      </c>
      <c r="P308" s="254">
        <f t="shared" ref="P308:AS308" ca="1" si="2031">-P307/P306</f>
        <v>0.46159480541517656</v>
      </c>
      <c r="Q308" s="254">
        <f t="shared" ca="1" si="2031"/>
        <v>0.43644239221025799</v>
      </c>
      <c r="R308" s="254">
        <f t="shared" ca="1" si="2031"/>
        <v>0.44819650722176552</v>
      </c>
      <c r="S308" s="254">
        <f t="shared" ca="1" si="2031"/>
        <v>0.37677938417478218</v>
      </c>
      <c r="T308" s="254">
        <f t="shared" ca="1" si="2031"/>
        <v>0.3509048116854937</v>
      </c>
      <c r="U308" s="254">
        <f t="shared" ca="1" si="2031"/>
        <v>0.3623439639270658</v>
      </c>
      <c r="V308" s="254">
        <f t="shared" ca="1" si="2031"/>
        <v>0.33380105167154761</v>
      </c>
      <c r="W308" s="254">
        <f t="shared" ca="1" si="2031"/>
        <v>0.32747591629360989</v>
      </c>
      <c r="X308" s="254">
        <f t="shared" ca="1" si="2031"/>
        <v>0.33060093156531817</v>
      </c>
      <c r="Y308" s="254">
        <f t="shared" ca="1" si="2031"/>
        <v>0.31508718464892371</v>
      </c>
      <c r="Z308" s="254">
        <f t="shared" ca="1" si="2031"/>
        <v>0.31541627097414665</v>
      </c>
      <c r="AA308" s="254">
        <f t="shared" ca="1" si="2031"/>
        <v>0.31525555130815613</v>
      </c>
      <c r="AB308" s="254">
        <f t="shared" ca="1" si="2031"/>
        <v>0.30721415189659401</v>
      </c>
      <c r="AC308" s="254">
        <f t="shared" ca="1" si="2031"/>
        <v>0.306279089540203</v>
      </c>
      <c r="AD308" s="254">
        <f t="shared" ca="1" si="2031"/>
        <v>0.30672241207155804</v>
      </c>
      <c r="AE308" s="254">
        <f t="shared" ca="1" si="2031"/>
        <v>0.30147028976024665</v>
      </c>
      <c r="AF308" s="254">
        <f t="shared" ca="1" si="2031"/>
        <v>0.30104862162640422</v>
      </c>
      <c r="AG308" s="254">
        <f t="shared" ca="1" si="2031"/>
        <v>0.30124962580119929</v>
      </c>
      <c r="AH308" s="254">
        <f t="shared" ca="1" si="2031"/>
        <v>0.29725812257898171</v>
      </c>
      <c r="AI308" s="254">
        <f t="shared" ca="1" si="2031"/>
        <v>0.29714181409409762</v>
      </c>
      <c r="AJ308" s="254">
        <f t="shared" ca="1" si="2031"/>
        <v>0.29719748111910249</v>
      </c>
      <c r="AK308" s="254">
        <f t="shared" ca="1" si="2031"/>
        <v>0.2940655815228374</v>
      </c>
      <c r="AL308" s="254">
        <f t="shared" ca="1" si="2031"/>
        <v>0.29413863145082397</v>
      </c>
      <c r="AM308" s="254">
        <f t="shared" ca="1" si="2031"/>
        <v>0.29410355998484528</v>
      </c>
      <c r="AN308" s="254">
        <f t="shared" ca="1" si="2031"/>
        <v>0.29291841999381701</v>
      </c>
      <c r="AO308" s="254">
        <f t="shared" ca="1" si="2031"/>
        <v>0.29308325531010454</v>
      </c>
      <c r="AP308" s="254">
        <f t="shared" ca="1" si="2031"/>
        <v>0.29300369651395436</v>
      </c>
      <c r="AQ308" s="254">
        <f t="shared" ca="1" si="2031"/>
        <v>0.29212249623008857</v>
      </c>
      <c r="AR308" s="254">
        <f t="shared" ca="1" si="2031"/>
        <v>0.29230267158256829</v>
      </c>
      <c r="AS308" s="254">
        <f t="shared" ca="1" si="2031"/>
        <v>0.29221559132236236</v>
      </c>
      <c r="AT308" s="254">
        <f t="shared" ref="AT308:AV308" ca="1" si="2032">-AT307/AT306</f>
        <v>0.29145088718949841</v>
      </c>
      <c r="AU308" s="254">
        <f t="shared" ca="1" si="2032"/>
        <v>0.29164136359074899</v>
      </c>
      <c r="AV308" s="254">
        <f t="shared" ca="1" si="2032"/>
        <v>0.29154919834982546</v>
      </c>
    </row>
    <row r="309" spans="1:48" outlineLevel="1" x14ac:dyDescent="0.25">
      <c r="B309" s="113"/>
      <c r="I309" s="19"/>
      <c r="J309" s="254"/>
      <c r="L309" s="309"/>
    </row>
    <row r="310" spans="1:48" outlineLevel="1" x14ac:dyDescent="0.25">
      <c r="B310" s="113" t="s">
        <v>502</v>
      </c>
      <c r="I310" s="19"/>
      <c r="J310" s="303"/>
      <c r="L310" s="309"/>
    </row>
    <row r="311" spans="1:48" outlineLevel="1" x14ac:dyDescent="0.25">
      <c r="B311" s="113" t="s">
        <v>500</v>
      </c>
      <c r="C311" s="22" t="s">
        <v>28</v>
      </c>
      <c r="F311" s="19">
        <f>F282</f>
        <v>-1.4</v>
      </c>
      <c r="G311" s="19">
        <f t="shared" ref="G311:AA311" si="2033">G282</f>
        <v>-2.8</v>
      </c>
      <c r="H311" s="19">
        <f t="shared" si="2033"/>
        <v>-3.8</v>
      </c>
      <c r="I311" s="19">
        <f t="shared" si="2033"/>
        <v>-6.6</v>
      </c>
      <c r="J311" s="19">
        <f t="shared" si="2033"/>
        <v>-3.6</v>
      </c>
      <c r="K311" s="19">
        <f t="shared" ref="K311:M311" si="2034">K282</f>
        <v>-7.5</v>
      </c>
      <c r="L311" s="309">
        <f t="shared" si="2034"/>
        <v>-11.1</v>
      </c>
      <c r="M311" s="19">
        <f t="shared" si="2034"/>
        <v>-4.5869999999999997</v>
      </c>
      <c r="N311" s="19">
        <f t="shared" ref="N311:O311" si="2035">N282</f>
        <v>-4.4310000000000009</v>
      </c>
      <c r="O311" s="309">
        <f t="shared" si="2035"/>
        <v>-9.0180000000000007</v>
      </c>
      <c r="P311" s="19">
        <f t="shared" si="2033"/>
        <v>-4.2204240000000004</v>
      </c>
      <c r="Q311" s="19">
        <f t="shared" si="2033"/>
        <v>-3.8957760000000006</v>
      </c>
      <c r="R311" s="19">
        <f>R282</f>
        <v>-8.116200000000001</v>
      </c>
      <c r="S311" s="19">
        <f t="shared" si="2033"/>
        <v>-4.017519000000001</v>
      </c>
      <c r="T311" s="19">
        <f t="shared" si="2033"/>
        <v>-3.2870610000000005</v>
      </c>
      <c r="U311" s="19">
        <f t="shared" si="2033"/>
        <v>-7.3045800000000014</v>
      </c>
      <c r="V311" s="19">
        <f t="shared" si="2033"/>
        <v>-3.6157671000000011</v>
      </c>
      <c r="W311" s="19">
        <f t="shared" si="2033"/>
        <v>-2.9583549000000007</v>
      </c>
      <c r="X311" s="19">
        <f t="shared" si="2033"/>
        <v>-6.5741220000000018</v>
      </c>
      <c r="Y311" s="19">
        <f t="shared" si="2033"/>
        <v>-3.047105547000001</v>
      </c>
      <c r="Z311" s="19">
        <f t="shared" si="2033"/>
        <v>-3.7242401130000014</v>
      </c>
      <c r="AA311" s="19">
        <f t="shared" si="2033"/>
        <v>-6.7713456600000024</v>
      </c>
      <c r="AB311" s="19">
        <f t="shared" ref="AB311:AP311" si="2036">AB282</f>
        <v>-3.1385187134100012</v>
      </c>
      <c r="AC311" s="19">
        <f t="shared" si="2036"/>
        <v>-3.835967316390001</v>
      </c>
      <c r="AD311" s="19">
        <f t="shared" si="2036"/>
        <v>-6.9744860298000022</v>
      </c>
      <c r="AE311" s="19">
        <f t="shared" si="2036"/>
        <v>-3.2326742748123012</v>
      </c>
      <c r="AF311" s="19">
        <f t="shared" si="2036"/>
        <v>-3.951046335881701</v>
      </c>
      <c r="AG311" s="19">
        <f t="shared" si="2036"/>
        <v>-7.1837206106940021</v>
      </c>
      <c r="AH311" s="19">
        <f t="shared" si="2036"/>
        <v>-3.3296545030566702</v>
      </c>
      <c r="AI311" s="19">
        <f t="shared" si="2036"/>
        <v>-4.0695777259581529</v>
      </c>
      <c r="AJ311" s="19">
        <f t="shared" si="2036"/>
        <v>-7.3992322290148227</v>
      </c>
      <c r="AK311" s="19">
        <f t="shared" si="2036"/>
        <v>-3.4295441381483704</v>
      </c>
      <c r="AL311" s="19">
        <f t="shared" si="2036"/>
        <v>-4.1916650577368966</v>
      </c>
      <c r="AM311" s="19">
        <f t="shared" si="2036"/>
        <v>-7.6212091958852675</v>
      </c>
      <c r="AN311" s="19">
        <f t="shared" si="2036"/>
        <v>-3.5324304622928215</v>
      </c>
      <c r="AO311" s="19">
        <f t="shared" si="2036"/>
        <v>-4.3174150094690038</v>
      </c>
      <c r="AP311" s="19">
        <f t="shared" si="2036"/>
        <v>-7.8498454717618253</v>
      </c>
      <c r="AQ311" s="19">
        <f t="shared" ref="AQ311:AS311" si="2037">AQ282</f>
        <v>-3.6384033761616061</v>
      </c>
      <c r="AR311" s="19">
        <f t="shared" si="2037"/>
        <v>-4.446937459753074</v>
      </c>
      <c r="AS311" s="19">
        <f t="shared" si="2037"/>
        <v>-8.0853408359146801</v>
      </c>
      <c r="AT311" s="19">
        <f t="shared" ref="AT311:AV311" si="2038">AT282</f>
        <v>-3.7475554774464541</v>
      </c>
      <c r="AU311" s="19">
        <f t="shared" si="2038"/>
        <v>-4.5803455835456663</v>
      </c>
      <c r="AV311" s="19">
        <f t="shared" si="2038"/>
        <v>-8.3279010609921205</v>
      </c>
    </row>
    <row r="312" spans="1:48" outlineLevel="1" x14ac:dyDescent="0.25">
      <c r="B312" s="113" t="s">
        <v>503</v>
      </c>
      <c r="C312" s="22" t="s">
        <v>28</v>
      </c>
      <c r="F312" s="19">
        <f t="shared" ref="F312:AV312" si="2039">F169+F249</f>
        <v>-2.895</v>
      </c>
      <c r="G312" s="19">
        <f t="shared" si="2039"/>
        <v>-1.7415</v>
      </c>
      <c r="H312" s="19">
        <f t="shared" si="2039"/>
        <v>-2.5265</v>
      </c>
      <c r="I312" s="19">
        <f t="shared" si="2039"/>
        <v>-4.2679999999999998</v>
      </c>
      <c r="J312" s="19">
        <f t="shared" si="2039"/>
        <v>-3.1040000000000001</v>
      </c>
      <c r="K312" s="19">
        <f t="shared" si="2039"/>
        <v>-3.3895999999999997</v>
      </c>
      <c r="L312" s="309">
        <f t="shared" si="2039"/>
        <v>-6.4935999999999998</v>
      </c>
      <c r="M312" s="19">
        <f t="shared" si="2039"/>
        <v>-5.1055999999999999</v>
      </c>
      <c r="N312" s="19">
        <f t="shared" si="2039"/>
        <v>-8.4118999999999993</v>
      </c>
      <c r="O312" s="309">
        <f t="shared" si="2039"/>
        <v>-13.5175</v>
      </c>
      <c r="P312" s="19">
        <f t="shared" si="2039"/>
        <v>-7.1413984374999995</v>
      </c>
      <c r="Q312" s="19">
        <f t="shared" si="2039"/>
        <v>-7.2196890625000005</v>
      </c>
      <c r="R312" s="19">
        <f t="shared" si="2039"/>
        <v>-14.3610875</v>
      </c>
      <c r="S312" s="19">
        <f t="shared" si="2039"/>
        <v>-5.5391432031249987</v>
      </c>
      <c r="T312" s="19">
        <f t="shared" si="2039"/>
        <v>-5.4045080468750006</v>
      </c>
      <c r="U312" s="19">
        <f t="shared" si="2039"/>
        <v>-10.94365125</v>
      </c>
      <c r="V312" s="19">
        <f t="shared" si="2039"/>
        <v>-4.7973897999999995</v>
      </c>
      <c r="W312" s="19">
        <f t="shared" si="2039"/>
        <v>-4.5597482000000014</v>
      </c>
      <c r="X312" s="19">
        <f t="shared" si="2039"/>
        <v>-9.3571380000000008</v>
      </c>
      <c r="Y312" s="19">
        <f t="shared" si="2039"/>
        <v>-4.3925104221249995</v>
      </c>
      <c r="Z312" s="19">
        <f t="shared" si="2039"/>
        <v>-4.1522195828750013</v>
      </c>
      <c r="AA312" s="19">
        <f t="shared" si="2039"/>
        <v>-8.5447300050000017</v>
      </c>
      <c r="AB312" s="19">
        <f t="shared" si="2039"/>
        <v>-3.9370685878825</v>
      </c>
      <c r="AC312" s="19">
        <f t="shared" si="2039"/>
        <v>-3.6943626328175014</v>
      </c>
      <c r="AD312" s="19">
        <f t="shared" si="2039"/>
        <v>-7.6314312207000015</v>
      </c>
      <c r="AE312" s="19">
        <f t="shared" si="2039"/>
        <v>-3.4270778187580371</v>
      </c>
      <c r="AF312" s="19">
        <f t="shared" si="2039"/>
        <v>-3.1822180550554644</v>
      </c>
      <c r="AG312" s="19">
        <f t="shared" si="2039"/>
        <v>-6.609295873813501</v>
      </c>
      <c r="AH312" s="19">
        <f t="shared" si="2039"/>
        <v>-2.8582811215869506</v>
      </c>
      <c r="AI312" s="19">
        <f t="shared" si="2039"/>
        <v>-2.6115580876813316</v>
      </c>
      <c r="AJ312" s="19">
        <f t="shared" si="2039"/>
        <v>-5.4698392092682822</v>
      </c>
      <c r="AK312" s="19">
        <f t="shared" si="2039"/>
        <v>-2.226133955097453</v>
      </c>
      <c r="AL312" s="19">
        <f t="shared" si="2039"/>
        <v>-1.9778696024206828</v>
      </c>
      <c r="AM312" s="19">
        <f t="shared" si="2039"/>
        <v>-4.2040035575181358</v>
      </c>
      <c r="AN312" s="19">
        <f t="shared" si="2039"/>
        <v>-2.2262108604633006</v>
      </c>
      <c r="AO312" s="19">
        <f t="shared" si="2039"/>
        <v>-1.9710431250697953</v>
      </c>
      <c r="AP312" s="19">
        <f t="shared" si="2039"/>
        <v>-4.1972539855330959</v>
      </c>
      <c r="AQ312" s="19">
        <f t="shared" si="2039"/>
        <v>-2.2229547173257695</v>
      </c>
      <c r="AR312" s="19">
        <f t="shared" si="2039"/>
        <v>-1.9607037251272055</v>
      </c>
      <c r="AS312" s="19">
        <f t="shared" si="2039"/>
        <v>-4.183658442452975</v>
      </c>
      <c r="AT312" s="19">
        <f t="shared" si="2039"/>
        <v>-2.2160987664465415</v>
      </c>
      <c r="AU312" s="19">
        <f t="shared" si="2039"/>
        <v>-1.9465806085016029</v>
      </c>
      <c r="AV312" s="19">
        <f t="shared" si="2039"/>
        <v>-4.1626793749481443</v>
      </c>
    </row>
    <row r="313" spans="1:48" outlineLevel="1" x14ac:dyDescent="0.25">
      <c r="B313" s="113" t="s">
        <v>73</v>
      </c>
      <c r="C313" s="22" t="s">
        <v>28</v>
      </c>
      <c r="F313" s="19">
        <f t="shared" ref="F313:L313" si="2040">+F306-F311-F312</f>
        <v>9.8949999999999996</v>
      </c>
      <c r="G313" s="19">
        <f t="shared" si="2040"/>
        <v>7.8414999999999999</v>
      </c>
      <c r="H313" s="19">
        <f t="shared" si="2040"/>
        <v>10.6265</v>
      </c>
      <c r="I313" s="19">
        <f t="shared" si="2040"/>
        <v>18.468</v>
      </c>
      <c r="J313" s="19">
        <f t="shared" si="2040"/>
        <v>16.803999999999998</v>
      </c>
      <c r="K313" s="19">
        <f t="shared" si="2040"/>
        <v>17.089600000000001</v>
      </c>
      <c r="L313" s="309">
        <f t="shared" si="2040"/>
        <v>33.893599999999999</v>
      </c>
      <c r="M313" s="19">
        <f t="shared" ref="M313:O313" si="2041">+M306-M311-M312</f>
        <v>24.892599999999998</v>
      </c>
      <c r="N313" s="19">
        <f t="shared" si="2041"/>
        <v>26.8429</v>
      </c>
      <c r="O313" s="309">
        <f t="shared" si="2041"/>
        <v>51.735500000000002</v>
      </c>
      <c r="P313" s="19">
        <f t="shared" ref="P313" ca="1" si="2042">+P306-P311-P312</f>
        <v>29.553929609040708</v>
      </c>
      <c r="Q313" s="19">
        <f t="shared" ref="Q313" ca="1" si="2043">+Q306-Q311-Q312</f>
        <v>31.852311385013465</v>
      </c>
      <c r="R313" s="19">
        <f t="shared" ref="R313" ca="1" si="2044">+R306-R311-R312</f>
        <v>61.406240994054201</v>
      </c>
      <c r="S313" s="19">
        <f t="shared" ref="S313" ca="1" si="2045">+S306-S311-S312</f>
        <v>38.86748001573811</v>
      </c>
      <c r="T313" s="19">
        <f t="shared" ref="T313" ca="1" si="2046">+T306-T311-T312</f>
        <v>45.67979719468876</v>
      </c>
      <c r="U313" s="19">
        <f t="shared" ref="U313" ca="1" si="2047">+U306-U311-U312</f>
        <v>84.547277210426756</v>
      </c>
      <c r="V313" s="19">
        <f t="shared" ref="V313" ca="1" si="2048">+V306-V311-V312</f>
        <v>56.547010868810546</v>
      </c>
      <c r="W313" s="19">
        <f t="shared" ref="W313" ca="1" si="2049">+W306-W311-W312</f>
        <v>56.808778658279202</v>
      </c>
      <c r="X313" s="19">
        <f t="shared" ref="X313" ca="1" si="2050">+X306-X311-X312</f>
        <v>113.3557895270759</v>
      </c>
      <c r="Y313" s="19">
        <f t="shared" ref="Y313" ca="1" si="2051">+Y306-Y311-Y312</f>
        <v>75.740159325689433</v>
      </c>
      <c r="Z313" s="19">
        <f t="shared" ref="Z313" ca="1" si="2052">+Z306-Z311-Z312</f>
        <v>79.426722198291927</v>
      </c>
      <c r="AA313" s="19">
        <f t="shared" ref="AA313:AO313" ca="1" si="2053">+AA306-AA311-AA312</f>
        <v>155.16688152385962</v>
      </c>
      <c r="AB313" s="19">
        <f t="shared" ca="1" si="2053"/>
        <v>94.196008839420642</v>
      </c>
      <c r="AC313" s="19">
        <f t="shared" ca="1" si="2053"/>
        <v>104.16557458809557</v>
      </c>
      <c r="AD313" s="19">
        <f t="shared" ref="AD313" ca="1" si="2054">+AD306-AD311-AD312</f>
        <v>198.36158342732443</v>
      </c>
      <c r="AE313" s="19">
        <f t="shared" ca="1" si="2053"/>
        <v>115.83404639104613</v>
      </c>
      <c r="AF313" s="19">
        <f t="shared" ca="1" si="2053"/>
        <v>126.98567141266695</v>
      </c>
      <c r="AG313" s="19">
        <f t="shared" ref="AG313" ca="1" si="2055">+AG306-AG311-AG312</f>
        <v>242.81971780774631</v>
      </c>
      <c r="AH313" s="19">
        <f t="shared" ca="1" si="2053"/>
        <v>140.19349696088955</v>
      </c>
      <c r="AI313" s="19">
        <f t="shared" ca="1" si="2053"/>
        <v>152.6614698463919</v>
      </c>
      <c r="AJ313" s="19">
        <f t="shared" ref="AJ313" ca="1" si="2056">+AJ306-AJ311-AJ312</f>
        <v>292.85496683585285</v>
      </c>
      <c r="AK313" s="19">
        <f t="shared" ca="1" si="2053"/>
        <v>167.52022093036553</v>
      </c>
      <c r="AL313" s="19">
        <f t="shared" ca="1" si="2053"/>
        <v>181.4508497995094</v>
      </c>
      <c r="AM313" s="19">
        <f t="shared" ref="AM313" ca="1" si="2057">+AM306-AM311-AM312</f>
        <v>348.97107077401017</v>
      </c>
      <c r="AN313" s="19">
        <f t="shared" ca="1" si="2053"/>
        <v>192.10156076555253</v>
      </c>
      <c r="AO313" s="19">
        <f t="shared" ca="1" si="2053"/>
        <v>206.02612201028734</v>
      </c>
      <c r="AP313" s="19">
        <f t="shared" ref="AP313:AR313" ca="1" si="2058">+AP306-AP311-AP312</f>
        <v>398.1276828427234</v>
      </c>
      <c r="AQ313" s="19">
        <f t="shared" ca="1" si="2058"/>
        <v>214.43377635512351</v>
      </c>
      <c r="AR313" s="19">
        <f t="shared" ca="1" si="2058"/>
        <v>229.38773777694556</v>
      </c>
      <c r="AS313" s="19">
        <f t="shared" ref="AS313:AU313" ca="1" si="2059">+AS306-AS311-AS312</f>
        <v>443.82151288338747</v>
      </c>
      <c r="AT313" s="19">
        <f t="shared" ca="1" si="2059"/>
        <v>237.66451110174037</v>
      </c>
      <c r="AU313" s="19">
        <f t="shared" ca="1" si="2059"/>
        <v>253.67509074446019</v>
      </c>
      <c r="AV313" s="19">
        <f t="shared" ref="AV313" ca="1" si="2060">+AV306-AV311-AV312</f>
        <v>491.33959940226316</v>
      </c>
    </row>
    <row r="314" spans="1:48" outlineLevel="1" x14ac:dyDescent="0.25">
      <c r="B314" s="113"/>
      <c r="F314" s="19"/>
      <c r="I314" s="19"/>
      <c r="J314" s="21"/>
      <c r="L314" s="308"/>
      <c r="M314" s="21"/>
      <c r="O314" s="308"/>
      <c r="P314" s="21"/>
      <c r="Q314" s="21"/>
      <c r="R314" s="74"/>
      <c r="S314" s="21"/>
      <c r="T314" s="21"/>
      <c r="U314" s="21"/>
      <c r="V314" s="21"/>
      <c r="W314" s="21"/>
      <c r="X314" s="21"/>
      <c r="Y314" s="21"/>
      <c r="Z314" s="21"/>
      <c r="AA314" s="21"/>
      <c r="AB314" s="21"/>
      <c r="AC314" s="21"/>
      <c r="AD314" s="21"/>
      <c r="AE314" s="21"/>
      <c r="AF314" s="21"/>
      <c r="AG314" s="21"/>
      <c r="AH314" s="21"/>
      <c r="AI314" s="21"/>
      <c r="AJ314" s="21"/>
      <c r="AK314" s="21"/>
      <c r="AL314" s="21"/>
      <c r="AM314" s="21"/>
      <c r="AN314" s="21"/>
      <c r="AO314" s="21"/>
      <c r="AP314" s="21"/>
      <c r="AQ314" s="21"/>
      <c r="AR314" s="21"/>
      <c r="AS314" s="21"/>
      <c r="AT314" s="21"/>
      <c r="AU314" s="21"/>
      <c r="AV314" s="21"/>
    </row>
    <row r="315" spans="1:48" outlineLevel="1" x14ac:dyDescent="0.25">
      <c r="B315" s="8" t="s">
        <v>491</v>
      </c>
      <c r="C315" s="22" t="s">
        <v>28</v>
      </c>
      <c r="F315" s="19">
        <f>+F307</f>
        <v>-2.4</v>
      </c>
      <c r="G315" s="19">
        <f t="shared" ref="G315:I315" si="2061">+G307</f>
        <v>-2.2999999999999998</v>
      </c>
      <c r="H315" s="19">
        <f t="shared" si="2061"/>
        <v>-2.4000000000000004</v>
      </c>
      <c r="I315" s="19">
        <f t="shared" si="2061"/>
        <v>-4.7</v>
      </c>
      <c r="J315" s="19">
        <f>+J307</f>
        <v>-6.2</v>
      </c>
      <c r="K315" s="19">
        <f t="shared" ref="K315:L315" si="2062">+K307</f>
        <v>-4.3999999999999995</v>
      </c>
      <c r="L315" s="309">
        <f t="shared" si="2062"/>
        <v>-10.6</v>
      </c>
      <c r="M315" s="19">
        <f>+M307</f>
        <v>-7.9</v>
      </c>
      <c r="N315" s="19">
        <f t="shared" ref="N315:O315" si="2063">+N307</f>
        <v>-6.7999999999999989</v>
      </c>
      <c r="O315" s="309">
        <f t="shared" si="2063"/>
        <v>-14.7</v>
      </c>
      <c r="P315" s="19">
        <f ca="1">-P316*P313</f>
        <v>-8.3973821699393714</v>
      </c>
      <c r="Q315" s="21">
        <f t="shared" ref="Q315" ca="1" si="2064">+R315-P315</f>
        <v>-9.0504388158942657</v>
      </c>
      <c r="R315" s="19">
        <f t="shared" ref="R315:S315" ca="1" si="2065">-R316*R313</f>
        <v>-17.447820985833648</v>
      </c>
      <c r="S315" s="19">
        <f t="shared" ca="1" si="2065"/>
        <v>-11.043711885095343</v>
      </c>
      <c r="T315" s="21">
        <f t="shared" ref="T315" ca="1" si="2066">+U315-S315</f>
        <v>-12.979347232788408</v>
      </c>
      <c r="U315" s="19">
        <f t="shared" ref="U315:V315" ca="1" si="2067">-U316*U313</f>
        <v>-24.023059117883719</v>
      </c>
      <c r="V315" s="19">
        <f t="shared" ca="1" si="2067"/>
        <v>-16.067131075789639</v>
      </c>
      <c r="W315" s="21">
        <f t="shared" ref="W315" ca="1" si="2068">+X315-V315</f>
        <v>-16.141509143174495</v>
      </c>
      <c r="X315" s="19">
        <f t="shared" ref="X315:Y315" ca="1" si="2069">-X316*X313</f>
        <v>-32.208640218960198</v>
      </c>
      <c r="Y315" s="19">
        <f t="shared" ca="1" si="2069"/>
        <v>-21.52062591620134</v>
      </c>
      <c r="Z315" s="21">
        <f t="shared" ref="Z315" ca="1" si="2070">+AA315-Y315</f>
        <v>-22.568116985723364</v>
      </c>
      <c r="AA315" s="19">
        <f t="shared" ref="AA315:AB315" ca="1" si="2071">-AA316*AA313</f>
        <v>-44.088742901890114</v>
      </c>
      <c r="AB315" s="19">
        <f t="shared" ca="1" si="2071"/>
        <v>-26.764626415893982</v>
      </c>
      <c r="AC315" s="21">
        <f t="shared" ref="AC315" ca="1" si="2072">+AD315-AB315</f>
        <v>-29.597354745677617</v>
      </c>
      <c r="AD315" s="19">
        <f t="shared" ref="AD315:AE315" ca="1" si="2073">-AD316*AD313</f>
        <v>-56.361981161517114</v>
      </c>
      <c r="AE315" s="19">
        <f t="shared" ca="1" si="2073"/>
        <v>-32.912806137920342</v>
      </c>
      <c r="AF315" s="21">
        <f t="shared" ref="AF315" ca="1" si="2074">+AG315-AE315</f>
        <v>-36.081401934188392</v>
      </c>
      <c r="AG315" s="19">
        <f t="shared" ref="AG315:AH315" ca="1" si="2075">-AG316*AG313</f>
        <v>-68.99420807325474</v>
      </c>
      <c r="AH315" s="19">
        <f t="shared" ca="1" si="2075"/>
        <v>-39.834241581217462</v>
      </c>
      <c r="AI315" s="21">
        <f t="shared" ref="AI315" ca="1" si="2076">+AJ315-AH315</f>
        <v>-43.376861279816772</v>
      </c>
      <c r="AJ315" s="19">
        <f t="shared" ref="AJ315:AK315" ca="1" si="2077">-AJ316*AJ313</f>
        <v>-83.211102869152441</v>
      </c>
      <c r="AK315" s="19">
        <f t="shared" ca="1" si="2077"/>
        <v>-47.598790920670965</v>
      </c>
      <c r="AL315" s="21">
        <f t="shared" ref="AL315" ca="1" si="2078">+AM315-AK315</f>
        <v>-51.557006157334683</v>
      </c>
      <c r="AM315" s="19">
        <f t="shared" ref="AM315:AQ315" ca="1" si="2079">-AM316*AM313</f>
        <v>-99.155797090546116</v>
      </c>
      <c r="AN315" s="19">
        <f t="shared" ca="1" si="2079"/>
        <v>-54.583273443836859</v>
      </c>
      <c r="AO315" s="21">
        <f t="shared" ref="AO315" ca="1" si="2080">+AP315-AN315</f>
        <v>-58.53976464035766</v>
      </c>
      <c r="AP315" s="19">
        <f t="shared" ref="AP315" ca="1" si="2081">-AP316*AP313</f>
        <v>-113.12303810319864</v>
      </c>
      <c r="AQ315" s="19">
        <f t="shared" ca="1" si="2079"/>
        <v>-60.928695236739088</v>
      </c>
      <c r="AR315" s="21">
        <f t="shared" ref="AR315" ca="1" si="2082">+AS315-AQ315</f>
        <v>-65.177677713003604</v>
      </c>
      <c r="AS315" s="19">
        <f t="shared" ref="AS315:AT315" ca="1" si="2083">-AS316*AS313</f>
        <v>-126.10637259494534</v>
      </c>
      <c r="AT315" s="19">
        <f t="shared" ca="1" si="2083"/>
        <v>-67.529420092500956</v>
      </c>
      <c r="AU315" s="21">
        <f t="shared" ref="AU315" ca="1" si="2084">+AV315-AT315</f>
        <v>-72.078627517730851</v>
      </c>
      <c r="AV315" s="19">
        <f t="shared" ref="AV315" ca="1" si="2085">-AV316*AV313</f>
        <v>-139.60804691581731</v>
      </c>
    </row>
    <row r="316" spans="1:48" outlineLevel="1" x14ac:dyDescent="0.25">
      <c r="A316" t="s">
        <v>627</v>
      </c>
      <c r="B316" s="55" t="s">
        <v>501</v>
      </c>
      <c r="C316" s="22" t="s">
        <v>29</v>
      </c>
      <c r="F316" s="18">
        <f>-F315/F313</f>
        <v>0.24254674077817079</v>
      </c>
      <c r="G316" s="18">
        <f t="shared" ref="G316:I316" si="2086">-G315/G313</f>
        <v>0.29331122871899507</v>
      </c>
      <c r="H316" s="18">
        <f t="shared" si="2086"/>
        <v>0.22585046816919968</v>
      </c>
      <c r="I316" s="18">
        <f t="shared" si="2086"/>
        <v>0.25449426034221356</v>
      </c>
      <c r="J316" s="304">
        <f>-J315/J313</f>
        <v>0.36895977148298026</v>
      </c>
      <c r="K316" s="18">
        <f t="shared" ref="K316:L316" si="2087">-K315/K313</f>
        <v>0.2574665293511843</v>
      </c>
      <c r="L316" s="314">
        <f t="shared" si="2087"/>
        <v>0.3127434087851394</v>
      </c>
      <c r="M316" s="304">
        <f>-M315/M313</f>
        <v>0.31736339313691625</v>
      </c>
      <c r="N316" s="18">
        <f t="shared" ref="N316:O316" si="2088">-N315/N313</f>
        <v>0.2533258329018101</v>
      </c>
      <c r="O316" s="314">
        <f t="shared" si="2088"/>
        <v>0.28413758444395043</v>
      </c>
      <c r="P316" s="246">
        <f>+O316</f>
        <v>0.28413758444395043</v>
      </c>
      <c r="Q316" s="247">
        <f t="shared" ref="Q316" ca="1" si="2089">-Q315/Q313</f>
        <v>0.28413758444395038</v>
      </c>
      <c r="R316" s="246">
        <f t="shared" ref="R316" si="2090">+O316</f>
        <v>0.28413758444395043</v>
      </c>
      <c r="S316" s="246">
        <f t="shared" ref="S316" si="2091">+R316</f>
        <v>0.28413758444395043</v>
      </c>
      <c r="T316" s="247">
        <f t="shared" ref="T316" ca="1" si="2092">-T315/T313</f>
        <v>0.28413758444395043</v>
      </c>
      <c r="U316" s="246">
        <f t="shared" ref="U316" si="2093">+R316</f>
        <v>0.28413758444395043</v>
      </c>
      <c r="V316" s="246">
        <f t="shared" ref="V316" si="2094">+U316</f>
        <v>0.28413758444395043</v>
      </c>
      <c r="W316" s="247">
        <f t="shared" ref="W316" ca="1" si="2095">-W315/W313</f>
        <v>0.28413758444395043</v>
      </c>
      <c r="X316" s="246">
        <f t="shared" ref="X316" si="2096">+U316</f>
        <v>0.28413758444395043</v>
      </c>
      <c r="Y316" s="246">
        <f t="shared" ref="Y316" si="2097">+X316</f>
        <v>0.28413758444395043</v>
      </c>
      <c r="Z316" s="247">
        <f t="shared" ref="Z316" ca="1" si="2098">-Z315/Z313</f>
        <v>0.28413758444395043</v>
      </c>
      <c r="AA316" s="246">
        <f t="shared" ref="AA316" si="2099">+X316</f>
        <v>0.28413758444395043</v>
      </c>
      <c r="AB316" s="246">
        <f t="shared" ref="AB316" si="2100">+AA316</f>
        <v>0.28413758444395043</v>
      </c>
      <c r="AC316" s="247">
        <f t="shared" ref="AC316:AR316" ca="1" si="2101">-AC315/AC313</f>
        <v>0.28413758444395038</v>
      </c>
      <c r="AD316" s="246">
        <f t="shared" ref="AD316" si="2102">+AA316</f>
        <v>0.28413758444395043</v>
      </c>
      <c r="AE316" s="246">
        <f t="shared" ref="AE316" si="2103">+AD316</f>
        <v>0.28413758444395043</v>
      </c>
      <c r="AF316" s="247">
        <f t="shared" ca="1" si="2101"/>
        <v>0.28413758444395038</v>
      </c>
      <c r="AG316" s="246">
        <f t="shared" ref="AG316" si="2104">+AD316</f>
        <v>0.28413758444395043</v>
      </c>
      <c r="AH316" s="246">
        <f t="shared" ref="AH316" si="2105">+AG316</f>
        <v>0.28413758444395043</v>
      </c>
      <c r="AI316" s="247">
        <f t="shared" ca="1" si="2101"/>
        <v>0.28413758444395043</v>
      </c>
      <c r="AJ316" s="246">
        <f t="shared" ref="AJ316" si="2106">+AG316</f>
        <v>0.28413758444395043</v>
      </c>
      <c r="AK316" s="246">
        <f t="shared" ref="AK316" si="2107">+AJ316</f>
        <v>0.28413758444395043</v>
      </c>
      <c r="AL316" s="247">
        <f t="shared" ca="1" si="2101"/>
        <v>0.28413758444395054</v>
      </c>
      <c r="AM316" s="246">
        <f t="shared" ref="AM316" si="2108">+AJ316</f>
        <v>0.28413758444395043</v>
      </c>
      <c r="AN316" s="246">
        <f t="shared" ref="AN316" si="2109">+AM316</f>
        <v>0.28413758444395043</v>
      </c>
      <c r="AO316" s="247">
        <f t="shared" ca="1" si="2101"/>
        <v>0.28413758444395049</v>
      </c>
      <c r="AP316" s="246">
        <f t="shared" ref="AP316" si="2110">+AM316</f>
        <v>0.28413758444395043</v>
      </c>
      <c r="AQ316" s="246">
        <f t="shared" ref="AQ316" si="2111">+AP316</f>
        <v>0.28413758444395043</v>
      </c>
      <c r="AR316" s="247">
        <f t="shared" ca="1" si="2101"/>
        <v>0.28413758444395032</v>
      </c>
      <c r="AS316" s="246">
        <f t="shared" ref="AS316" si="2112">+AP316</f>
        <v>0.28413758444395043</v>
      </c>
      <c r="AT316" s="246">
        <f t="shared" ref="AT316" si="2113">+AS316</f>
        <v>0.28413758444395043</v>
      </c>
      <c r="AU316" s="247">
        <f t="shared" ref="AU316" ca="1" si="2114">-AU315/AU313</f>
        <v>0.28413758444395043</v>
      </c>
      <c r="AV316" s="246">
        <f t="shared" ref="AV316" si="2115">+AS316</f>
        <v>0.28413758444395043</v>
      </c>
    </row>
    <row r="317" spans="1:48" outlineLevel="1" x14ac:dyDescent="0.25">
      <c r="F317" s="14"/>
      <c r="G317" s="14"/>
      <c r="H317" s="14"/>
      <c r="I317" s="14"/>
      <c r="J317" s="254"/>
      <c r="K317" s="14"/>
      <c r="L317" s="311"/>
      <c r="M317" s="254"/>
      <c r="N317" s="44"/>
      <c r="O317" s="44"/>
      <c r="P317" s="44"/>
      <c r="Q317" s="44"/>
      <c r="R317" s="44"/>
      <c r="S317" s="44"/>
      <c r="T317" s="44"/>
      <c r="U317" s="44"/>
      <c r="V317" s="44"/>
      <c r="W317" s="44"/>
      <c r="X317" s="44"/>
      <c r="Y317" s="44"/>
      <c r="Z317" s="44"/>
      <c r="AA317" s="44"/>
      <c r="AB317" s="44"/>
      <c r="AC317" s="44"/>
      <c r="AD317" s="44"/>
      <c r="AE317" s="44"/>
      <c r="AF317" s="44"/>
      <c r="AG317" s="44"/>
      <c r="AH317" s="44"/>
      <c r="AI317" s="44"/>
      <c r="AJ317" s="44"/>
      <c r="AK317" s="44"/>
      <c r="AL317" s="44"/>
      <c r="AM317" s="44"/>
      <c r="AN317" s="44"/>
      <c r="AO317" s="44"/>
      <c r="AP317" s="44"/>
      <c r="AQ317" s="44"/>
      <c r="AR317" s="44"/>
      <c r="AS317" s="44"/>
      <c r="AT317" s="44"/>
      <c r="AU317" s="44"/>
      <c r="AV317" s="44"/>
    </row>
    <row r="318" spans="1:48" outlineLevel="1" x14ac:dyDescent="0.25">
      <c r="F318" s="14"/>
      <c r="G318" s="14"/>
      <c r="H318" s="14"/>
      <c r="I318" s="14"/>
      <c r="K318" s="14"/>
      <c r="L318" s="311"/>
      <c r="M318" s="8"/>
    </row>
    <row r="319" spans="1:48" ht="15.75" x14ac:dyDescent="0.25">
      <c r="A319" s="49" t="s">
        <v>23</v>
      </c>
      <c r="B319" s="50" t="s">
        <v>141</v>
      </c>
      <c r="C319" s="2"/>
      <c r="D319" s="2"/>
      <c r="E319" s="2"/>
      <c r="F319" s="158"/>
      <c r="G319" s="86"/>
      <c r="H319" s="86"/>
      <c r="I319" s="86"/>
      <c r="J319" s="86"/>
      <c r="K319" s="86"/>
      <c r="L319" s="371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  <c r="AP319" s="86"/>
      <c r="AQ319" s="86"/>
      <c r="AR319" s="86"/>
      <c r="AS319" s="86"/>
      <c r="AT319" s="86"/>
      <c r="AU319" s="86"/>
      <c r="AV319" s="86"/>
    </row>
    <row r="320" spans="1:48" outlineLevel="1" x14ac:dyDescent="0.25">
      <c r="M320" s="8"/>
    </row>
    <row r="321" spans="1:48" outlineLevel="1" x14ac:dyDescent="0.25">
      <c r="B321" s="8" t="s">
        <v>187</v>
      </c>
      <c r="C321" s="22" t="s">
        <v>245</v>
      </c>
      <c r="I321" s="45">
        <v>83.992294999999999</v>
      </c>
      <c r="J321" s="19">
        <f>+L321</f>
        <v>101.352914</v>
      </c>
      <c r="K321" s="19">
        <f>+J323</f>
        <v>101.352914</v>
      </c>
      <c r="L321" s="354">
        <f>+L327</f>
        <v>101.352914</v>
      </c>
      <c r="M321" s="441">
        <v>101.438248</v>
      </c>
      <c r="N321" s="19">
        <f>+M323</f>
        <v>106.134631</v>
      </c>
      <c r="O321" s="354">
        <f>+O327</f>
        <v>101.509607</v>
      </c>
      <c r="P321" s="19">
        <f t="shared" ref="P321" si="2116">+R321</f>
        <v>101.509607</v>
      </c>
      <c r="Q321" s="19">
        <f t="shared" ref="Q321" si="2117">+R321</f>
        <v>101.509607</v>
      </c>
      <c r="R321" s="19">
        <f t="shared" ref="R321" si="2118">+O327</f>
        <v>101.509607</v>
      </c>
      <c r="S321" s="19">
        <f t="shared" ref="S321" si="2119">+U321</f>
        <v>101.509607</v>
      </c>
      <c r="T321" s="19">
        <f t="shared" ref="T321" si="2120">+U321</f>
        <v>101.509607</v>
      </c>
      <c r="U321" s="19">
        <f t="shared" ref="U321" si="2121">+R327</f>
        <v>101.509607</v>
      </c>
      <c r="V321" s="19">
        <f t="shared" ref="V321" si="2122">+X321</f>
        <v>101.509607</v>
      </c>
      <c r="W321" s="19">
        <f t="shared" ref="W321" si="2123">+X321</f>
        <v>101.509607</v>
      </c>
      <c r="X321" s="19">
        <f t="shared" ref="X321" si="2124">+U327</f>
        <v>101.509607</v>
      </c>
      <c r="Y321" s="19">
        <f t="shared" ref="Y321" si="2125">+AA321</f>
        <v>101.509607</v>
      </c>
      <c r="Z321" s="19">
        <f t="shared" ref="Z321" si="2126">+AA321</f>
        <v>101.509607</v>
      </c>
      <c r="AA321" s="19">
        <f t="shared" ref="AA321" si="2127">+X327</f>
        <v>101.509607</v>
      </c>
      <c r="AB321" s="19">
        <f t="shared" ref="AB321" si="2128">+AD321</f>
        <v>101.509607</v>
      </c>
      <c r="AC321" s="19">
        <f t="shared" ref="AC321" si="2129">+AD321</f>
        <v>101.509607</v>
      </c>
      <c r="AD321" s="19">
        <f t="shared" ref="AD321" si="2130">+AA327</f>
        <v>101.509607</v>
      </c>
      <c r="AE321" s="19">
        <f t="shared" ref="AE321" si="2131">+AG321</f>
        <v>101.509607</v>
      </c>
      <c r="AF321" s="19">
        <f t="shared" ref="AF321" si="2132">+AG321</f>
        <v>101.509607</v>
      </c>
      <c r="AG321" s="19">
        <f t="shared" ref="AG321" si="2133">+AD327</f>
        <v>101.509607</v>
      </c>
      <c r="AH321" s="19">
        <f t="shared" ref="AH321" si="2134">+AJ321</f>
        <v>101.509607</v>
      </c>
      <c r="AI321" s="19">
        <f t="shared" ref="AI321" si="2135">+AJ321</f>
        <v>101.509607</v>
      </c>
      <c r="AJ321" s="19">
        <f t="shared" ref="AJ321" si="2136">+AG327</f>
        <v>101.509607</v>
      </c>
      <c r="AK321" s="19">
        <f t="shared" ref="AK321" si="2137">+AM321</f>
        <v>101.509607</v>
      </c>
      <c r="AL321" s="19">
        <f t="shared" ref="AL321" si="2138">+AM321</f>
        <v>101.509607</v>
      </c>
      <c r="AM321" s="19">
        <f t="shared" ref="AM321" si="2139">+AJ327</f>
        <v>101.509607</v>
      </c>
      <c r="AN321" s="19">
        <f t="shared" ref="AN321" si="2140">+AP321</f>
        <v>101.509607</v>
      </c>
      <c r="AO321" s="19">
        <f t="shared" ref="AO321" si="2141">+AP321</f>
        <v>101.509607</v>
      </c>
      <c r="AP321" s="19">
        <f t="shared" ref="AP321" si="2142">+AM327</f>
        <v>101.509607</v>
      </c>
      <c r="AQ321" s="19">
        <f t="shared" ref="AQ321" si="2143">+AS321</f>
        <v>101.509607</v>
      </c>
      <c r="AR321" s="19">
        <f t="shared" ref="AR321" si="2144">+AS321</f>
        <v>101.509607</v>
      </c>
      <c r="AS321" s="19">
        <f t="shared" ref="AS321" si="2145">+AP327</f>
        <v>101.509607</v>
      </c>
      <c r="AT321" s="19">
        <f t="shared" ref="AT321" si="2146">+AV321</f>
        <v>101.509607</v>
      </c>
      <c r="AU321" s="19">
        <f t="shared" ref="AU321" si="2147">+AV321</f>
        <v>101.509607</v>
      </c>
      <c r="AV321" s="19">
        <f t="shared" ref="AV321" si="2148">+AS327</f>
        <v>101.509607</v>
      </c>
    </row>
    <row r="322" spans="1:48" outlineLevel="1" x14ac:dyDescent="0.25">
      <c r="I322" s="8">
        <f>+I323-I321</f>
        <v>0</v>
      </c>
      <c r="L322" s="19">
        <v>10.183707999999999</v>
      </c>
      <c r="M322" s="402">
        <f>+M323-M321</f>
        <v>4.6963829999999973</v>
      </c>
      <c r="O322" s="402">
        <f>+O323-O321</f>
        <v>4.3953789999999913</v>
      </c>
    </row>
    <row r="323" spans="1:48" outlineLevel="1" x14ac:dyDescent="0.25">
      <c r="A323" t="s">
        <v>560</v>
      </c>
      <c r="B323" s="8" t="s">
        <v>188</v>
      </c>
      <c r="C323" s="22" t="s">
        <v>245</v>
      </c>
      <c r="D323" s="8" t="s">
        <v>575</v>
      </c>
      <c r="I323" s="19">
        <v>83.992294999999999</v>
      </c>
      <c r="J323" s="19">
        <f>+J321</f>
        <v>101.352914</v>
      </c>
      <c r="K323" s="19">
        <f>+K321</f>
        <v>101.352914</v>
      </c>
      <c r="L323" s="354">
        <f>+L321+L322</f>
        <v>111.53662199999999</v>
      </c>
      <c r="M323" s="441">
        <v>106.134631</v>
      </c>
      <c r="N323" s="19">
        <f>+N321</f>
        <v>106.134631</v>
      </c>
      <c r="O323" s="354">
        <v>105.90498599999999</v>
      </c>
      <c r="P323" s="19">
        <f t="shared" ref="P323" si="2149">+R323</f>
        <v>105.90498599999999</v>
      </c>
      <c r="Q323" s="19">
        <f t="shared" ref="Q323" si="2150">+R323</f>
        <v>105.90498599999999</v>
      </c>
      <c r="R323" s="19">
        <f t="shared" ref="R323" si="2151">+R321+(O323-O321)</f>
        <v>105.90498599999999</v>
      </c>
      <c r="S323" s="19">
        <f t="shared" ref="S323" si="2152">+U323</f>
        <v>105.90498599999999</v>
      </c>
      <c r="T323" s="19">
        <f t="shared" ref="T323" si="2153">+U323</f>
        <v>105.90498599999999</v>
      </c>
      <c r="U323" s="19">
        <f t="shared" ref="U323" si="2154">+U321+(R323-R321)</f>
        <v>105.90498599999999</v>
      </c>
      <c r="V323" s="19">
        <f t="shared" ref="V323" si="2155">+X323</f>
        <v>105.90498599999999</v>
      </c>
      <c r="W323" s="19">
        <f t="shared" ref="W323" si="2156">+X323</f>
        <v>105.90498599999999</v>
      </c>
      <c r="X323" s="19">
        <f t="shared" ref="X323" si="2157">+X321+(U323-U321)</f>
        <v>105.90498599999999</v>
      </c>
      <c r="Y323" s="19">
        <f t="shared" ref="Y323" si="2158">+AA323</f>
        <v>105.90498599999999</v>
      </c>
      <c r="Z323" s="19">
        <f t="shared" ref="Z323" si="2159">+AA323</f>
        <v>105.90498599999999</v>
      </c>
      <c r="AA323" s="19">
        <f t="shared" ref="AA323" si="2160">+AA321+(X323-X321)</f>
        <v>105.90498599999999</v>
      </c>
      <c r="AB323" s="19">
        <f t="shared" ref="AB323" si="2161">+AD323</f>
        <v>105.90498599999999</v>
      </c>
      <c r="AC323" s="19">
        <f t="shared" ref="AC323" si="2162">+AD323</f>
        <v>105.90498599999999</v>
      </c>
      <c r="AD323" s="19">
        <f t="shared" ref="AD323" si="2163">+AD321+(AA323-AA321)</f>
        <v>105.90498599999999</v>
      </c>
      <c r="AE323" s="19">
        <f t="shared" ref="AE323" si="2164">+AG323</f>
        <v>105.90498599999999</v>
      </c>
      <c r="AF323" s="19">
        <f t="shared" ref="AF323" si="2165">+AG323</f>
        <v>105.90498599999999</v>
      </c>
      <c r="AG323" s="19">
        <f t="shared" ref="AG323" si="2166">+AG321+(AD323-AD321)</f>
        <v>105.90498599999999</v>
      </c>
      <c r="AH323" s="19">
        <f t="shared" ref="AH323" si="2167">+AJ323</f>
        <v>105.90498599999999</v>
      </c>
      <c r="AI323" s="19">
        <f t="shared" ref="AI323" si="2168">+AJ323</f>
        <v>105.90498599999999</v>
      </c>
      <c r="AJ323" s="19">
        <f t="shared" ref="AJ323" si="2169">+AJ321+(AG323-AG321)</f>
        <v>105.90498599999999</v>
      </c>
      <c r="AK323" s="19">
        <f t="shared" ref="AK323" si="2170">+AM323</f>
        <v>105.90498599999999</v>
      </c>
      <c r="AL323" s="19">
        <f t="shared" ref="AL323" si="2171">+AM323</f>
        <v>105.90498599999999</v>
      </c>
      <c r="AM323" s="19">
        <f t="shared" ref="AM323" si="2172">+AM321+(AJ323-AJ321)</f>
        <v>105.90498599999999</v>
      </c>
      <c r="AN323" s="19">
        <f t="shared" ref="AN323" si="2173">+AP323</f>
        <v>105.90498599999999</v>
      </c>
      <c r="AO323" s="19">
        <f t="shared" ref="AO323" si="2174">+AP323</f>
        <v>105.90498599999999</v>
      </c>
      <c r="AP323" s="19">
        <f t="shared" ref="AP323" si="2175">+AP321+(AM323-AM321)</f>
        <v>105.90498599999999</v>
      </c>
      <c r="AQ323" s="19">
        <f t="shared" ref="AQ323" si="2176">+AS323</f>
        <v>105.90498599999999</v>
      </c>
      <c r="AR323" s="19">
        <f t="shared" ref="AR323" si="2177">+AS323</f>
        <v>105.90498599999999</v>
      </c>
      <c r="AS323" s="19">
        <f t="shared" ref="AS323" si="2178">+AS321+(AP323-AP321)</f>
        <v>105.90498599999999</v>
      </c>
      <c r="AT323" s="19">
        <f t="shared" ref="AT323" si="2179">+AV323</f>
        <v>105.90498599999999</v>
      </c>
      <c r="AU323" s="19">
        <f t="shared" ref="AU323" si="2180">+AV323</f>
        <v>105.90498599999999</v>
      </c>
      <c r="AV323" s="19">
        <f t="shared" ref="AV323" si="2181">+AV321+(AS323-AS321)</f>
        <v>105.90498599999999</v>
      </c>
    </row>
    <row r="324" spans="1:48" outlineLevel="1" x14ac:dyDescent="0.25">
      <c r="M324" s="8"/>
      <c r="O324" s="313"/>
    </row>
    <row r="325" spans="1:48" outlineLevel="1" x14ac:dyDescent="0.25">
      <c r="B325" s="8" t="s">
        <v>189</v>
      </c>
      <c r="C325" s="22" t="s">
        <v>245</v>
      </c>
      <c r="G325" s="8">
        <f>+F327</f>
        <v>0</v>
      </c>
      <c r="H325" s="8">
        <f>+G327</f>
        <v>0</v>
      </c>
      <c r="I325" s="8">
        <f>+F327</f>
        <v>0</v>
      </c>
      <c r="J325" s="19">
        <f>+I327</f>
        <v>84.916250000000005</v>
      </c>
      <c r="K325" s="19">
        <f>+J327</f>
        <v>101.352914</v>
      </c>
      <c r="L325" s="368">
        <f>+I327</f>
        <v>84.916250000000005</v>
      </c>
      <c r="M325" s="19">
        <f>+L327</f>
        <v>101.352914</v>
      </c>
      <c r="N325" s="19">
        <f>+M327</f>
        <v>101.46366399999999</v>
      </c>
      <c r="O325" s="368">
        <f>+L327</f>
        <v>101.352914</v>
      </c>
      <c r="P325" s="17">
        <f t="shared" ref="P325:Q325" si="2182">+O327</f>
        <v>101.509607</v>
      </c>
      <c r="Q325" s="17">
        <f t="shared" si="2182"/>
        <v>101.509607</v>
      </c>
      <c r="R325" s="17">
        <f t="shared" ref="R325" si="2183">+O327</f>
        <v>101.509607</v>
      </c>
      <c r="S325" s="17">
        <f t="shared" ref="S325:T325" si="2184">+R327</f>
        <v>101.509607</v>
      </c>
      <c r="T325" s="17">
        <f t="shared" si="2184"/>
        <v>101.509607</v>
      </c>
      <c r="U325" s="17">
        <f t="shared" ref="U325" si="2185">+R327</f>
        <v>101.509607</v>
      </c>
      <c r="V325" s="17">
        <f t="shared" ref="V325:W325" si="2186">+U327</f>
        <v>101.509607</v>
      </c>
      <c r="W325" s="17">
        <f t="shared" si="2186"/>
        <v>101.509607</v>
      </c>
      <c r="X325" s="17">
        <f t="shared" ref="X325" si="2187">+U327</f>
        <v>101.509607</v>
      </c>
      <c r="Y325" s="17">
        <f t="shared" ref="Y325:Z325" si="2188">+X327</f>
        <v>101.509607</v>
      </c>
      <c r="Z325" s="17">
        <f t="shared" si="2188"/>
        <v>101.509607</v>
      </c>
      <c r="AA325" s="17">
        <f t="shared" ref="AA325" si="2189">+X327</f>
        <v>101.509607</v>
      </c>
      <c r="AB325" s="17">
        <f t="shared" ref="AB325" si="2190">+AA327</f>
        <v>101.509607</v>
      </c>
      <c r="AC325" s="17">
        <f t="shared" ref="AC325" si="2191">+AB327</f>
        <v>101.509607</v>
      </c>
      <c r="AD325" s="17">
        <f t="shared" ref="AD325" si="2192">+AA327</f>
        <v>101.509607</v>
      </c>
      <c r="AE325" s="17">
        <f t="shared" ref="AE325" si="2193">+AD327</f>
        <v>101.509607</v>
      </c>
      <c r="AF325" s="17">
        <f t="shared" ref="AF325" si="2194">+AE327</f>
        <v>101.509607</v>
      </c>
      <c r="AG325" s="17">
        <f t="shared" ref="AG325" si="2195">+AD327</f>
        <v>101.509607</v>
      </c>
      <c r="AH325" s="17">
        <f t="shared" ref="AH325" si="2196">+AG327</f>
        <v>101.509607</v>
      </c>
      <c r="AI325" s="17">
        <f t="shared" ref="AI325" si="2197">+AH327</f>
        <v>101.509607</v>
      </c>
      <c r="AJ325" s="17">
        <f t="shared" ref="AJ325" si="2198">+AG327</f>
        <v>101.509607</v>
      </c>
      <c r="AK325" s="17">
        <f t="shared" ref="AK325" si="2199">+AJ327</f>
        <v>101.509607</v>
      </c>
      <c r="AL325" s="17">
        <f t="shared" ref="AL325" si="2200">+AK327</f>
        <v>101.509607</v>
      </c>
      <c r="AM325" s="17">
        <f t="shared" ref="AM325" si="2201">+AJ327</f>
        <v>101.509607</v>
      </c>
      <c r="AN325" s="17">
        <f t="shared" ref="AN325" si="2202">+AM327</f>
        <v>101.509607</v>
      </c>
      <c r="AO325" s="17">
        <f t="shared" ref="AO325" si="2203">+AN327</f>
        <v>101.509607</v>
      </c>
      <c r="AP325" s="17">
        <f t="shared" ref="AP325" si="2204">+AM327</f>
        <v>101.509607</v>
      </c>
      <c r="AQ325" s="17">
        <f t="shared" ref="AQ325" si="2205">+AP327</f>
        <v>101.509607</v>
      </c>
      <c r="AR325" s="17">
        <f t="shared" ref="AR325" si="2206">+AQ327</f>
        <v>101.509607</v>
      </c>
      <c r="AS325" s="17">
        <f t="shared" ref="AS325" si="2207">+AP327</f>
        <v>101.509607</v>
      </c>
      <c r="AT325" s="17">
        <f t="shared" ref="AT325" si="2208">+AS327</f>
        <v>101.509607</v>
      </c>
      <c r="AU325" s="17">
        <f t="shared" ref="AU325" si="2209">+AT327</f>
        <v>101.509607</v>
      </c>
      <c r="AV325" s="17">
        <f t="shared" ref="AV325" si="2210">+AS327</f>
        <v>101.509607</v>
      </c>
    </row>
    <row r="326" spans="1:48" outlineLevel="1" x14ac:dyDescent="0.25">
      <c r="B326" s="8" t="s">
        <v>190</v>
      </c>
      <c r="C326" s="22" t="s">
        <v>245</v>
      </c>
      <c r="G326" s="8">
        <f t="shared" ref="G326:L326" si="2211">+G327-G325</f>
        <v>0</v>
      </c>
      <c r="H326" s="8">
        <f t="shared" si="2211"/>
        <v>0</v>
      </c>
      <c r="I326" s="19">
        <f t="shared" si="2211"/>
        <v>84.916250000000005</v>
      </c>
      <c r="J326" s="19">
        <f t="shared" si="2211"/>
        <v>16.436663999999993</v>
      </c>
      <c r="K326" s="233">
        <f t="shared" si="2211"/>
        <v>0</v>
      </c>
      <c r="L326" s="309">
        <f t="shared" si="2211"/>
        <v>16.436663999999993</v>
      </c>
      <c r="M326" s="19">
        <f>+M327-M325</f>
        <v>0.11074999999999591</v>
      </c>
      <c r="N326" s="233">
        <f t="shared" ref="N326:O326" si="2212">+N327-N325</f>
        <v>4.5943000000008283E-2</v>
      </c>
      <c r="O326" s="309">
        <f t="shared" si="2212"/>
        <v>0.15669300000000419</v>
      </c>
      <c r="P326" s="207">
        <v>0</v>
      </c>
      <c r="Q326" s="207">
        <v>0</v>
      </c>
      <c r="R326" s="207">
        <v>0</v>
      </c>
      <c r="S326" s="207">
        <v>0</v>
      </c>
      <c r="T326" s="207">
        <v>0</v>
      </c>
      <c r="U326" s="207">
        <v>0</v>
      </c>
      <c r="V326" s="207">
        <v>0</v>
      </c>
      <c r="W326" s="207">
        <v>0</v>
      </c>
      <c r="X326" s="207">
        <v>0</v>
      </c>
      <c r="Y326" s="207">
        <v>0</v>
      </c>
      <c r="Z326" s="207">
        <v>0</v>
      </c>
      <c r="AA326" s="207">
        <v>0</v>
      </c>
      <c r="AB326" s="207">
        <v>0</v>
      </c>
      <c r="AC326" s="207">
        <v>0</v>
      </c>
      <c r="AD326" s="207">
        <v>0</v>
      </c>
      <c r="AE326" s="207">
        <v>0</v>
      </c>
      <c r="AF326" s="207">
        <v>0</v>
      </c>
      <c r="AG326" s="207">
        <v>0</v>
      </c>
      <c r="AH326" s="207">
        <v>0</v>
      </c>
      <c r="AI326" s="207">
        <v>0</v>
      </c>
      <c r="AJ326" s="207">
        <v>0</v>
      </c>
      <c r="AK326" s="207">
        <v>0</v>
      </c>
      <c r="AL326" s="207">
        <v>0</v>
      </c>
      <c r="AM326" s="207">
        <v>0</v>
      </c>
      <c r="AN326" s="207">
        <v>0</v>
      </c>
      <c r="AO326" s="207">
        <v>0</v>
      </c>
      <c r="AP326" s="207">
        <v>0</v>
      </c>
      <c r="AQ326" s="207">
        <v>0</v>
      </c>
      <c r="AR326" s="207">
        <v>0</v>
      </c>
      <c r="AS326" s="207">
        <v>0</v>
      </c>
      <c r="AT326" s="207">
        <v>0</v>
      </c>
      <c r="AU326" s="207">
        <v>0</v>
      </c>
      <c r="AV326" s="207">
        <v>0</v>
      </c>
    </row>
    <row r="327" spans="1:48" outlineLevel="1" x14ac:dyDescent="0.25">
      <c r="B327" s="8" t="s">
        <v>191</v>
      </c>
      <c r="C327" s="22" t="s">
        <v>245</v>
      </c>
      <c r="I327" s="45">
        <v>84.916250000000005</v>
      </c>
      <c r="J327" s="52">
        <f>+K327</f>
        <v>101.352914</v>
      </c>
      <c r="K327" s="17">
        <f>+L327</f>
        <v>101.352914</v>
      </c>
      <c r="L327" s="354">
        <v>101.352914</v>
      </c>
      <c r="M327" s="441">
        <v>101.46366399999999</v>
      </c>
      <c r="N327" s="17">
        <f>+O327</f>
        <v>101.509607</v>
      </c>
      <c r="O327" s="354">
        <v>101.509607</v>
      </c>
      <c r="P327" s="17">
        <f t="shared" ref="P327:X327" si="2213">+P325+P326</f>
        <v>101.509607</v>
      </c>
      <c r="Q327" s="17">
        <f t="shared" si="2213"/>
        <v>101.509607</v>
      </c>
      <c r="R327" s="17">
        <f t="shared" si="2213"/>
        <v>101.509607</v>
      </c>
      <c r="S327" s="17">
        <f t="shared" si="2213"/>
        <v>101.509607</v>
      </c>
      <c r="T327" s="17">
        <f t="shared" si="2213"/>
        <v>101.509607</v>
      </c>
      <c r="U327" s="17">
        <f t="shared" si="2213"/>
        <v>101.509607</v>
      </c>
      <c r="V327" s="17">
        <f t="shared" si="2213"/>
        <v>101.509607</v>
      </c>
      <c r="W327" s="17">
        <f t="shared" si="2213"/>
        <v>101.509607</v>
      </c>
      <c r="X327" s="17">
        <f t="shared" si="2213"/>
        <v>101.509607</v>
      </c>
      <c r="Y327" s="17">
        <f t="shared" ref="Y327:AA327" si="2214">+Y325+Y326</f>
        <v>101.509607</v>
      </c>
      <c r="Z327" s="17">
        <f t="shared" si="2214"/>
        <v>101.509607</v>
      </c>
      <c r="AA327" s="17">
        <f t="shared" si="2214"/>
        <v>101.509607</v>
      </c>
      <c r="AB327" s="17">
        <f t="shared" ref="AB327:AP327" si="2215">+AB325+AB326</f>
        <v>101.509607</v>
      </c>
      <c r="AC327" s="17">
        <f t="shared" si="2215"/>
        <v>101.509607</v>
      </c>
      <c r="AD327" s="17">
        <f t="shared" si="2215"/>
        <v>101.509607</v>
      </c>
      <c r="AE327" s="17">
        <f t="shared" si="2215"/>
        <v>101.509607</v>
      </c>
      <c r="AF327" s="17">
        <f t="shared" si="2215"/>
        <v>101.509607</v>
      </c>
      <c r="AG327" s="17">
        <f t="shared" si="2215"/>
        <v>101.509607</v>
      </c>
      <c r="AH327" s="17">
        <f t="shared" si="2215"/>
        <v>101.509607</v>
      </c>
      <c r="AI327" s="17">
        <f t="shared" si="2215"/>
        <v>101.509607</v>
      </c>
      <c r="AJ327" s="17">
        <f t="shared" si="2215"/>
        <v>101.509607</v>
      </c>
      <c r="AK327" s="17">
        <f t="shared" si="2215"/>
        <v>101.509607</v>
      </c>
      <c r="AL327" s="17">
        <f t="shared" si="2215"/>
        <v>101.509607</v>
      </c>
      <c r="AM327" s="17">
        <f t="shared" si="2215"/>
        <v>101.509607</v>
      </c>
      <c r="AN327" s="17">
        <f t="shared" si="2215"/>
        <v>101.509607</v>
      </c>
      <c r="AO327" s="17">
        <f t="shared" si="2215"/>
        <v>101.509607</v>
      </c>
      <c r="AP327" s="17">
        <f t="shared" si="2215"/>
        <v>101.509607</v>
      </c>
      <c r="AQ327" s="17">
        <f t="shared" ref="AQ327:AS327" si="2216">+AQ325+AQ326</f>
        <v>101.509607</v>
      </c>
      <c r="AR327" s="17">
        <f t="shared" si="2216"/>
        <v>101.509607</v>
      </c>
      <c r="AS327" s="17">
        <f t="shared" si="2216"/>
        <v>101.509607</v>
      </c>
      <c r="AT327" s="17">
        <f t="shared" ref="AT327:AV327" si="2217">+AT325+AT326</f>
        <v>101.509607</v>
      </c>
      <c r="AU327" s="17">
        <f t="shared" si="2217"/>
        <v>101.509607</v>
      </c>
      <c r="AV327" s="17">
        <f t="shared" si="2217"/>
        <v>101.509607</v>
      </c>
    </row>
    <row r="328" spans="1:48" outlineLevel="1" x14ac:dyDescent="0.25">
      <c r="M328" s="8"/>
    </row>
    <row r="329" spans="1:48" outlineLevel="1" x14ac:dyDescent="0.25">
      <c r="M329" s="8"/>
    </row>
    <row r="330" spans="1:48" ht="15.75" x14ac:dyDescent="0.25">
      <c r="A330" s="49" t="s">
        <v>23</v>
      </c>
      <c r="B330" s="50" t="s">
        <v>142</v>
      </c>
      <c r="C330" s="2"/>
      <c r="D330" s="2"/>
      <c r="E330" s="2"/>
      <c r="F330" s="158"/>
      <c r="G330" s="86"/>
      <c r="H330" s="86"/>
      <c r="I330" s="86"/>
      <c r="J330" s="86"/>
      <c r="K330" s="86"/>
      <c r="L330" s="371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  <c r="AP330" s="86"/>
      <c r="AQ330" s="86"/>
      <c r="AR330" s="86"/>
      <c r="AS330" s="86"/>
      <c r="AT330" s="86"/>
      <c r="AU330" s="86"/>
      <c r="AV330" s="86"/>
    </row>
    <row r="331" spans="1:48" outlineLevel="1" x14ac:dyDescent="0.25">
      <c r="M331" s="8"/>
    </row>
    <row r="332" spans="1:48" outlineLevel="1" x14ac:dyDescent="0.25">
      <c r="A332" s="64"/>
      <c r="B332" s="67" t="s">
        <v>166</v>
      </c>
      <c r="C332" s="66"/>
      <c r="D332" s="65"/>
      <c r="E332" s="65"/>
      <c r="F332" s="65"/>
      <c r="G332" s="65"/>
      <c r="H332" s="65"/>
      <c r="I332" s="65"/>
      <c r="J332" s="65"/>
      <c r="K332" s="65"/>
      <c r="L332" s="375"/>
      <c r="M332" s="65"/>
      <c r="N332" s="65"/>
      <c r="O332" s="65"/>
      <c r="P332" s="65"/>
      <c r="Q332" s="65"/>
      <c r="R332" s="65"/>
      <c r="S332" s="65"/>
      <c r="T332" s="65"/>
      <c r="U332" s="65"/>
      <c r="V332" s="65"/>
      <c r="W332" s="65"/>
      <c r="X332" s="65"/>
      <c r="Y332" s="65"/>
      <c r="Z332" s="65"/>
      <c r="AA332" s="65"/>
      <c r="AB332" s="65"/>
      <c r="AC332" s="65"/>
      <c r="AD332" s="65"/>
      <c r="AE332" s="65"/>
      <c r="AF332" s="65"/>
      <c r="AG332" s="65"/>
      <c r="AH332" s="65"/>
      <c r="AI332" s="65"/>
      <c r="AJ332" s="65"/>
      <c r="AK332" s="65"/>
      <c r="AL332" s="65"/>
      <c r="AM332" s="65"/>
      <c r="AN332" s="65"/>
      <c r="AO332" s="65"/>
      <c r="AP332" s="65"/>
      <c r="AQ332" s="65"/>
      <c r="AR332" s="65"/>
      <c r="AS332" s="65"/>
      <c r="AT332" s="65"/>
      <c r="AU332" s="65"/>
      <c r="AV332" s="65"/>
    </row>
    <row r="333" spans="1:48" outlineLevel="1" x14ac:dyDescent="0.25">
      <c r="K333" s="19"/>
      <c r="M333" s="8"/>
    </row>
    <row r="334" spans="1:48" outlineLevel="1" x14ac:dyDescent="0.25">
      <c r="B334" s="8" t="s">
        <v>99</v>
      </c>
      <c r="C334" s="22" t="s">
        <v>28</v>
      </c>
      <c r="J334" s="19">
        <f>+I338</f>
        <v>69.486000000000004</v>
      </c>
      <c r="K334" s="19">
        <f>+J338</f>
        <v>78</v>
      </c>
      <c r="L334" s="309">
        <f>I338</f>
        <v>69.486000000000004</v>
      </c>
      <c r="M334" s="19">
        <f>+L338</f>
        <v>87.63</v>
      </c>
      <c r="N334" s="19">
        <f>+M338</f>
        <v>103.02800000000001</v>
      </c>
      <c r="O334" s="309">
        <f>L338</f>
        <v>87.63</v>
      </c>
      <c r="P334" s="19">
        <f>+O338</f>
        <v>130.05600000000001</v>
      </c>
      <c r="Q334" s="19">
        <f>+P338</f>
        <v>145.70764166787592</v>
      </c>
      <c r="R334" s="19">
        <f>O338</f>
        <v>130.05600000000001</v>
      </c>
      <c r="S334" s="19">
        <f>+R338</f>
        <v>160.12529485082359</v>
      </c>
      <c r="T334" s="19">
        <f>+S338</f>
        <v>182.38040939738056</v>
      </c>
      <c r="U334" s="19">
        <f>R338</f>
        <v>160.12529485082359</v>
      </c>
      <c r="V334" s="19">
        <f>+U338</f>
        <v>203.13492009751008</v>
      </c>
      <c r="W334" s="19">
        <f>+V338</f>
        <v>219.4388710024802</v>
      </c>
      <c r="X334" s="19">
        <f>U338</f>
        <v>203.13492009751008</v>
      </c>
      <c r="Y334" s="19">
        <f>+X338</f>
        <v>233.95550351893522</v>
      </c>
      <c r="Z334" s="19">
        <f>+Y338</f>
        <v>251.03992161473255</v>
      </c>
      <c r="AA334" s="19">
        <f>X338</f>
        <v>233.95550351893522</v>
      </c>
      <c r="AB334" s="19">
        <f t="shared" ref="AB334:AC334" si="2218">+AA338</f>
        <v>266.03938521209545</v>
      </c>
      <c r="AC334" s="19">
        <f t="shared" si="2218"/>
        <v>281.6627638713523</v>
      </c>
      <c r="AD334" s="19">
        <f t="shared" ref="AD334" si="2219">AA338</f>
        <v>266.03938521209545</v>
      </c>
      <c r="AE334" s="19">
        <f t="shared" ref="AE334:AF334" si="2220">+AD338</f>
        <v>294.90186752344238</v>
      </c>
      <c r="AF334" s="19">
        <f t="shared" si="2220"/>
        <v>311.53573940771804</v>
      </c>
      <c r="AG334" s="19">
        <f t="shared" ref="AG334" si="2221">AD338</f>
        <v>294.90186752344238</v>
      </c>
      <c r="AH334" s="19">
        <f t="shared" ref="AH334:AI334" si="2222">+AG338</f>
        <v>325.49135392593269</v>
      </c>
      <c r="AI334" s="19">
        <f t="shared" si="2222"/>
        <v>343.30318740841608</v>
      </c>
      <c r="AJ334" s="19">
        <f t="shared" ref="AJ334" si="2223">AG338</f>
        <v>325.49135392593269</v>
      </c>
      <c r="AK334" s="19">
        <f t="shared" ref="AK334:AL334" si="2224">+AJ338</f>
        <v>358.12973599438664</v>
      </c>
      <c r="AL334" s="19">
        <f t="shared" si="2224"/>
        <v>377.30637176344635</v>
      </c>
      <c r="AM334" s="19">
        <f t="shared" ref="AM334" si="2225">AJ338</f>
        <v>358.12973599438664</v>
      </c>
      <c r="AN334" s="19">
        <f t="shared" ref="AN334:AO334" si="2226">+AM338</f>
        <v>393.17760515057859</v>
      </c>
      <c r="AO334" s="19">
        <f t="shared" si="2226"/>
        <v>411.21918727514088</v>
      </c>
      <c r="AP334" s="19">
        <f t="shared" ref="AP334" si="2227">AM338</f>
        <v>393.17760515057859</v>
      </c>
      <c r="AQ334" s="19">
        <f t="shared" ref="AQ334" si="2228">+AP338</f>
        <v>425.70355870567641</v>
      </c>
      <c r="AR334" s="19">
        <f t="shared" ref="AR334" si="2229">+AQ338</f>
        <v>445.31825985257024</v>
      </c>
      <c r="AS334" s="19">
        <f t="shared" ref="AS334" si="2230">AP338</f>
        <v>425.70355870567641</v>
      </c>
      <c r="AT334" s="19">
        <f t="shared" ref="AT334" si="2231">+AS338</f>
        <v>461.14349806501815</v>
      </c>
      <c r="AU334" s="19">
        <f t="shared" ref="AU334" si="2232">+AT338</f>
        <v>482.50730945761416</v>
      </c>
      <c r="AV334" s="19">
        <f t="shared" ref="AV334" si="2233">AS338</f>
        <v>461.14349806501815</v>
      </c>
    </row>
    <row r="335" spans="1:48" outlineLevel="1" x14ac:dyDescent="0.25">
      <c r="B335" s="8" t="s">
        <v>100</v>
      </c>
      <c r="C335" s="22" t="s">
        <v>28</v>
      </c>
      <c r="F335" s="19">
        <f t="shared" ref="F335:I335" si="2234">-F341</f>
        <v>-5.3</v>
      </c>
      <c r="G335" s="19">
        <f t="shared" si="2234"/>
        <v>-4.2</v>
      </c>
      <c r="H335" s="19">
        <f t="shared" si="2234"/>
        <v>-4.2</v>
      </c>
      <c r="I335" s="19">
        <f t="shared" si="2234"/>
        <v>-8.4</v>
      </c>
      <c r="J335" s="19">
        <f>-J341</f>
        <v>-6.48</v>
      </c>
      <c r="K335" s="19">
        <f t="shared" ref="K335:L335" si="2235">-K341</f>
        <v>-6.48</v>
      </c>
      <c r="L335" s="309">
        <f t="shared" si="2235"/>
        <v>-12.96</v>
      </c>
      <c r="M335" s="19">
        <f>-M341</f>
        <v>-7.8319999999999999</v>
      </c>
      <c r="N335" s="19">
        <f t="shared" ref="N335:O335" si="2236">-N341</f>
        <v>-11.463999999999999</v>
      </c>
      <c r="O335" s="309">
        <f t="shared" si="2236"/>
        <v>-19.295999999999999</v>
      </c>
      <c r="P335" s="19">
        <f>-P341</f>
        <v>-11.722890606818181</v>
      </c>
      <c r="Q335" s="19">
        <f>-Q341</f>
        <v>-12.95687909174641</v>
      </c>
      <c r="R335" s="19">
        <f>P335+Q335</f>
        <v>-24.679769698564591</v>
      </c>
      <c r="S335" s="19">
        <f>-S341</f>
        <v>-14.255736541060742</v>
      </c>
      <c r="T335" s="19">
        <f>-T341</f>
        <v>-15.756340387488191</v>
      </c>
      <c r="U335" s="19">
        <f>S335+T335</f>
        <v>-30.012076928548932</v>
      </c>
      <c r="V335" s="19">
        <f>-V341</f>
        <v>-16.979524690893307</v>
      </c>
      <c r="W335" s="19">
        <f>-W341</f>
        <v>-18.766843079408396</v>
      </c>
      <c r="X335" s="19">
        <f>V335+W335</f>
        <v>-35.746367770301703</v>
      </c>
      <c r="Y335" s="19">
        <f>-Y341</f>
        <v>-19.807067735127266</v>
      </c>
      <c r="Z335" s="19">
        <f>-Z341</f>
        <v>-21.892022233561715</v>
      </c>
      <c r="AA335" s="19">
        <f>Y335+Z335</f>
        <v>-41.69908996868898</v>
      </c>
      <c r="AB335" s="19">
        <f t="shared" ref="AB335:AC335" si="2237">-AB341</f>
        <v>-22.650612568084608</v>
      </c>
      <c r="AC335" s="19">
        <f t="shared" si="2237"/>
        <v>-25.034887575251414</v>
      </c>
      <c r="AD335" s="19">
        <f t="shared" ref="AD335:AD336" si="2238">AB335+AC335</f>
        <v>-47.685500143336021</v>
      </c>
      <c r="AE335" s="19">
        <f t="shared" ref="AE335:AF335" si="2239">-AE341</f>
        <v>-25.443444977579215</v>
      </c>
      <c r="AF335" s="19">
        <f t="shared" si="2239"/>
        <v>-28.121702343640191</v>
      </c>
      <c r="AG335" s="19">
        <f t="shared" ref="AG335:AG336" si="2240">AE335+AF335</f>
        <v>-53.565147321219406</v>
      </c>
      <c r="AH335" s="19">
        <f t="shared" ref="AH335:AI335" si="2241">-AH341</f>
        <v>-28.360206516871909</v>
      </c>
      <c r="AI335" s="19">
        <f t="shared" si="2241"/>
        <v>-31.345491413384746</v>
      </c>
      <c r="AJ335" s="19">
        <f t="shared" ref="AJ335:AJ336" si="2242">AH335+AI335</f>
        <v>-59.705697930256655</v>
      </c>
      <c r="AK335" s="19">
        <f t="shared" ref="AK335:AL335" si="2243">-AK341</f>
        <v>-31.401322628311263</v>
      </c>
      <c r="AL335" s="19">
        <f t="shared" si="2243"/>
        <v>-34.70672501023877</v>
      </c>
      <c r="AM335" s="19">
        <f t="shared" ref="AM335:AM336" si="2244">AK335+AL335</f>
        <v>-66.108047638550033</v>
      </c>
      <c r="AN335" s="19">
        <f t="shared" ref="AN335:AO335" si="2245">-AN341</f>
        <v>-33.793501593254611</v>
      </c>
      <c r="AO335" s="19">
        <f t="shared" si="2245"/>
        <v>-37.350712287281418</v>
      </c>
      <c r="AP335" s="19">
        <f t="shared" ref="AP335:AP336" si="2246">AN335+AO335</f>
        <v>-71.144213880536029</v>
      </c>
      <c r="AQ335" s="19">
        <f t="shared" ref="AQ335:AR335" si="2247">-AQ341</f>
        <v>-35.999897877235973</v>
      </c>
      <c r="AR335" s="19">
        <f t="shared" si="2247"/>
        <v>-39.789360811681867</v>
      </c>
      <c r="AS335" s="19">
        <f t="shared" ref="AS335:AS336" si="2248">AQ335+AR335</f>
        <v>-75.78925868891784</v>
      </c>
      <c r="AT335" s="19">
        <f t="shared" ref="AT335:AU335" si="2249">-AT341</f>
        <v>-38.210478846074771</v>
      </c>
      <c r="AU335" s="19">
        <f t="shared" si="2249"/>
        <v>-42.23263451408264</v>
      </c>
      <c r="AV335" s="19">
        <f t="shared" ref="AV335:AV336" si="2250">AT335+AU335</f>
        <v>-80.443113360157412</v>
      </c>
    </row>
    <row r="336" spans="1:48" outlineLevel="1" x14ac:dyDescent="0.25">
      <c r="B336" s="8" t="s">
        <v>101</v>
      </c>
      <c r="C336" s="22" t="s">
        <v>28</v>
      </c>
      <c r="F336" s="19">
        <f>+F347</f>
        <v>19.399999999999999</v>
      </c>
      <c r="I336" s="19">
        <f>+I347</f>
        <v>39.700000000000003</v>
      </c>
      <c r="J336" s="8">
        <f>+J347</f>
        <v>14.9</v>
      </c>
      <c r="K336" s="19">
        <f>+K347</f>
        <v>18.596000000000004</v>
      </c>
      <c r="L336" s="309">
        <f>J336+K336</f>
        <v>33.496000000000002</v>
      </c>
      <c r="M336" s="8">
        <f>+M347</f>
        <v>21.855</v>
      </c>
      <c r="N336" s="19">
        <f>+N347</f>
        <v>39.471000000000004</v>
      </c>
      <c r="O336" s="309">
        <f>M336+N336</f>
        <v>61.326000000000008</v>
      </c>
      <c r="P336" s="19">
        <f>+P347</f>
        <v>27.374532274694083</v>
      </c>
      <c r="Q336" s="19">
        <f>+Q347</f>
        <v>27.374532274694083</v>
      </c>
      <c r="R336" s="19">
        <f>P336+Q336</f>
        <v>54.749064549388166</v>
      </c>
      <c r="S336" s="19">
        <f>+S347</f>
        <v>36.510851087617723</v>
      </c>
      <c r="T336" s="19">
        <f>+T347</f>
        <v>36.510851087617723</v>
      </c>
      <c r="U336" s="19">
        <f>S336+T336</f>
        <v>73.021702175235447</v>
      </c>
      <c r="V336" s="19">
        <f>+V347</f>
        <v>33.283475595863429</v>
      </c>
      <c r="W336" s="19">
        <f>+W347</f>
        <v>33.283475595863429</v>
      </c>
      <c r="X336" s="19">
        <f>V336+W336</f>
        <v>66.566951191726858</v>
      </c>
      <c r="Y336" s="19">
        <f>+Y347</f>
        <v>36.891485830924601</v>
      </c>
      <c r="Z336" s="19">
        <f>+Z347</f>
        <v>36.891485830924601</v>
      </c>
      <c r="AA336" s="19">
        <f>Y336+Z336</f>
        <v>73.782971661849203</v>
      </c>
      <c r="AB336" s="19">
        <f t="shared" ref="AB336:AC336" si="2251">+AB347</f>
        <v>38.273991227341462</v>
      </c>
      <c r="AC336" s="19">
        <f t="shared" si="2251"/>
        <v>38.273991227341462</v>
      </c>
      <c r="AD336" s="19">
        <f t="shared" si="2238"/>
        <v>76.547982454682924</v>
      </c>
      <c r="AE336" s="19">
        <f t="shared" ref="AE336:AF336" si="2252">+AE347</f>
        <v>42.077316861854854</v>
      </c>
      <c r="AF336" s="19">
        <f t="shared" si="2252"/>
        <v>42.077316861854854</v>
      </c>
      <c r="AG336" s="19">
        <f t="shared" si="2240"/>
        <v>84.154633723709708</v>
      </c>
      <c r="AH336" s="19">
        <f t="shared" ref="AH336:AI336" si="2253">+AH347</f>
        <v>46.17203999935532</v>
      </c>
      <c r="AI336" s="19">
        <f t="shared" si="2253"/>
        <v>46.17203999935532</v>
      </c>
      <c r="AJ336" s="19">
        <f t="shared" si="2242"/>
        <v>92.34407999871064</v>
      </c>
      <c r="AK336" s="19">
        <f t="shared" ref="AK336:AL336" si="2254">+AK347</f>
        <v>50.577958397371013</v>
      </c>
      <c r="AL336" s="19">
        <f t="shared" si="2254"/>
        <v>50.577958397371013</v>
      </c>
      <c r="AM336" s="19">
        <f t="shared" si="2244"/>
        <v>101.15591679474203</v>
      </c>
      <c r="AN336" s="19">
        <f t="shared" ref="AN336:AO336" si="2255">+AN347</f>
        <v>51.835083717816914</v>
      </c>
      <c r="AO336" s="19">
        <f t="shared" si="2255"/>
        <v>51.835083717816914</v>
      </c>
      <c r="AP336" s="19">
        <f t="shared" si="2246"/>
        <v>103.67016743563383</v>
      </c>
      <c r="AQ336" s="19">
        <f t="shared" ref="AQ336:AR336" si="2256">+AQ347</f>
        <v>55.614599024129802</v>
      </c>
      <c r="AR336" s="19">
        <f t="shared" si="2256"/>
        <v>55.614599024129802</v>
      </c>
      <c r="AS336" s="19">
        <f t="shared" si="2248"/>
        <v>111.2291980482596</v>
      </c>
      <c r="AT336" s="19">
        <f t="shared" ref="AT336:AU336" si="2257">+AT347</f>
        <v>59.574290238670777</v>
      </c>
      <c r="AU336" s="19">
        <f t="shared" si="2257"/>
        <v>59.574290238670777</v>
      </c>
      <c r="AV336" s="19">
        <f t="shared" si="2250"/>
        <v>119.14858047734155</v>
      </c>
    </row>
    <row r="337" spans="2:55" outlineLevel="1" x14ac:dyDescent="0.25">
      <c r="B337" s="8" t="s">
        <v>82</v>
      </c>
      <c r="C337" s="22" t="s">
        <v>28</v>
      </c>
      <c r="J337" s="19">
        <f t="shared" ref="J337:O337" si="2258">J338-J334-J335-J336</f>
        <v>9.3999999999995865E-2</v>
      </c>
      <c r="K337" s="19">
        <f t="shared" si="2258"/>
        <v>-2.4860000000000078</v>
      </c>
      <c r="L337" s="309">
        <f t="shared" si="2258"/>
        <v>-2.3920000000000101</v>
      </c>
      <c r="M337" s="19">
        <f t="shared" si="2258"/>
        <v>1.3750000000000107</v>
      </c>
      <c r="N337" s="19">
        <f t="shared" si="2258"/>
        <v>-0.9789999999999992</v>
      </c>
      <c r="O337" s="309">
        <f t="shared" si="2258"/>
        <v>0.3960000000000079</v>
      </c>
      <c r="P337" s="207">
        <v>0</v>
      </c>
      <c r="Q337" s="207">
        <v>0</v>
      </c>
      <c r="R337" s="207">
        <f>R338-SUM(R334:R336)</f>
        <v>0</v>
      </c>
      <c r="S337" s="207">
        <v>0</v>
      </c>
      <c r="T337" s="207">
        <v>0</v>
      </c>
      <c r="U337" s="207">
        <f>U338-SUM(U334:U336)</f>
        <v>0</v>
      </c>
      <c r="V337" s="207">
        <v>0</v>
      </c>
      <c r="W337" s="207">
        <v>0</v>
      </c>
      <c r="X337" s="207">
        <f>X338-SUM(X334:X336)</f>
        <v>0</v>
      </c>
      <c r="Y337" s="207">
        <v>0</v>
      </c>
      <c r="Z337" s="207">
        <v>0</v>
      </c>
      <c r="AA337" s="207">
        <f>AA338-SUM(AA334:AA336)</f>
        <v>0</v>
      </c>
      <c r="AB337" s="207">
        <v>0</v>
      </c>
      <c r="AC337" s="207">
        <v>0</v>
      </c>
      <c r="AD337" s="207">
        <f t="shared" ref="AD337" si="2259">AD338-SUM(AD334:AD336)</f>
        <v>0</v>
      </c>
      <c r="AE337" s="207">
        <v>0</v>
      </c>
      <c r="AF337" s="207">
        <v>0</v>
      </c>
      <c r="AG337" s="207">
        <f t="shared" ref="AG337" si="2260">AG338-SUM(AG334:AG336)</f>
        <v>0</v>
      </c>
      <c r="AH337" s="207">
        <v>0</v>
      </c>
      <c r="AI337" s="207">
        <v>0</v>
      </c>
      <c r="AJ337" s="207">
        <f t="shared" ref="AJ337" si="2261">AJ338-SUM(AJ334:AJ336)</f>
        <v>0</v>
      </c>
      <c r="AK337" s="207">
        <v>0</v>
      </c>
      <c r="AL337" s="207">
        <v>0</v>
      </c>
      <c r="AM337" s="207">
        <f t="shared" ref="AM337" si="2262">AM338-SUM(AM334:AM336)</f>
        <v>0</v>
      </c>
      <c r="AN337" s="207">
        <v>0</v>
      </c>
      <c r="AO337" s="207">
        <v>0</v>
      </c>
      <c r="AP337" s="207">
        <f t="shared" ref="AP337" si="2263">AP338-SUM(AP334:AP336)</f>
        <v>0</v>
      </c>
      <c r="AQ337" s="207">
        <v>0</v>
      </c>
      <c r="AR337" s="207">
        <v>0</v>
      </c>
      <c r="AS337" s="207">
        <f t="shared" ref="AS337:AV337" si="2264">AS338-SUM(AS334:AS336)</f>
        <v>0</v>
      </c>
      <c r="AT337" s="207">
        <v>0</v>
      </c>
      <c r="AU337" s="207">
        <v>0</v>
      </c>
      <c r="AV337" s="207">
        <f t="shared" si="2264"/>
        <v>0</v>
      </c>
    </row>
    <row r="338" spans="2:55" s="62" customFormat="1" outlineLevel="1" x14ac:dyDescent="0.25">
      <c r="B338" s="12" t="s">
        <v>102</v>
      </c>
      <c r="C338" s="22" t="s">
        <v>28</v>
      </c>
      <c r="D338" s="12"/>
      <c r="E338" s="12"/>
      <c r="F338" s="12"/>
      <c r="G338" s="12"/>
      <c r="H338" s="12"/>
      <c r="I338" s="52">
        <f>+'Financial Statements'!I84</f>
        <v>69.486000000000004</v>
      </c>
      <c r="J338" s="52">
        <f>+'Financial Statements'!J84</f>
        <v>78</v>
      </c>
      <c r="K338" s="52">
        <f>+'Financial Statements'!K84</f>
        <v>87.63</v>
      </c>
      <c r="L338" s="312">
        <f>+'Financial Statements'!L84</f>
        <v>87.63</v>
      </c>
      <c r="M338" s="52">
        <f>+'Financial Statements'!M84</f>
        <v>103.02800000000001</v>
      </c>
      <c r="N338" s="52">
        <f>+'Financial Statements'!N84</f>
        <v>130.05600000000001</v>
      </c>
      <c r="O338" s="312">
        <f>+'Financial Statements'!O84</f>
        <v>130.05600000000001</v>
      </c>
      <c r="P338" s="52">
        <f>+P334+P335+P336+P337</f>
        <v>145.70764166787592</v>
      </c>
      <c r="Q338" s="52">
        <f t="shared" ref="Q338" si="2265">+Q334+Q335+Q336+Q337</f>
        <v>160.12529485082359</v>
      </c>
      <c r="R338" s="52">
        <f>Q338</f>
        <v>160.12529485082359</v>
      </c>
      <c r="S338" s="52">
        <f>+S334+S335+S336+S337</f>
        <v>182.38040939738056</v>
      </c>
      <c r="T338" s="52">
        <f t="shared" ref="T338" si="2266">+T334+T335+T336+T337</f>
        <v>203.13492009751008</v>
      </c>
      <c r="U338" s="52">
        <f>T338</f>
        <v>203.13492009751008</v>
      </c>
      <c r="V338" s="52">
        <f>+V334+V335+V336+V337</f>
        <v>219.4388710024802</v>
      </c>
      <c r="W338" s="52">
        <f t="shared" ref="W338" si="2267">+W334+W335+W336+W337</f>
        <v>233.95550351893522</v>
      </c>
      <c r="X338" s="52">
        <f>W338</f>
        <v>233.95550351893522</v>
      </c>
      <c r="Y338" s="52">
        <f>+Y334+Y335+Y336+Y337</f>
        <v>251.03992161473255</v>
      </c>
      <c r="Z338" s="52">
        <f t="shared" ref="Z338" si="2268">+Z334+Z335+Z336+Z337</f>
        <v>266.03938521209545</v>
      </c>
      <c r="AA338" s="52">
        <f>Z338</f>
        <v>266.03938521209545</v>
      </c>
      <c r="AB338" s="52">
        <f t="shared" ref="AB338:AO338" si="2269">+AB334+AB335+AB336+AB337</f>
        <v>281.6627638713523</v>
      </c>
      <c r="AC338" s="52">
        <f t="shared" si="2269"/>
        <v>294.90186752344238</v>
      </c>
      <c r="AD338" s="52">
        <f t="shared" ref="AD338" si="2270">AC338</f>
        <v>294.90186752344238</v>
      </c>
      <c r="AE338" s="52">
        <f t="shared" ref="AE338" si="2271">+AE334+AE335+AE336+AE337</f>
        <v>311.53573940771804</v>
      </c>
      <c r="AF338" s="52">
        <f t="shared" si="2269"/>
        <v>325.49135392593269</v>
      </c>
      <c r="AG338" s="52">
        <f t="shared" ref="AG338" si="2272">AF338</f>
        <v>325.49135392593269</v>
      </c>
      <c r="AH338" s="52">
        <f t="shared" ref="AH338" si="2273">+AH334+AH335+AH336+AH337</f>
        <v>343.30318740841608</v>
      </c>
      <c r="AI338" s="52">
        <f t="shared" si="2269"/>
        <v>358.12973599438664</v>
      </c>
      <c r="AJ338" s="52">
        <f t="shared" ref="AJ338" si="2274">AI338</f>
        <v>358.12973599438664</v>
      </c>
      <c r="AK338" s="52">
        <f t="shared" ref="AK338" si="2275">+AK334+AK335+AK336+AK337</f>
        <v>377.30637176344635</v>
      </c>
      <c r="AL338" s="52">
        <f t="shared" si="2269"/>
        <v>393.17760515057859</v>
      </c>
      <c r="AM338" s="52">
        <f t="shared" ref="AM338" si="2276">AL338</f>
        <v>393.17760515057859</v>
      </c>
      <c r="AN338" s="52">
        <f t="shared" ref="AN338" si="2277">+AN334+AN335+AN336+AN337</f>
        <v>411.21918727514088</v>
      </c>
      <c r="AO338" s="52">
        <f t="shared" si="2269"/>
        <v>425.70355870567641</v>
      </c>
      <c r="AP338" s="52">
        <f t="shared" ref="AP338" si="2278">AO338</f>
        <v>425.70355870567641</v>
      </c>
      <c r="AQ338" s="52">
        <f t="shared" ref="AQ338:AU338" si="2279">+AQ334+AQ335+AQ336+AQ337</f>
        <v>445.31825985257024</v>
      </c>
      <c r="AR338" s="52">
        <f t="shared" si="2279"/>
        <v>461.14349806501815</v>
      </c>
      <c r="AS338" s="52">
        <f t="shared" ref="AS338" si="2280">AR338</f>
        <v>461.14349806501815</v>
      </c>
      <c r="AT338" s="52">
        <f t="shared" si="2279"/>
        <v>482.50730945761416</v>
      </c>
      <c r="AU338" s="52">
        <f t="shared" si="2279"/>
        <v>499.84896518220228</v>
      </c>
      <c r="AV338" s="52">
        <f t="shared" ref="AV338" si="2281">AU338</f>
        <v>499.84896518220228</v>
      </c>
      <c r="AX338"/>
      <c r="AY338"/>
      <c r="AZ338"/>
      <c r="BA338"/>
      <c r="BB338"/>
      <c r="BC338"/>
    </row>
    <row r="339" spans="2:55" ht="15" customHeight="1" outlineLevel="1" x14ac:dyDescent="0.25">
      <c r="L339" s="309"/>
      <c r="M339" s="8"/>
      <c r="O339" s="14">
        <f>+O338/L338-1</f>
        <v>0.48414926395070212</v>
      </c>
      <c r="R339" s="14">
        <f>+R338/O338-1</f>
        <v>0.23120267308562137</v>
      </c>
      <c r="U339" s="14">
        <f>+U338/R338-1</f>
        <v>0.2685998192025516</v>
      </c>
      <c r="X339" s="14"/>
      <c r="AA339" s="14"/>
      <c r="AD339" s="14"/>
    </row>
    <row r="340" spans="2:55" outlineLevel="1" x14ac:dyDescent="0.25">
      <c r="M340" s="8"/>
    </row>
    <row r="341" spans="2:55" outlineLevel="1" x14ac:dyDescent="0.25">
      <c r="B341" s="12" t="s">
        <v>103</v>
      </c>
      <c r="C341" s="22" t="s">
        <v>28</v>
      </c>
      <c r="F341" s="45">
        <v>5.3</v>
      </c>
      <c r="G341" s="8">
        <f>0.5*I341</f>
        <v>4.2</v>
      </c>
      <c r="H341" s="19">
        <f>+I341-G341</f>
        <v>4.2</v>
      </c>
      <c r="I341" s="45">
        <v>8.4</v>
      </c>
      <c r="J341" s="19">
        <f>0.5*L341</f>
        <v>6.48</v>
      </c>
      <c r="K341" s="19">
        <f>+L341-J341</f>
        <v>6.48</v>
      </c>
      <c r="L341" s="354">
        <v>12.96</v>
      </c>
      <c r="M341" s="441">
        <v>7.8319999999999999</v>
      </c>
      <c r="N341" s="19">
        <f>+O341-M341</f>
        <v>11.463999999999999</v>
      </c>
      <c r="O341" s="45">
        <v>19.295999999999999</v>
      </c>
      <c r="P341" s="19">
        <f>0.475*R341</f>
        <v>11.722890606818181</v>
      </c>
      <c r="Q341" s="19">
        <f>+R341-P341</f>
        <v>12.95687909174641</v>
      </c>
      <c r="R341" s="19">
        <f>R342*(R$68+R$165)</f>
        <v>24.679769698564591</v>
      </c>
      <c r="S341" s="19">
        <f t="shared" ref="S341" si="2282">0.475*U341</f>
        <v>14.255736541060742</v>
      </c>
      <c r="T341" s="19">
        <f t="shared" ref="T341" si="2283">+U341-S341</f>
        <v>15.756340387488191</v>
      </c>
      <c r="U341" s="19">
        <f>U342*(U$68+U$165)</f>
        <v>30.012076928548932</v>
      </c>
      <c r="V341" s="19">
        <f t="shared" ref="V341" si="2284">0.475*X341</f>
        <v>16.979524690893307</v>
      </c>
      <c r="W341" s="19">
        <f t="shared" ref="W341" si="2285">+X341-V341</f>
        <v>18.766843079408396</v>
      </c>
      <c r="X341" s="19">
        <f t="shared" ref="X341" si="2286">X342*(X$68+X$165)</f>
        <v>35.746367770301703</v>
      </c>
      <c r="Y341" s="19">
        <f t="shared" ref="Y341" si="2287">0.475*AA341</f>
        <v>19.807067735127266</v>
      </c>
      <c r="Z341" s="19">
        <f t="shared" ref="Z341" si="2288">+AA341-Y341</f>
        <v>21.892022233561715</v>
      </c>
      <c r="AA341" s="19">
        <f t="shared" ref="AA341" si="2289">AA342*(AA$68+AA$165)</f>
        <v>41.69908996868898</v>
      </c>
      <c r="AB341" s="19">
        <f t="shared" ref="AB341" si="2290">0.475*AD341</f>
        <v>22.650612568084608</v>
      </c>
      <c r="AC341" s="19">
        <f t="shared" ref="AC341" si="2291">+AD341-AB341</f>
        <v>25.034887575251414</v>
      </c>
      <c r="AD341" s="19">
        <f t="shared" ref="AD341" si="2292">AD342*(AD$68+AD$165)</f>
        <v>47.685500143336021</v>
      </c>
      <c r="AE341" s="19">
        <f t="shared" ref="AE341" si="2293">0.475*AG341</f>
        <v>25.443444977579215</v>
      </c>
      <c r="AF341" s="19">
        <f t="shared" ref="AF341" si="2294">+AG341-AE341</f>
        <v>28.121702343640191</v>
      </c>
      <c r="AG341" s="19">
        <f t="shared" ref="AG341" si="2295">AG342*(AG$68+AG$165)</f>
        <v>53.565147321219406</v>
      </c>
      <c r="AH341" s="19">
        <f t="shared" ref="AH341" si="2296">0.475*AJ341</f>
        <v>28.360206516871909</v>
      </c>
      <c r="AI341" s="19">
        <f t="shared" ref="AI341" si="2297">+AJ341-AH341</f>
        <v>31.345491413384746</v>
      </c>
      <c r="AJ341" s="19">
        <f t="shared" ref="AJ341" si="2298">AJ342*(AJ$68+AJ$165)</f>
        <v>59.705697930256655</v>
      </c>
      <c r="AK341" s="19">
        <f t="shared" ref="AK341" si="2299">0.475*AM341</f>
        <v>31.401322628311263</v>
      </c>
      <c r="AL341" s="19">
        <f t="shared" ref="AL341" si="2300">+AM341-AK341</f>
        <v>34.70672501023877</v>
      </c>
      <c r="AM341" s="19">
        <f t="shared" ref="AM341" si="2301">AM342*(AM$68+AM$165)</f>
        <v>66.108047638550033</v>
      </c>
      <c r="AN341" s="19">
        <f t="shared" ref="AN341" si="2302">0.475*AP341</f>
        <v>33.793501593254611</v>
      </c>
      <c r="AO341" s="19">
        <f t="shared" ref="AO341" si="2303">+AP341-AN341</f>
        <v>37.350712287281418</v>
      </c>
      <c r="AP341" s="19">
        <f t="shared" ref="AP341" si="2304">AP342*(AP$68+AP$165)</f>
        <v>71.144213880536029</v>
      </c>
      <c r="AQ341" s="19">
        <f t="shared" ref="AQ341" si="2305">0.475*AS341</f>
        <v>35.999897877235973</v>
      </c>
      <c r="AR341" s="19">
        <f t="shared" ref="AR341" si="2306">+AS341-AQ341</f>
        <v>39.789360811681867</v>
      </c>
      <c r="AS341" s="19">
        <f t="shared" ref="AS341" si="2307">AS342*(AS$68+AS$165)</f>
        <v>75.78925868891784</v>
      </c>
      <c r="AT341" s="19">
        <f t="shared" ref="AT341" si="2308">0.475*AV341</f>
        <v>38.210478846074771</v>
      </c>
      <c r="AU341" s="19">
        <f t="shared" ref="AU341" si="2309">+AV341-AT341</f>
        <v>42.23263451408264</v>
      </c>
      <c r="AV341" s="19">
        <f t="shared" ref="AV341" si="2310">AV342*(AV$68+AV$165)</f>
        <v>80.443113360157412</v>
      </c>
    </row>
    <row r="342" spans="2:55" outlineLevel="1" x14ac:dyDescent="0.25">
      <c r="B342" s="8" t="s">
        <v>139</v>
      </c>
      <c r="C342" s="22" t="s">
        <v>29</v>
      </c>
      <c r="F342" s="18">
        <f>+F341/(F$68+F$165)</f>
        <v>3.7402964008468598E-2</v>
      </c>
      <c r="I342" s="18">
        <f t="shared" ref="I342:N342" si="2311">+I341/(I$68+I$165)</f>
        <v>3.8532110091743121E-2</v>
      </c>
      <c r="J342" s="18">
        <f t="shared" si="2311"/>
        <v>4.5569620253164564E-2</v>
      </c>
      <c r="K342" s="18">
        <f t="shared" si="2311"/>
        <v>4.3932203389830518E-2</v>
      </c>
      <c r="L342" s="314">
        <f t="shared" si="2311"/>
        <v>4.4735933724542633E-2</v>
      </c>
      <c r="M342" s="416">
        <f t="shared" si="2311"/>
        <v>4.328243557648203E-2</v>
      </c>
      <c r="N342" s="18">
        <f t="shared" si="2311"/>
        <v>6.0036973223216661E-2</v>
      </c>
      <c r="O342" s="416">
        <f>+O341/(O$68+O$165)</f>
        <v>5.1884915299811776E-2</v>
      </c>
      <c r="P342" s="209">
        <f>P341/(P$68+P161)</f>
        <v>5.164612936305954E-2</v>
      </c>
      <c r="Q342" s="209">
        <f>Q341/(Q$68+Q$165)</f>
        <v>5.0098937896070742E-2</v>
      </c>
      <c r="R342" s="208">
        <v>0.05</v>
      </c>
      <c r="S342" s="209">
        <f>S341/(S$68+S161)</f>
        <v>5.2124703729197232E-2</v>
      </c>
      <c r="T342" s="209">
        <f>T341/(T$68+T$165)</f>
        <v>5.0012899969982157E-2</v>
      </c>
      <c r="U342" s="208">
        <v>0.05</v>
      </c>
      <c r="V342" s="209">
        <f>V341/(V$68+V161)</f>
        <v>5.1407116799059169E-2</v>
      </c>
      <c r="W342" s="209">
        <f>W341/(W$68+W$165)</f>
        <v>4.9147129398237205E-2</v>
      </c>
      <c r="X342" s="208">
        <f>+U342-0.1%</f>
        <v>4.9000000000000002E-2</v>
      </c>
      <c r="Y342" s="209">
        <f>Y341/(Y$68+Y161)</f>
        <v>4.9879064435432496E-2</v>
      </c>
      <c r="Z342" s="209">
        <f>Z341/(Z$68+Z$165)</f>
        <v>4.8285632628999882E-2</v>
      </c>
      <c r="AA342" s="208">
        <f>+X342-0.1%</f>
        <v>4.8000000000000001E-2</v>
      </c>
      <c r="AB342" s="209">
        <f>AB341/(AB$68+AB161)</f>
        <v>4.8354539390487478E-2</v>
      </c>
      <c r="AC342" s="209">
        <f>AC341/(AC$68+AC$165)</f>
        <v>4.7504599976645467E-2</v>
      </c>
      <c r="AD342" s="208">
        <f>+AA342-0.1%</f>
        <v>4.7E-2</v>
      </c>
      <c r="AE342" s="209">
        <f>AE341/(AE$68+AE161)</f>
        <v>4.7084825880451008E-2</v>
      </c>
      <c r="AF342" s="209">
        <f>AF341/(AF$68+AF$165)</f>
        <v>4.6561679738001308E-2</v>
      </c>
      <c r="AG342" s="208">
        <f>+AD342-0.1%</f>
        <v>4.5999999999999999E-2</v>
      </c>
      <c r="AH342" s="209">
        <f>AH341/(AH$68+AH161)</f>
        <v>4.5864534134236162E-2</v>
      </c>
      <c r="AI342" s="209">
        <f>AI341/(AI$68+AI$165)</f>
        <v>4.560543410232433E-2</v>
      </c>
      <c r="AJ342" s="208">
        <f>+AG342-0.1%</f>
        <v>4.4999999999999998E-2</v>
      </c>
      <c r="AK342" s="209">
        <f>AK341/(AK$68+AK161)</f>
        <v>4.4682349383578346E-2</v>
      </c>
      <c r="AL342" s="209">
        <f>AL341/(AL$68+AL$165)</f>
        <v>4.4638760716526664E-2</v>
      </c>
      <c r="AM342" s="208">
        <f>+AJ342-0.1%</f>
        <v>4.3999999999999997E-2</v>
      </c>
      <c r="AN342" s="209">
        <f>AN341/(AN$68+AN161)</f>
        <v>4.3471608038246623E-2</v>
      </c>
      <c r="AO342" s="209">
        <f>AO341/(AO$68+AO$165)</f>
        <v>4.3743899554628117E-2</v>
      </c>
      <c r="AP342" s="208">
        <f>+AM342-0.1%</f>
        <v>4.2999999999999997E-2</v>
      </c>
      <c r="AQ342" s="209">
        <f>AQ341/(AQ$68+AQ161)</f>
        <v>4.2385362875578626E-2</v>
      </c>
      <c r="AR342" s="209">
        <f>AR341/(AR$68+AR$165)</f>
        <v>4.2752360514954589E-2</v>
      </c>
      <c r="AS342" s="208">
        <f>+AP342-0.1%</f>
        <v>4.1999999999999996E-2</v>
      </c>
      <c r="AT342" s="209">
        <f>AT341/(AT$68+AT161)</f>
        <v>4.1311079809083544E-2</v>
      </c>
      <c r="AU342" s="209">
        <f>AU341/(AU$68+AU$165)</f>
        <v>4.1756960260940043E-2</v>
      </c>
      <c r="AV342" s="208">
        <f>+AS342-0.1%</f>
        <v>4.0999999999999995E-2</v>
      </c>
    </row>
    <row r="343" spans="2:55" outlineLevel="1" x14ac:dyDescent="0.25">
      <c r="B343" s="8" t="s">
        <v>145</v>
      </c>
      <c r="C343" s="22" t="s">
        <v>29</v>
      </c>
      <c r="F343" s="52"/>
      <c r="I343" s="52"/>
      <c r="J343" s="19"/>
      <c r="K343" s="19"/>
      <c r="L343" s="358">
        <f t="shared" ref="L343:X343" si="2312">L341/I341-1</f>
        <v>0.54285714285714293</v>
      </c>
      <c r="M343" s="417">
        <f t="shared" si="2312"/>
        <v>0.20864197530864192</v>
      </c>
      <c r="N343" s="19"/>
      <c r="O343" s="358">
        <f>O341/L341-1</f>
        <v>0.48888888888888871</v>
      </c>
      <c r="P343" s="18">
        <f t="shared" si="2312"/>
        <v>0.49679399984910377</v>
      </c>
      <c r="Q343" s="18">
        <f t="shared" si="2312"/>
        <v>0.13022322851940094</v>
      </c>
      <c r="R343" s="18">
        <f>R341/O341-1</f>
        <v>0.27900962368183002</v>
      </c>
      <c r="S343" s="18">
        <f t="shared" si="2312"/>
        <v>0.21605984557848101</v>
      </c>
      <c r="T343" s="18">
        <f t="shared" si="2312"/>
        <v>0.21605984557848124</v>
      </c>
      <c r="U343" s="18">
        <f>U341/R341-1</f>
        <v>0.21605984557848101</v>
      </c>
      <c r="V343" s="18">
        <f t="shared" si="2312"/>
        <v>0.1910661116658019</v>
      </c>
      <c r="W343" s="18">
        <f t="shared" si="2312"/>
        <v>0.19106611166580212</v>
      </c>
      <c r="X343" s="18">
        <f t="shared" si="2312"/>
        <v>0.1910661116658019</v>
      </c>
      <c r="Y343" s="18">
        <f t="shared" ref="Y343" si="2313">Y341/V341-1</f>
        <v>0.16652663108705656</v>
      </c>
      <c r="Z343" s="18">
        <f t="shared" ref="Z343" si="2314">Z341/W341-1</f>
        <v>0.16652663108705634</v>
      </c>
      <c r="AA343" s="18">
        <f t="shared" ref="AA343" si="2315">AA341/X341-1</f>
        <v>0.16652663108705656</v>
      </c>
      <c r="AB343" s="18">
        <f t="shared" ref="AB343" si="2316">AB341/Y341-1</f>
        <v>0.14356212999233575</v>
      </c>
      <c r="AC343" s="18">
        <f t="shared" ref="AC343" si="2317">AC341/Z341-1</f>
        <v>0.1435621299923362</v>
      </c>
      <c r="AD343" s="18">
        <f t="shared" ref="AD343" si="2318">AD341/AA341-1</f>
        <v>0.14356212999233597</v>
      </c>
      <c r="AE343" s="18">
        <f t="shared" ref="AE343" si="2319">AE341/AB341-1</f>
        <v>0.12330052448249429</v>
      </c>
      <c r="AF343" s="18">
        <f t="shared" ref="AF343" si="2320">AF341/AC341-1</f>
        <v>0.12330052448249429</v>
      </c>
      <c r="AG343" s="18">
        <f t="shared" ref="AG343" si="2321">AG341/AD341-1</f>
        <v>0.12330052448249429</v>
      </c>
      <c r="AH343" s="18">
        <f t="shared" ref="AH343" si="2322">AH341/AE341-1</f>
        <v>0.11463705256355605</v>
      </c>
      <c r="AI343" s="18">
        <f t="shared" ref="AI343" si="2323">AI341/AF341-1</f>
        <v>0.11463705256355605</v>
      </c>
      <c r="AJ343" s="18">
        <f t="shared" ref="AJ343" si="2324">AJ341/AG341-1</f>
        <v>0.11463705256355605</v>
      </c>
      <c r="AK343" s="18">
        <f t="shared" ref="AK343" si="2325">AK341/AH341-1</f>
        <v>0.10723180417004885</v>
      </c>
      <c r="AL343" s="18">
        <f t="shared" ref="AL343" si="2326">AL341/AI341-1</f>
        <v>0.10723180417004907</v>
      </c>
      <c r="AM343" s="18">
        <f t="shared" ref="AM343" si="2327">AM341/AJ341-1</f>
        <v>0.10723180417004885</v>
      </c>
      <c r="AN343" s="18">
        <f t="shared" ref="AN343" si="2328">AN341/AK341-1</f>
        <v>7.6180834586456969E-2</v>
      </c>
      <c r="AO343" s="18">
        <f t="shared" ref="AO343" si="2329">AO341/AL341-1</f>
        <v>7.6180834586456969E-2</v>
      </c>
      <c r="AP343" s="18">
        <f t="shared" ref="AP343" si="2330">AP341/AM341-1</f>
        <v>7.6180834586456969E-2</v>
      </c>
      <c r="AQ343" s="18">
        <f t="shared" ref="AQ343" si="2331">AQ341/AN341-1</f>
        <v>6.5290549364726669E-2</v>
      </c>
      <c r="AR343" s="18">
        <f t="shared" ref="AR343" si="2332">AR341/AO341-1</f>
        <v>6.5290549364726669E-2</v>
      </c>
      <c r="AS343" s="18">
        <f t="shared" ref="AS343" si="2333">AS341/AP341-1</f>
        <v>6.5290549364726669E-2</v>
      </c>
      <c r="AT343" s="18">
        <f t="shared" ref="AT343" si="2334">AT341/AQ341-1</f>
        <v>6.1405201102990636E-2</v>
      </c>
      <c r="AU343" s="18">
        <f t="shared" ref="AU343" si="2335">AU341/AR341-1</f>
        <v>6.1405201102990414E-2</v>
      </c>
      <c r="AV343" s="18">
        <f t="shared" ref="AV343" si="2336">AV341/AS341-1</f>
        <v>6.1405201102990414E-2</v>
      </c>
    </row>
    <row r="344" spans="2:55" outlineLevel="1" x14ac:dyDescent="0.25">
      <c r="O344" s="14"/>
      <c r="R344" s="19"/>
    </row>
    <row r="345" spans="2:55" outlineLevel="1" x14ac:dyDescent="0.25">
      <c r="O345" s="19"/>
      <c r="R345" s="19"/>
    </row>
    <row r="346" spans="2:55" outlineLevel="1" x14ac:dyDescent="0.25">
      <c r="M346" s="328"/>
    </row>
    <row r="347" spans="2:55" outlineLevel="1" x14ac:dyDescent="0.25">
      <c r="B347" s="12" t="s">
        <v>105</v>
      </c>
      <c r="C347" s="22" t="s">
        <v>28</v>
      </c>
      <c r="F347" s="45">
        <v>19.399999999999999</v>
      </c>
      <c r="I347" s="45">
        <v>39.700000000000003</v>
      </c>
      <c r="J347" s="45">
        <v>14.9</v>
      </c>
      <c r="K347" s="19">
        <f>+L347-J347</f>
        <v>18.596000000000004</v>
      </c>
      <c r="L347" s="354">
        <v>33.496000000000002</v>
      </c>
      <c r="M347" s="441">
        <v>21.855</v>
      </c>
      <c r="N347" s="19">
        <f>+O347-M347</f>
        <v>39.471000000000004</v>
      </c>
      <c r="O347" s="45">
        <v>61.326000000000001</v>
      </c>
      <c r="P347" s="19">
        <f>0.5*R347</f>
        <v>27.374532274694083</v>
      </c>
      <c r="Q347" s="19">
        <f>+R347-P347</f>
        <v>27.374532274694083</v>
      </c>
      <c r="R347" s="19">
        <f>+R351</f>
        <v>54.749064549388166</v>
      </c>
      <c r="S347" s="19">
        <f t="shared" ref="S347" si="2337">0.5*U347</f>
        <v>36.510851087617723</v>
      </c>
      <c r="T347" s="19">
        <f t="shared" ref="T347" si="2338">+U347-S347</f>
        <v>36.510851087617723</v>
      </c>
      <c r="U347" s="19">
        <f t="shared" ref="U347" si="2339">+U351</f>
        <v>73.021702175235447</v>
      </c>
      <c r="V347" s="19">
        <f t="shared" ref="V347" si="2340">0.5*X347</f>
        <v>33.283475595863429</v>
      </c>
      <c r="W347" s="19">
        <f t="shared" ref="W347" si="2341">+X347-V347</f>
        <v>33.283475595863429</v>
      </c>
      <c r="X347" s="19">
        <f t="shared" ref="X347" si="2342">+X351</f>
        <v>66.566951191726858</v>
      </c>
      <c r="Y347" s="19">
        <f t="shared" ref="Y347" si="2343">0.5*AA347</f>
        <v>36.891485830924601</v>
      </c>
      <c r="Z347" s="19">
        <f t="shared" ref="Z347" si="2344">+AA347-Y347</f>
        <v>36.891485830924601</v>
      </c>
      <c r="AA347" s="19">
        <f t="shared" ref="AA347" si="2345">+AA351</f>
        <v>73.782971661849203</v>
      </c>
      <c r="AB347" s="19">
        <f t="shared" ref="AB347" si="2346">0.5*AD347</f>
        <v>38.273991227341462</v>
      </c>
      <c r="AC347" s="19">
        <f t="shared" ref="AC347" si="2347">+AD347-AB347</f>
        <v>38.273991227341462</v>
      </c>
      <c r="AD347" s="19">
        <f t="shared" ref="AD347" si="2348">+AD351</f>
        <v>76.547982454682924</v>
      </c>
      <c r="AE347" s="19">
        <f t="shared" ref="AE347" si="2349">0.5*AG347</f>
        <v>42.077316861854854</v>
      </c>
      <c r="AF347" s="19">
        <f t="shared" ref="AF347" si="2350">+AG347-AE347</f>
        <v>42.077316861854854</v>
      </c>
      <c r="AG347" s="19">
        <f t="shared" ref="AG347" si="2351">+AG351</f>
        <v>84.154633723709708</v>
      </c>
      <c r="AH347" s="19">
        <f t="shared" ref="AH347" si="2352">0.5*AJ347</f>
        <v>46.17203999935532</v>
      </c>
      <c r="AI347" s="19">
        <f t="shared" ref="AI347" si="2353">+AJ347-AH347</f>
        <v>46.17203999935532</v>
      </c>
      <c r="AJ347" s="19">
        <f t="shared" ref="AJ347" si="2354">+AJ351</f>
        <v>92.34407999871064</v>
      </c>
      <c r="AK347" s="19">
        <f t="shared" ref="AK347" si="2355">0.5*AM347</f>
        <v>50.577958397371013</v>
      </c>
      <c r="AL347" s="19">
        <f t="shared" ref="AL347" si="2356">+AM347-AK347</f>
        <v>50.577958397371013</v>
      </c>
      <c r="AM347" s="19">
        <f t="shared" ref="AM347" si="2357">+AM351</f>
        <v>101.15591679474203</v>
      </c>
      <c r="AN347" s="19">
        <f t="shared" ref="AN347" si="2358">0.5*AP347</f>
        <v>51.835083717816914</v>
      </c>
      <c r="AO347" s="19">
        <f t="shared" ref="AO347" si="2359">+AP347-AN347</f>
        <v>51.835083717816914</v>
      </c>
      <c r="AP347" s="19">
        <f t="shared" ref="AP347" si="2360">+AP351</f>
        <v>103.67016743563383</v>
      </c>
      <c r="AQ347" s="19">
        <f t="shared" ref="AQ347" si="2361">0.5*AS347</f>
        <v>55.614599024129802</v>
      </c>
      <c r="AR347" s="19">
        <f t="shared" ref="AR347" si="2362">+AS347-AQ347</f>
        <v>55.614599024129802</v>
      </c>
      <c r="AS347" s="19">
        <f t="shared" ref="AS347" si="2363">+AS351</f>
        <v>111.2291980482596</v>
      </c>
      <c r="AT347" s="19">
        <f t="shared" ref="AT347" si="2364">0.5*AV347</f>
        <v>59.574290238670777</v>
      </c>
      <c r="AU347" s="19">
        <f t="shared" ref="AU347" si="2365">+AV347-AT347</f>
        <v>59.574290238670777</v>
      </c>
      <c r="AV347" s="19">
        <f t="shared" ref="AV347" si="2366">+AV351</f>
        <v>119.14858047734155</v>
      </c>
    </row>
    <row r="348" spans="2:55" outlineLevel="1" x14ac:dyDescent="0.25">
      <c r="B348" s="8" t="s">
        <v>139</v>
      </c>
      <c r="C348" s="22" t="s">
        <v>29</v>
      </c>
      <c r="F348" s="18">
        <f>+F347/(F$68+F$165)</f>
        <v>0.136908962597036</v>
      </c>
      <c r="I348" s="18">
        <f t="shared" ref="I348:AV348" si="2367">+I347/(I$68+I$165)</f>
        <v>0.18211009174311929</v>
      </c>
      <c r="J348" s="304">
        <f t="shared" si="2367"/>
        <v>0.10478199718706049</v>
      </c>
      <c r="K348" s="304">
        <f t="shared" si="2367"/>
        <v>0.12607457627118648</v>
      </c>
      <c r="L348" s="314">
        <f t="shared" si="2367"/>
        <v>0.11562305833620988</v>
      </c>
      <c r="M348" s="18">
        <f t="shared" si="2367"/>
        <v>0.12077855331001211</v>
      </c>
      <c r="N348" s="304">
        <f t="shared" si="2367"/>
        <v>0.20670964498373912</v>
      </c>
      <c r="O348" s="314">
        <f>+O347/(O$68+O$165)</f>
        <v>0.16489916644259212</v>
      </c>
      <c r="P348" s="209">
        <f t="shared" si="2367"/>
        <v>0.11650245719355991</v>
      </c>
      <c r="Q348" s="209">
        <f t="shared" si="2367"/>
        <v>0.10584609014662281</v>
      </c>
      <c r="R348" s="209">
        <f>+R347/(R$68+R$165)</f>
        <v>0.11091891297626746</v>
      </c>
      <c r="S348" s="209">
        <f t="shared" si="2367"/>
        <v>0.12802020190677657</v>
      </c>
      <c r="T348" s="209">
        <f t="shared" si="2367"/>
        <v>0.11589071436372</v>
      </c>
      <c r="U348" s="209">
        <f t="shared" si="2367"/>
        <v>0.12165386345816956</v>
      </c>
      <c r="V348" s="209">
        <f t="shared" si="2367"/>
        <v>9.5733648837211666E-2</v>
      </c>
      <c r="W348" s="209">
        <f t="shared" si="2367"/>
        <v>8.7163689439477984E-2</v>
      </c>
      <c r="X348" s="209">
        <f t="shared" si="2367"/>
        <v>9.1247889277984856E-2</v>
      </c>
      <c r="Y348" s="209">
        <f t="shared" si="2367"/>
        <v>8.8821264743561112E-2</v>
      </c>
      <c r="Z348" s="209">
        <f t="shared" si="2367"/>
        <v>8.1368852679086973E-2</v>
      </c>
      <c r="AA348" s="209">
        <f t="shared" si="2367"/>
        <v>8.4931892816559454E-2</v>
      </c>
      <c r="AB348" s="209">
        <f t="shared" si="2367"/>
        <v>7.8496922872048097E-2</v>
      </c>
      <c r="AC348" s="209">
        <f t="shared" si="2367"/>
        <v>7.2626275524476147E-2</v>
      </c>
      <c r="AD348" s="209">
        <f t="shared" si="2367"/>
        <v>7.544757136982401E-2</v>
      </c>
      <c r="AE348" s="209">
        <f t="shared" si="2367"/>
        <v>7.5071967479052287E-2</v>
      </c>
      <c r="AF348" s="209">
        <f t="shared" si="2367"/>
        <v>6.9668277119758537E-2</v>
      </c>
      <c r="AG348" s="209">
        <f t="shared" si="2367"/>
        <v>7.2269252394217456E-2</v>
      </c>
      <c r="AH348" s="209">
        <f t="shared" si="2367"/>
        <v>7.220314690889372E-2</v>
      </c>
      <c r="AI348" s="209">
        <f t="shared" si="2367"/>
        <v>6.7176995242809789E-2</v>
      </c>
      <c r="AJ348" s="209">
        <f t="shared" si="2367"/>
        <v>6.9599447690839769E-2</v>
      </c>
      <c r="AK348" s="209">
        <f t="shared" si="2367"/>
        <v>6.976716206574822E-2</v>
      </c>
      <c r="AL348" s="209">
        <f t="shared" si="2367"/>
        <v>6.5051870545683399E-2</v>
      </c>
      <c r="AM348" s="209">
        <f t="shared" si="2367"/>
        <v>6.7327057717753394E-2</v>
      </c>
      <c r="AN348" s="209">
        <f t="shared" si="2367"/>
        <v>6.4739879748653917E-2</v>
      </c>
      <c r="AO348" s="209">
        <f t="shared" si="2367"/>
        <v>6.0707508818514173E-2</v>
      </c>
      <c r="AP348" s="209">
        <f t="shared" si="2367"/>
        <v>6.2658886177556675E-2</v>
      </c>
      <c r="AQ348" s="209">
        <f t="shared" si="2367"/>
        <v>6.3645935317590413E-2</v>
      </c>
      <c r="AR348" s="209">
        <f t="shared" si="2367"/>
        <v>5.9756058877833911E-2</v>
      </c>
      <c r="AS348" s="209">
        <f t="shared" si="2367"/>
        <v>6.1639688774393617E-2</v>
      </c>
      <c r="AT348" s="209">
        <f t="shared" si="2367"/>
        <v>6.2667847221824419E-2</v>
      </c>
      <c r="AU348" s="209">
        <f t="shared" si="2367"/>
        <v>5.8903293594918166E-2</v>
      </c>
      <c r="AV348" s="209">
        <f t="shared" si="2367"/>
        <v>6.0727284108207276E-2</v>
      </c>
    </row>
    <row r="349" spans="2:55" outlineLevel="1" x14ac:dyDescent="0.25">
      <c r="B349" s="8" t="s">
        <v>145</v>
      </c>
      <c r="C349" s="22" t="s">
        <v>29</v>
      </c>
      <c r="I349" s="14">
        <f>+I347/F347-1</f>
        <v>1.0463917525773199</v>
      </c>
      <c r="K349" s="58" t="str">
        <f>IFERROR(+K347/H347-1,"na")</f>
        <v>na</v>
      </c>
      <c r="L349" s="310">
        <f>+L347/I347-1</f>
        <v>-0.15627204030226705</v>
      </c>
      <c r="M349" s="14">
        <f>+M347/J347-1</f>
        <v>0.46677852348993287</v>
      </c>
      <c r="N349" s="222">
        <f>IFERROR(+N347/K347-1,"na")</f>
        <v>1.1225532372553233</v>
      </c>
      <c r="O349" s="310">
        <f>+O347/L347-1</f>
        <v>0.83084547408645792</v>
      </c>
      <c r="P349" s="14">
        <f t="shared" ref="P349:X349" si="2368">+P347/M347-1</f>
        <v>0.2525523804481391</v>
      </c>
      <c r="Q349" s="14">
        <f t="shared" si="2368"/>
        <v>-0.30646468863991083</v>
      </c>
      <c r="R349" s="14">
        <f t="shared" si="2368"/>
        <v>-0.10724546604395913</v>
      </c>
      <c r="S349" s="14">
        <f t="shared" si="2368"/>
        <v>0.33375250839882131</v>
      </c>
      <c r="T349" s="14">
        <f t="shared" si="2368"/>
        <v>0.33375250839882131</v>
      </c>
      <c r="U349" s="14">
        <f t="shared" si="2368"/>
        <v>0.33375250839882131</v>
      </c>
      <c r="V349" s="14">
        <f t="shared" si="2368"/>
        <v>-8.8394967403233826E-2</v>
      </c>
      <c r="W349" s="14">
        <f t="shared" si="2368"/>
        <v>-8.8394967403233826E-2</v>
      </c>
      <c r="X349" s="14">
        <f t="shared" si="2368"/>
        <v>-8.8394967403233826E-2</v>
      </c>
      <c r="Y349" s="14">
        <f t="shared" ref="Y349" si="2369">+Y347/V347-1</f>
        <v>0.10840244807575283</v>
      </c>
      <c r="Z349" s="14">
        <f t="shared" ref="Z349" si="2370">+Z347/W347-1</f>
        <v>0.10840244807575283</v>
      </c>
      <c r="AA349" s="14">
        <f t="shared" ref="AA349" si="2371">+AA347/X347-1</f>
        <v>0.10840244807575283</v>
      </c>
      <c r="AB349" s="14">
        <f t="shared" ref="AB349" si="2372">+AB347/Y347-1</f>
        <v>3.7474917729064749E-2</v>
      </c>
      <c r="AC349" s="14">
        <f t="shared" ref="AC349" si="2373">+AC347/Z347-1</f>
        <v>3.7474917729064749E-2</v>
      </c>
      <c r="AD349" s="14">
        <f t="shared" ref="AD349" si="2374">+AD347/AA347-1</f>
        <v>3.7474917729064749E-2</v>
      </c>
      <c r="AE349" s="14">
        <f t="shared" ref="AE349" si="2375">+AE347/AB347-1</f>
        <v>9.9371022267373155E-2</v>
      </c>
      <c r="AF349" s="14">
        <f t="shared" ref="AF349" si="2376">+AF347/AC347-1</f>
        <v>9.9371022267373155E-2</v>
      </c>
      <c r="AG349" s="14">
        <f t="shared" ref="AG349" si="2377">+AG347/AD347-1</f>
        <v>9.9371022267373155E-2</v>
      </c>
      <c r="AH349" s="14">
        <f t="shared" ref="AH349" si="2378">+AH347/AE347-1</f>
        <v>9.7314264380116144E-2</v>
      </c>
      <c r="AI349" s="14">
        <f t="shared" ref="AI349" si="2379">+AI347/AF347-1</f>
        <v>9.7314264380116144E-2</v>
      </c>
      <c r="AJ349" s="14">
        <f t="shared" ref="AJ349" si="2380">+AJ347/AG347-1</f>
        <v>9.7314264380116144E-2</v>
      </c>
      <c r="AK349" s="14">
        <f t="shared" ref="AK349" si="2381">+AK347/AH347-1</f>
        <v>9.5423949170909683E-2</v>
      </c>
      <c r="AL349" s="14">
        <f t="shared" ref="AL349" si="2382">+AL347/AI347-1</f>
        <v>9.5423949170909683E-2</v>
      </c>
      <c r="AM349" s="14">
        <f t="shared" ref="AM349" si="2383">+AM347/AJ347-1</f>
        <v>9.5423949170909683E-2</v>
      </c>
      <c r="AN349" s="14">
        <f t="shared" ref="AN349" si="2384">+AN347/AK347-1</f>
        <v>2.4855200966578561E-2</v>
      </c>
      <c r="AO349" s="14">
        <f t="shared" ref="AO349" si="2385">+AO347/AL347-1</f>
        <v>2.4855200966578561E-2</v>
      </c>
      <c r="AP349" s="14">
        <f t="shared" ref="AP349" si="2386">+AP347/AM347-1</f>
        <v>2.4855200966578561E-2</v>
      </c>
      <c r="AQ349" s="14">
        <f t="shared" ref="AQ349" si="2387">+AQ347/AN347-1</f>
        <v>7.2914231737100099E-2</v>
      </c>
      <c r="AR349" s="14">
        <f t="shared" ref="AR349:AS349" si="2388">+AR347/AO347-1</f>
        <v>7.2914231737100099E-2</v>
      </c>
      <c r="AS349" s="14">
        <f t="shared" si="2388"/>
        <v>7.2914231737100099E-2</v>
      </c>
      <c r="AT349" s="14">
        <f t="shared" ref="AT349" si="2389">+AT347/AQ347-1</f>
        <v>7.1198773056386999E-2</v>
      </c>
      <c r="AU349" s="14">
        <f t="shared" ref="AU349" si="2390">+AU347/AR347-1</f>
        <v>7.1198773056386999E-2</v>
      </c>
      <c r="AV349" s="14">
        <f t="shared" ref="AV349" si="2391">+AV347/AS347-1</f>
        <v>7.1198773056386999E-2</v>
      </c>
    </row>
    <row r="350" spans="2:55" outlineLevel="1" x14ac:dyDescent="0.25">
      <c r="M350" s="8"/>
    </row>
    <row r="351" spans="2:55" outlineLevel="1" x14ac:dyDescent="0.25">
      <c r="B351" s="8" t="s">
        <v>574</v>
      </c>
      <c r="M351" s="8"/>
      <c r="R351" s="19">
        <f>-VLOOKUP($B$351,'GYG network model'!$M$105:$AD$123,MATCH(Assumptions!R$5,'GYG network model'!$M$105:$AG$105,0),FALSE)</f>
        <v>54.749064549388166</v>
      </c>
      <c r="U351" s="19">
        <f>-VLOOKUP($B$351,'GYG network model'!$M$105:$AD$123,MATCH(Assumptions!U$5,'GYG network model'!$M$105:$AG$105,0),FALSE)</f>
        <v>73.021702175235447</v>
      </c>
      <c r="X351" s="19">
        <f>-VLOOKUP($B$351,'GYG network model'!$M$105:$AD$123,MATCH(Assumptions!X$5,'GYG network model'!$M$105:$AG$105,0),FALSE)</f>
        <v>66.566951191726858</v>
      </c>
      <c r="AA351" s="19">
        <f>-VLOOKUP($B$351,'GYG network model'!$M$105:$AD$123,MATCH(Assumptions!AA$5,'GYG network model'!$M$105:$AG$105,0),FALSE)</f>
        <v>73.782971661849203</v>
      </c>
      <c r="AD351" s="19">
        <f>-VLOOKUP($B$351,'GYG network model'!$M$105:$AD$123,MATCH(Assumptions!AD$5,'GYG network model'!$M$105:$AG$105,0),FALSE)</f>
        <v>76.547982454682924</v>
      </c>
      <c r="AG351" s="19">
        <f>-VLOOKUP($B$351,'GYG network model'!$M$105:$AD$123,MATCH(Assumptions!AG$5,'GYG network model'!$M$105:$AG$105,0),FALSE)</f>
        <v>84.154633723709708</v>
      </c>
      <c r="AJ351" s="19">
        <f>-VLOOKUP($B$351,'GYG network model'!$M$105:$AD$123,MATCH(Assumptions!AJ$5,'GYG network model'!$M$105:$AG$105,0),FALSE)</f>
        <v>92.34407999871064</v>
      </c>
      <c r="AM351" s="19">
        <f>-VLOOKUP($B$351,'GYG network model'!$M$105:$AD$123,MATCH(Assumptions!AM$5,'GYG network model'!$M$105:$AG$105,0),FALSE)</f>
        <v>101.15591679474203</v>
      </c>
      <c r="AP351" s="19">
        <f>-VLOOKUP($B$351,'GYG network model'!$M$105:$AD$123,MATCH(Assumptions!AP$5,'GYG network model'!$M$105:$AG$105,0),FALSE)</f>
        <v>103.67016743563383</v>
      </c>
      <c r="AS351" s="19">
        <f>-VLOOKUP($B$351,'GYG network model'!$M$105:$AD$123,MATCH(Assumptions!AS$5,'GYG network model'!$M$105:$AG$105,0),FALSE)</f>
        <v>111.2291980482596</v>
      </c>
      <c r="AV351" s="19">
        <f>-VLOOKUP($B$351,'GYG network model'!$M$105:$AD$123,MATCH(Assumptions!AV$5,'GYG network model'!$M$105:$AG$105,0),FALSE)</f>
        <v>119.14858047734155</v>
      </c>
    </row>
    <row r="352" spans="2:55" outlineLevel="1" x14ac:dyDescent="0.25">
      <c r="M352" s="8"/>
      <c r="O352" s="19"/>
      <c r="P352" s="19"/>
    </row>
    <row r="353" spans="1:55" outlineLevel="1" x14ac:dyDescent="0.25">
      <c r="A353" s="64"/>
      <c r="B353" s="67" t="s">
        <v>168</v>
      </c>
      <c r="C353" s="66"/>
      <c r="D353" s="65"/>
      <c r="E353" s="65"/>
      <c r="F353" s="65"/>
      <c r="G353" s="65"/>
      <c r="H353" s="65"/>
      <c r="I353" s="65"/>
      <c r="J353" s="65"/>
      <c r="K353" s="65"/>
      <c r="L353" s="375"/>
      <c r="M353" s="65"/>
      <c r="N353" s="65"/>
      <c r="O353" s="65"/>
      <c r="P353" s="65"/>
      <c r="Q353" s="65"/>
      <c r="R353" s="65"/>
      <c r="S353" s="65"/>
      <c r="T353" s="65"/>
      <c r="U353" s="65"/>
      <c r="V353" s="65"/>
      <c r="W353" s="65"/>
      <c r="X353" s="65"/>
      <c r="Y353" s="65"/>
      <c r="Z353" s="65"/>
      <c r="AA353" s="65"/>
      <c r="AB353" s="65"/>
      <c r="AC353" s="65"/>
      <c r="AD353" s="65"/>
      <c r="AE353" s="65"/>
      <c r="AF353" s="65"/>
      <c r="AG353" s="65"/>
      <c r="AH353" s="65"/>
      <c r="AI353" s="65"/>
      <c r="AJ353" s="65"/>
      <c r="AK353" s="65"/>
      <c r="AL353" s="65"/>
      <c r="AM353" s="65"/>
      <c r="AN353" s="65"/>
      <c r="AO353" s="65"/>
      <c r="AP353" s="65"/>
      <c r="AQ353" s="65"/>
      <c r="AR353" s="65"/>
      <c r="AS353" s="65"/>
      <c r="AT353" s="65"/>
      <c r="AU353" s="65"/>
      <c r="AV353" s="65"/>
    </row>
    <row r="354" spans="1:55" outlineLevel="1" x14ac:dyDescent="0.25">
      <c r="M354" s="19"/>
      <c r="N354" s="19"/>
    </row>
    <row r="355" spans="1:55" outlineLevel="1" x14ac:dyDescent="0.25">
      <c r="B355" s="12" t="s">
        <v>169</v>
      </c>
      <c r="J355" s="19">
        <f>+I360</f>
        <v>98.938999999999993</v>
      </c>
      <c r="K355" s="19">
        <f>+J360</f>
        <v>122.3</v>
      </c>
      <c r="L355" s="312">
        <f>+I360</f>
        <v>98.938999999999993</v>
      </c>
      <c r="M355" s="41">
        <f>+L360</f>
        <v>93.796000000000006</v>
      </c>
      <c r="N355" s="19">
        <f>+M360</f>
        <v>104.149</v>
      </c>
      <c r="O355" s="312">
        <f>+L360</f>
        <v>93.796000000000006</v>
      </c>
      <c r="P355" s="19">
        <f>+O360</f>
        <v>125.43</v>
      </c>
      <c r="Q355" s="19">
        <f>+P360</f>
        <v>129.16588522579423</v>
      </c>
      <c r="R355" s="19">
        <f>+O360</f>
        <v>125.43</v>
      </c>
      <c r="S355" s="19">
        <f>+R360</f>
        <v>139.76083646028727</v>
      </c>
      <c r="T355" s="19">
        <f>+S360</f>
        <v>143.26882006274744</v>
      </c>
      <c r="U355" s="19">
        <f>+R360</f>
        <v>139.76083646028727</v>
      </c>
      <c r="V355" s="19">
        <f>+U360</f>
        <v>161.52491076066602</v>
      </c>
      <c r="W355" s="19">
        <f>+V360</f>
        <v>161.83641715718684</v>
      </c>
      <c r="X355" s="19">
        <f>+U360</f>
        <v>161.52491076066602</v>
      </c>
      <c r="Y355" s="19">
        <f>+X360</f>
        <v>177.09314805288776</v>
      </c>
      <c r="Z355" s="19">
        <f>+Y360</f>
        <v>174.58512867596926</v>
      </c>
      <c r="AA355" s="19">
        <f>+X360</f>
        <v>177.09314805288776</v>
      </c>
      <c r="AB355" s="19">
        <f t="shared" ref="AB355:AC355" si="2392">+AA360</f>
        <v>187.66723496400363</v>
      </c>
      <c r="AC355" s="19">
        <f t="shared" si="2392"/>
        <v>180.43964862038197</v>
      </c>
      <c r="AD355" s="19">
        <f t="shared" ref="AD355" si="2393">+AA360</f>
        <v>187.66723496400363</v>
      </c>
      <c r="AE355" s="19">
        <f t="shared" ref="AE355:AF355" si="2394">+AD360</f>
        <v>188.07768580435442</v>
      </c>
      <c r="AF355" s="19">
        <f t="shared" si="2394"/>
        <v>175.6178944267067</v>
      </c>
      <c r="AG355" s="19">
        <f t="shared" ref="AG355" si="2395">+AD360</f>
        <v>188.07768580435442</v>
      </c>
      <c r="AH355" s="19">
        <f t="shared" ref="AH355:AI355" si="2396">+AG360</f>
        <v>178.41096177097546</v>
      </c>
      <c r="AI355" s="19">
        <f t="shared" si="2396"/>
        <v>160.51215733986814</v>
      </c>
      <c r="AJ355" s="19">
        <f t="shared" ref="AJ355" si="2397">+AG360</f>
        <v>178.41096177097546</v>
      </c>
      <c r="AK355" s="19">
        <f t="shared" ref="AK355:AL355" si="2398">+AJ360</f>
        <v>158.64252865504997</v>
      </c>
      <c r="AL355" s="19">
        <f t="shared" si="2398"/>
        <v>134.63983890302657</v>
      </c>
      <c r="AM355" s="19">
        <f t="shared" ref="AM355" si="2399">+AJ360</f>
        <v>158.64252865504997</v>
      </c>
      <c r="AN355" s="19">
        <f t="shared" ref="AN355:AR355" si="2400">+AM360</f>
        <v>127.49618441994045</v>
      </c>
      <c r="AO355" s="19">
        <f t="shared" si="2400"/>
        <v>107.0670168567647</v>
      </c>
      <c r="AP355" s="19">
        <f t="shared" ref="AP355" si="2401">+AM360</f>
        <v>127.49618441994045</v>
      </c>
      <c r="AQ355" s="19">
        <f t="shared" si="2400"/>
        <v>95.259205191668997</v>
      </c>
      <c r="AR355" s="19">
        <f t="shared" si="2400"/>
        <v>72.390524009009539</v>
      </c>
      <c r="AS355" s="19">
        <f t="shared" ref="AS355" si="2402">+AP360</f>
        <v>95.259205191668997</v>
      </c>
      <c r="AT355" s="19">
        <f t="shared" ref="AT355" si="2403">+AS360</f>
        <v>56.091957043086992</v>
      </c>
      <c r="AU355" s="19">
        <f t="shared" ref="AU355" si="2404">+AT360</f>
        <v>29.092061383735953</v>
      </c>
      <c r="AV355" s="19">
        <f t="shared" ref="AV355" si="2405">+AS360</f>
        <v>56.091957043086992</v>
      </c>
    </row>
    <row r="356" spans="1:55" outlineLevel="1" x14ac:dyDescent="0.25">
      <c r="B356" s="8" t="s">
        <v>143</v>
      </c>
      <c r="C356" s="22" t="s">
        <v>28</v>
      </c>
      <c r="I356" s="45">
        <v>55.398000000000003</v>
      </c>
      <c r="J356" s="19">
        <f>0.5*L356</f>
        <v>18.443999999999999</v>
      </c>
      <c r="K356" s="19">
        <f>+L356-J356</f>
        <v>18.443999999999999</v>
      </c>
      <c r="L356" s="354">
        <v>36.887999999999998</v>
      </c>
      <c r="M356" s="441">
        <v>16.323</v>
      </c>
      <c r="N356" s="19">
        <f>+O356-M356</f>
        <v>27.97</v>
      </c>
      <c r="O356" s="233">
        <v>44.292999999999999</v>
      </c>
      <c r="P356" s="206">
        <f>-P357+(P365*P355)</f>
        <v>31.935709963267342</v>
      </c>
      <c r="Q356" s="207">
        <f>-Q357+(Q365*Q355)</f>
        <v>25.803864960198233</v>
      </c>
      <c r="R356" s="211">
        <f>P356+Q356</f>
        <v>57.739574923465575</v>
      </c>
      <c r="S356" s="207">
        <f>-S357+(S365*S355)*1.2</f>
        <v>39.772065178892625</v>
      </c>
      <c r="T356" s="207">
        <f>-T357+(T365*T355)*1.2</f>
        <v>40.397316228187307</v>
      </c>
      <c r="U356" s="211">
        <f>S356+T356</f>
        <v>80.169381407079925</v>
      </c>
      <c r="V356" s="207">
        <f t="shared" ref="V356:W356" si="2406">-V357+(V365*V355)*1.2</f>
        <v>41.385165404569797</v>
      </c>
      <c r="W356" s="207">
        <f t="shared" si="2406"/>
        <v>41.344112451357219</v>
      </c>
      <c r="X356" s="211">
        <f t="shared" ref="X356" si="2407">V356+W356</f>
        <v>82.729277855927023</v>
      </c>
      <c r="Y356" s="207">
        <f t="shared" ref="Y356:Z356" si="2408">-Y357+(Y365*Y355)*1.2</f>
        <v>45.189663520735877</v>
      </c>
      <c r="Z356" s="207">
        <f t="shared" si="2408"/>
        <v>42.725692104503565</v>
      </c>
      <c r="AA356" s="211">
        <f t="shared" ref="AA356" si="2409">Y356+Z356</f>
        <v>87.915355625239442</v>
      </c>
      <c r="AB356" s="207">
        <f t="shared" ref="AB356:AC356" si="2410">-AB357+(AB365*AB355)*1.2</f>
        <v>44.406040096038979</v>
      </c>
      <c r="AC356" s="207">
        <f t="shared" si="2410"/>
        <v>40.177583317194248</v>
      </c>
      <c r="AD356" s="211">
        <f t="shared" ref="AD356" si="2411">AB356+AC356</f>
        <v>84.583623413233227</v>
      </c>
      <c r="AE356" s="207">
        <f t="shared" ref="AE356:AF356" si="2412">-AE357+(AE365*AE355)*1.2</f>
        <v>41.565560968868098</v>
      </c>
      <c r="AF356" s="207">
        <f t="shared" si="2412"/>
        <v>39.127179162440527</v>
      </c>
      <c r="AG356" s="211">
        <f t="shared" ref="AG356" si="2413">AE356+AF356</f>
        <v>80.692740131308625</v>
      </c>
      <c r="AH356" s="207">
        <f t="shared" ref="AH356:AI356" si="2414">-AH357+(AH365*AH355)*1.2</f>
        <v>41.220582997109332</v>
      </c>
      <c r="AI356" s="207">
        <f t="shared" si="2414"/>
        <v>38.561472066506447</v>
      </c>
      <c r="AJ356" s="211">
        <f t="shared" ref="AJ356" si="2415">AH356+AI356</f>
        <v>79.782055063615786</v>
      </c>
      <c r="AK356" s="207">
        <f t="shared" ref="AK356:AL356" si="2416">-AK357+(AK365*AK355)*1.2</f>
        <v>40.595711596555326</v>
      </c>
      <c r="AL356" s="207">
        <f t="shared" si="2416"/>
        <v>37.707448711237745</v>
      </c>
      <c r="AM356" s="211">
        <f t="shared" ref="AM356" si="2417">AK356+AL356</f>
        <v>78.303160307793064</v>
      </c>
      <c r="AN356" s="207">
        <f t="shared" ref="AN356:AO356" si="2418">-AN357+(AN365*AN355)*1.2</f>
        <v>38.610233241742947</v>
      </c>
      <c r="AO356" s="207">
        <f t="shared" si="2418"/>
        <v>35.801896723600336</v>
      </c>
      <c r="AP356" s="211">
        <f t="shared" ref="AP356" si="2419">AN356+AO356</f>
        <v>74.412129965343283</v>
      </c>
      <c r="AQ356" s="207">
        <f t="shared" ref="AQ356:AR356" si="2420">-AQ357+(AQ365*AQ355)*1.2</f>
        <v>36.810708031393148</v>
      </c>
      <c r="AR356" s="207">
        <f t="shared" si="2420"/>
        <v>34.992685177447846</v>
      </c>
      <c r="AS356" s="211">
        <f t="shared" ref="AS356" si="2421">AQ356+AR356</f>
        <v>71.803393208840987</v>
      </c>
      <c r="AT356" s="207">
        <f t="shared" ref="AT356:AU356" si="2422">-AT357+(AT365*AT355)*1.2</f>
        <v>36.320114145659055</v>
      </c>
      <c r="AU356" s="207">
        <f t="shared" si="2422"/>
        <v>34.413279278763106</v>
      </c>
      <c r="AV356" s="211">
        <f t="shared" ref="AV356" si="2423">AT356+AU356</f>
        <v>70.733393424422161</v>
      </c>
    </row>
    <row r="357" spans="1:55" outlineLevel="1" x14ac:dyDescent="0.25">
      <c r="B357" s="8" t="s">
        <v>106</v>
      </c>
      <c r="C357" s="22" t="s">
        <v>28</v>
      </c>
      <c r="F357" s="45">
        <v>-6.7</v>
      </c>
      <c r="G357" s="8">
        <f>0.5*I357</f>
        <v>-5.15</v>
      </c>
      <c r="H357" s="19">
        <f>+I357-G357</f>
        <v>-5.15</v>
      </c>
      <c r="I357" s="45">
        <v>-10.3</v>
      </c>
      <c r="J357" s="19">
        <f>0.5*L357</f>
        <v>-5.6234999999999999</v>
      </c>
      <c r="K357" s="19">
        <f>+L357-J357</f>
        <v>-5.6234999999999999</v>
      </c>
      <c r="L357" s="354">
        <v>-11.247</v>
      </c>
      <c r="M357" s="441">
        <v>-7.7430000000000003</v>
      </c>
      <c r="N357" s="19">
        <f>+O357-M357</f>
        <v>-6.1310000000000002</v>
      </c>
      <c r="O357" s="455">
        <v>-13.874000000000001</v>
      </c>
      <c r="P357" s="181">
        <f>Q357</f>
        <v>-8.3039708328325634</v>
      </c>
      <c r="Q357" s="181">
        <f>Q362*(Q$68+Q$165)</f>
        <v>-8.3039708328325634</v>
      </c>
      <c r="R357" s="181">
        <f>P357+Q357</f>
        <v>-16.607941665665127</v>
      </c>
      <c r="S357" s="181">
        <f>T357</f>
        <v>-10.115497442197531</v>
      </c>
      <c r="T357" s="181">
        <f>T362*(T$68+T$165)</f>
        <v>-10.115497442197531</v>
      </c>
      <c r="U357" s="181">
        <f>S357+T357</f>
        <v>-20.230994884395063</v>
      </c>
      <c r="V357" s="181">
        <f>W357</f>
        <v>-12.260466469485964</v>
      </c>
      <c r="W357" s="181">
        <f>W362*(W$68+W$165)</f>
        <v>-12.260466469485964</v>
      </c>
      <c r="X357" s="181">
        <f>V357+W357</f>
        <v>-24.520932938971928</v>
      </c>
      <c r="Y357" s="181">
        <f>Z357</f>
        <v>-14.557335208885005</v>
      </c>
      <c r="Z357" s="181">
        <f>Z362*(Z$68+Z$165)</f>
        <v>-14.557335208885005</v>
      </c>
      <c r="AA357" s="181">
        <f>Y357+Z357</f>
        <v>-29.114670417770011</v>
      </c>
      <c r="AB357" s="181">
        <f t="shared" ref="AB357" si="2424">AC357</f>
        <v>-16.920917495011679</v>
      </c>
      <c r="AC357" s="181">
        <f>AC362*(AC$68+AC$165)</f>
        <v>-16.920917495011679</v>
      </c>
      <c r="AD357" s="181">
        <f t="shared" ref="AD357:AD358" si="2425">AB357+AC357</f>
        <v>-33.841834990023358</v>
      </c>
      <c r="AE357" s="181">
        <f t="shared" ref="AE357" si="2426">AF357</f>
        <v>-19.392191695091562</v>
      </c>
      <c r="AF357" s="181">
        <f>AF362*(AF$68+AF$165)</f>
        <v>-19.392191695091562</v>
      </c>
      <c r="AG357" s="181">
        <f t="shared" ref="AG357:AG358" si="2427">AE357+AF357</f>
        <v>-38.784383390183123</v>
      </c>
      <c r="AH357" s="181">
        <f t="shared" ref="AH357" si="2428">AI357</f>
        <v>-22.068479752685118</v>
      </c>
      <c r="AI357" s="181">
        <f>AI362*(AI$68+AI$165)</f>
        <v>-22.068479752685118</v>
      </c>
      <c r="AJ357" s="181">
        <f t="shared" ref="AJ357:AJ358" si="2429">AH357+AI357</f>
        <v>-44.136959505370235</v>
      </c>
      <c r="AK357" s="181">
        <f t="shared" ref="AK357" si="2430">AL357</f>
        <v>-24.96407240943018</v>
      </c>
      <c r="AL357" s="181">
        <f>AL362*(AL$68+AL$165)</f>
        <v>-24.96407240943018</v>
      </c>
      <c r="AM357" s="181">
        <f t="shared" ref="AM357:AM358" si="2431">AK357+AL357</f>
        <v>-49.92814481886036</v>
      </c>
      <c r="AN357" s="181">
        <f t="shared" ref="AN357" si="2432">AO357</f>
        <v>-27.415446317065243</v>
      </c>
      <c r="AO357" s="181">
        <f>AO362*(AO$68+AO$165)</f>
        <v>-27.415446317065243</v>
      </c>
      <c r="AP357" s="181">
        <f t="shared" ref="AP357:AP358" si="2433">AN357+AO357</f>
        <v>-54.830892634130485</v>
      </c>
      <c r="AQ357" s="181">
        <f t="shared" ref="AQ357" si="2434">AR357</f>
        <v>-29.882765835635411</v>
      </c>
      <c r="AR357" s="181">
        <f>AR362*(AR$68+AR$165)</f>
        <v>-29.882765835635411</v>
      </c>
      <c r="AS357" s="181">
        <f t="shared" ref="AS357:AS358" si="2435">AQ357+AR357</f>
        <v>-59.765531671270821</v>
      </c>
      <c r="AT357" s="181">
        <f t="shared" ref="AT357" si="2436">AU357</f>
        <v>-32.473808519847374</v>
      </c>
      <c r="AU357" s="181">
        <f>AU362*(AU$68+AU$165)</f>
        <v>-32.473808519847374</v>
      </c>
      <c r="AV357" s="181">
        <f t="shared" ref="AV357:AV358" si="2437">AT357+AU357</f>
        <v>-64.947617039694748</v>
      </c>
    </row>
    <row r="358" spans="1:55" outlineLevel="1" x14ac:dyDescent="0.25">
      <c r="B358" s="8" t="s">
        <v>370</v>
      </c>
      <c r="C358" s="22" t="s">
        <v>28</v>
      </c>
      <c r="F358" s="52"/>
      <c r="H358" s="19"/>
      <c r="I358" s="52"/>
      <c r="J358" s="19">
        <f>-'Financial Statements'!J144</f>
        <v>-1.9</v>
      </c>
      <c r="K358" s="19">
        <f>-'Financial Statements'!K144</f>
        <v>-4.1999999999999993</v>
      </c>
      <c r="L358" s="309">
        <f>J358+K358</f>
        <v>-6.1</v>
      </c>
      <c r="M358" s="19">
        <f>-'Financial Statements'!M144</f>
        <v>-0.1</v>
      </c>
      <c r="N358" s="19">
        <f>-'Financial Statements'!N144</f>
        <v>-10.085000000000001</v>
      </c>
      <c r="O358" s="309">
        <f>M358+N358</f>
        <v>-10.185</v>
      </c>
      <c r="P358" s="19">
        <f>-'Financial Statements'!P144</f>
        <v>-1.9</v>
      </c>
      <c r="Q358" s="19">
        <f>-'Financial Statements'!Q144</f>
        <v>-1.9</v>
      </c>
      <c r="R358" s="19">
        <f>P358+Q358</f>
        <v>-3.8</v>
      </c>
      <c r="S358" s="19">
        <f>-'Financial Statements'!S144</f>
        <v>-1.9</v>
      </c>
      <c r="T358" s="19">
        <f>-'Financial Statements'!T144</f>
        <v>-1.9</v>
      </c>
      <c r="U358" s="19">
        <f>S358+T358</f>
        <v>-3.8</v>
      </c>
      <c r="V358" s="19">
        <f>-'Financial Statements'!V144</f>
        <v>-1.9</v>
      </c>
      <c r="W358" s="19">
        <f>-'Financial Statements'!W144</f>
        <v>-1.9</v>
      </c>
      <c r="X358" s="19">
        <f>V358+W358</f>
        <v>-3.8</v>
      </c>
      <c r="Y358" s="19">
        <f>-'Financial Statements'!Y144</f>
        <v>-1.9</v>
      </c>
      <c r="Z358" s="19">
        <f>-'Financial Statements'!Z144</f>
        <v>-1.9</v>
      </c>
      <c r="AA358" s="19">
        <f>Y358+Z358</f>
        <v>-3.8</v>
      </c>
      <c r="AB358" s="19">
        <f>-'Financial Statements'!AB144</f>
        <v>-1.9</v>
      </c>
      <c r="AC358" s="19">
        <f>-'Financial Statements'!AC144</f>
        <v>-1.9</v>
      </c>
      <c r="AD358" s="19">
        <f t="shared" si="2425"/>
        <v>-3.8</v>
      </c>
      <c r="AE358" s="19">
        <f>-'Financial Statements'!AE144</f>
        <v>-1.9</v>
      </c>
      <c r="AF358" s="19">
        <f>-'Financial Statements'!AF144</f>
        <v>-1.9</v>
      </c>
      <c r="AG358" s="19">
        <f t="shared" si="2427"/>
        <v>-3.8</v>
      </c>
      <c r="AH358" s="19">
        <f>-'Financial Statements'!AH144</f>
        <v>-1.9</v>
      </c>
      <c r="AI358" s="19">
        <f>-'Financial Statements'!AI144</f>
        <v>-1.9</v>
      </c>
      <c r="AJ358" s="19">
        <f t="shared" si="2429"/>
        <v>-3.8</v>
      </c>
      <c r="AK358" s="19">
        <f>-'Financial Statements'!AK144</f>
        <v>-1.9</v>
      </c>
      <c r="AL358" s="19">
        <f>-'Financial Statements'!AL144</f>
        <v>-1.9</v>
      </c>
      <c r="AM358" s="19">
        <f t="shared" si="2431"/>
        <v>-3.8</v>
      </c>
      <c r="AN358" s="19">
        <f>-'Financial Statements'!AN144</f>
        <v>-1.9</v>
      </c>
      <c r="AO358" s="19">
        <f>-'Financial Statements'!AO144</f>
        <v>-1.9</v>
      </c>
      <c r="AP358" s="19">
        <f t="shared" si="2433"/>
        <v>-3.8</v>
      </c>
      <c r="AQ358" s="19">
        <f>-'Financial Statements'!AQ144</f>
        <v>-1.9</v>
      </c>
      <c r="AR358" s="19">
        <f>-'Financial Statements'!AR144</f>
        <v>-1.9</v>
      </c>
      <c r="AS358" s="19">
        <f t="shared" si="2435"/>
        <v>-3.8</v>
      </c>
      <c r="AT358" s="19">
        <f>-'Financial Statements'!AT144</f>
        <v>-1.9</v>
      </c>
      <c r="AU358" s="19">
        <f>-'Financial Statements'!AU144</f>
        <v>-1.9</v>
      </c>
      <c r="AV358" s="19">
        <f t="shared" si="2437"/>
        <v>-3.8</v>
      </c>
    </row>
    <row r="359" spans="1:55" outlineLevel="1" x14ac:dyDescent="0.25">
      <c r="B359" s="8" t="s">
        <v>371</v>
      </c>
      <c r="C359" s="22" t="s">
        <v>28</v>
      </c>
      <c r="F359" s="52"/>
      <c r="H359" s="19"/>
      <c r="I359" s="52"/>
      <c r="J359" s="19">
        <f>J360-J355-J356-J357-J358</f>
        <v>12.440500000000005</v>
      </c>
      <c r="K359" s="19">
        <f t="shared" ref="K359:L359" si="2438">K360-K355-K356-K357-K358</f>
        <v>-37.124499999999998</v>
      </c>
      <c r="L359" s="309">
        <f t="shared" si="2438"/>
        <v>-24.683999999999983</v>
      </c>
      <c r="M359" s="19">
        <f>M360-M355-M356-M357-M358</f>
        <v>1.8729999999999944</v>
      </c>
      <c r="N359" s="19">
        <f t="shared" ref="N359:O359" si="2439">N360-N355-N356-N357-N358</f>
        <v>9.5270000000000081</v>
      </c>
      <c r="O359" s="309">
        <f t="shared" si="2439"/>
        <v>11.400000000000002</v>
      </c>
      <c r="P359" s="19">
        <f t="shared" ref="P359:AS359" si="2440">-P411</f>
        <v>-17.995853904640569</v>
      </c>
      <c r="Q359" s="19">
        <f t="shared" si="2440"/>
        <v>-5.0049428928726059</v>
      </c>
      <c r="R359" s="19">
        <f t="shared" si="2440"/>
        <v>-23.000796797513175</v>
      </c>
      <c r="S359" s="19">
        <f t="shared" si="2440"/>
        <v>-24.248584134234932</v>
      </c>
      <c r="T359" s="19">
        <f t="shared" si="2440"/>
        <v>-10.125728088071156</v>
      </c>
      <c r="U359" s="19">
        <f t="shared" si="2440"/>
        <v>-34.374312222306088</v>
      </c>
      <c r="V359" s="19">
        <f t="shared" si="2440"/>
        <v>-26.913192538562981</v>
      </c>
      <c r="W359" s="19">
        <f t="shared" si="2440"/>
        <v>-11.926915086170368</v>
      </c>
      <c r="X359" s="19">
        <f t="shared" si="2440"/>
        <v>-38.840107624733349</v>
      </c>
      <c r="Y359" s="19">
        <f t="shared" si="2440"/>
        <v>-31.240347688769361</v>
      </c>
      <c r="Z359" s="19">
        <f t="shared" si="2440"/>
        <v>-13.186250607584213</v>
      </c>
      <c r="AA359" s="19">
        <f t="shared" si="2440"/>
        <v>-44.426598296353575</v>
      </c>
      <c r="AB359" s="19">
        <f t="shared" si="2440"/>
        <v>-32.812708944648932</v>
      </c>
      <c r="AC359" s="19">
        <f t="shared" si="2440"/>
        <v>-13.718628638210134</v>
      </c>
      <c r="AD359" s="19">
        <f t="shared" si="2440"/>
        <v>-46.531337582859067</v>
      </c>
      <c r="AE359" s="19">
        <f t="shared" si="2440"/>
        <v>-32.733160651424271</v>
      </c>
      <c r="AF359" s="19">
        <f t="shared" si="2440"/>
        <v>-15.041920123080217</v>
      </c>
      <c r="AG359" s="19">
        <f t="shared" si="2440"/>
        <v>-47.775080774504488</v>
      </c>
      <c r="AH359" s="19">
        <f t="shared" si="2440"/>
        <v>-35.150907675531528</v>
      </c>
      <c r="AI359" s="19">
        <f t="shared" si="2440"/>
        <v>-16.462620998639522</v>
      </c>
      <c r="AJ359" s="19">
        <f t="shared" si="2440"/>
        <v>-51.61352867417105</v>
      </c>
      <c r="AK359" s="19">
        <f t="shared" si="2440"/>
        <v>-37.734328939148554</v>
      </c>
      <c r="AL359" s="19">
        <f t="shared" si="2440"/>
        <v>-17.987030784893648</v>
      </c>
      <c r="AM359" s="19">
        <f t="shared" si="2440"/>
        <v>-55.721359724042202</v>
      </c>
      <c r="AN359" s="19">
        <f t="shared" si="2440"/>
        <v>-29.723954487853462</v>
      </c>
      <c r="AO359" s="19">
        <f t="shared" si="2440"/>
        <v>-18.294262071630783</v>
      </c>
      <c r="AP359" s="19">
        <f t="shared" si="2440"/>
        <v>-48.018216559484244</v>
      </c>
      <c r="AQ359" s="19">
        <f t="shared" si="2440"/>
        <v>-27.896623378417189</v>
      </c>
      <c r="AR359" s="19">
        <f t="shared" si="2440"/>
        <v>-19.508486307734984</v>
      </c>
      <c r="AS359" s="19">
        <f t="shared" si="2440"/>
        <v>-47.405109686152173</v>
      </c>
      <c r="AT359" s="19">
        <f t="shared" ref="AT359:AV359" si="2441">-AT411</f>
        <v>-28.946201285162715</v>
      </c>
      <c r="AU359" s="19">
        <f t="shared" si="2441"/>
        <v>-20.778745109670012</v>
      </c>
      <c r="AV359" s="19">
        <f t="shared" si="2441"/>
        <v>-49.724946394832727</v>
      </c>
    </row>
    <row r="360" spans="1:55" s="62" customFormat="1" outlineLevel="1" x14ac:dyDescent="0.25">
      <c r="B360" s="12" t="s">
        <v>144</v>
      </c>
      <c r="C360" s="22" t="s">
        <v>28</v>
      </c>
      <c r="D360" s="12"/>
      <c r="E360" s="12"/>
      <c r="F360" s="52"/>
      <c r="G360" s="12"/>
      <c r="H360" s="12"/>
      <c r="I360" s="52">
        <f>+'Financial Statements'!I85</f>
        <v>98.938999999999993</v>
      </c>
      <c r="J360" s="52">
        <f>+'Financial Statements'!J85</f>
        <v>122.3</v>
      </c>
      <c r="K360" s="52">
        <f>+'Financial Statements'!K85</f>
        <v>93.796000000000006</v>
      </c>
      <c r="L360" s="312">
        <f>+'Financial Statements'!L85</f>
        <v>93.796000000000006</v>
      </c>
      <c r="M360" s="52">
        <f>+'Financial Statements'!M85</f>
        <v>104.149</v>
      </c>
      <c r="N360" s="52">
        <f>+'Financial Statements'!N85</f>
        <v>125.43</v>
      </c>
      <c r="O360" s="312">
        <f>+'Financial Statements'!O85</f>
        <v>125.43</v>
      </c>
      <c r="P360" s="52">
        <f t="shared" ref="P360:W360" si="2442">+P355+P356+P357+P358+P359</f>
        <v>129.16588522579423</v>
      </c>
      <c r="Q360" s="52">
        <f t="shared" si="2442"/>
        <v>139.76083646028729</v>
      </c>
      <c r="R360" s="52">
        <f>+R355+R356+R357+R358+R359</f>
        <v>139.76083646028727</v>
      </c>
      <c r="S360" s="52">
        <f t="shared" si="2442"/>
        <v>143.26882006274744</v>
      </c>
      <c r="T360" s="52">
        <f t="shared" si="2442"/>
        <v>161.52491076066605</v>
      </c>
      <c r="U360" s="52">
        <f>+U355+U356+U357+U358+U359</f>
        <v>161.52491076066602</v>
      </c>
      <c r="V360" s="52">
        <f t="shared" si="2442"/>
        <v>161.83641715718684</v>
      </c>
      <c r="W360" s="52">
        <f t="shared" si="2442"/>
        <v>177.09314805288773</v>
      </c>
      <c r="X360" s="52">
        <f>+X355+X356+X357+X358+X359</f>
        <v>177.09314805288776</v>
      </c>
      <c r="Y360" s="52">
        <f>+Y355+Y356+Y357+Y358+Y359</f>
        <v>174.58512867596926</v>
      </c>
      <c r="Z360" s="52">
        <f t="shared" ref="Z360" si="2443">+Z355+Z356+Z357+Z358+Z359</f>
        <v>187.6672349640036</v>
      </c>
      <c r="AA360" s="52">
        <f>+AA355+AA356+AA357+AA358+AA359</f>
        <v>187.66723496400363</v>
      </c>
      <c r="AB360" s="52">
        <f t="shared" ref="AB360:AP360" si="2444">+AB355+AB356+AB357+AB358+AB359</f>
        <v>180.43964862038197</v>
      </c>
      <c r="AC360" s="52">
        <f t="shared" si="2444"/>
        <v>188.07768580435439</v>
      </c>
      <c r="AD360" s="52">
        <f t="shared" si="2444"/>
        <v>188.07768580435442</v>
      </c>
      <c r="AE360" s="52">
        <f t="shared" si="2444"/>
        <v>175.6178944267067</v>
      </c>
      <c r="AF360" s="52">
        <f t="shared" si="2444"/>
        <v>178.41096177097546</v>
      </c>
      <c r="AG360" s="52">
        <f t="shared" si="2444"/>
        <v>178.41096177097546</v>
      </c>
      <c r="AH360" s="52">
        <f t="shared" si="2444"/>
        <v>160.51215733986814</v>
      </c>
      <c r="AI360" s="52">
        <f t="shared" si="2444"/>
        <v>158.64252865504994</v>
      </c>
      <c r="AJ360" s="52">
        <f t="shared" si="2444"/>
        <v>158.64252865504997</v>
      </c>
      <c r="AK360" s="52">
        <f t="shared" si="2444"/>
        <v>134.63983890302657</v>
      </c>
      <c r="AL360" s="52">
        <f t="shared" si="2444"/>
        <v>127.49618441994048</v>
      </c>
      <c r="AM360" s="52">
        <f t="shared" si="2444"/>
        <v>127.49618441994045</v>
      </c>
      <c r="AN360" s="52">
        <f t="shared" si="2444"/>
        <v>107.0670168567647</v>
      </c>
      <c r="AO360" s="52">
        <f t="shared" si="2444"/>
        <v>95.259205191668983</v>
      </c>
      <c r="AP360" s="52">
        <f t="shared" si="2444"/>
        <v>95.259205191668997</v>
      </c>
      <c r="AQ360" s="52">
        <f t="shared" ref="AQ360" si="2445">+AQ355+AQ356+AQ357+AQ358+AQ359</f>
        <v>72.390524009009539</v>
      </c>
      <c r="AR360" s="52">
        <f t="shared" ref="AR360" si="2446">+AR355+AR356+AR357+AR358+AR359</f>
        <v>56.091957043086978</v>
      </c>
      <c r="AS360" s="52">
        <f t="shared" ref="AS360:AU360" si="2447">+AS355+AS356+AS357+AS358+AS359</f>
        <v>56.091957043086992</v>
      </c>
      <c r="AT360" s="52">
        <f t="shared" si="2447"/>
        <v>29.092061383735953</v>
      </c>
      <c r="AU360" s="52">
        <f t="shared" si="2447"/>
        <v>8.3527870329816736</v>
      </c>
      <c r="AV360" s="52">
        <f t="shared" ref="AV360" si="2448">+AV355+AV356+AV357+AV358+AV359</f>
        <v>8.3527870329816807</v>
      </c>
      <c r="AX360"/>
      <c r="AY360"/>
      <c r="AZ360"/>
      <c r="BA360"/>
      <c r="BB360"/>
      <c r="BC360"/>
    </row>
    <row r="361" spans="1:55" outlineLevel="1" x14ac:dyDescent="0.25">
      <c r="F361" s="52"/>
      <c r="I361" s="52"/>
      <c r="J361" s="19"/>
      <c r="K361" s="19"/>
      <c r="L361" s="309"/>
      <c r="M361" s="41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/>
      <c r="AB361" s="19"/>
      <c r="AC361" s="19"/>
      <c r="AD361" s="19"/>
      <c r="AE361" s="19"/>
      <c r="AF361" s="19"/>
      <c r="AG361" s="19"/>
      <c r="AH361" s="19"/>
      <c r="AI361" s="19"/>
      <c r="AJ361" s="19"/>
      <c r="AK361" s="19"/>
      <c r="AL361" s="19"/>
      <c r="AM361" s="19"/>
      <c r="AN361" s="19"/>
      <c r="AO361" s="19"/>
      <c r="AP361" s="19"/>
      <c r="AQ361" s="19"/>
      <c r="AR361" s="19"/>
      <c r="AS361" s="19"/>
      <c r="AT361" s="19"/>
      <c r="AU361" s="19"/>
      <c r="AV361" s="19"/>
    </row>
    <row r="362" spans="1:55" outlineLevel="1" x14ac:dyDescent="0.25">
      <c r="B362" s="8" t="s">
        <v>139</v>
      </c>
      <c r="C362" s="22" t="s">
        <v>29</v>
      </c>
      <c r="F362" s="18">
        <f>+F357/(F$68+F$165)</f>
        <v>-4.728299223712068E-2</v>
      </c>
      <c r="I362" s="18">
        <f>+I357/(I$68+I$165)</f>
        <v>-4.7247706422018351E-2</v>
      </c>
      <c r="J362" s="324">
        <f t="shared" ref="J362:N362" si="2449">J357/(J$68+J$165)</f>
        <v>-3.954641350210971E-2</v>
      </c>
      <c r="K362" s="324">
        <f t="shared" si="2449"/>
        <v>-3.8125423728813564E-2</v>
      </c>
      <c r="L362" s="358">
        <f t="shared" si="2449"/>
        <v>-3.8822920262340355E-2</v>
      </c>
      <c r="M362" s="324">
        <f t="shared" si="2449"/>
        <v>-4.2790589717658374E-2</v>
      </c>
      <c r="N362" s="324">
        <f t="shared" si="2449"/>
        <v>-3.2108049793400331E-2</v>
      </c>
      <c r="O362" s="358">
        <f>O357/(O$68+O$165)</f>
        <v>-3.7305727346060774E-2</v>
      </c>
      <c r="P362" s="209">
        <f>P357/(P$68+P$165)</f>
        <v>-3.5340622326649668E-2</v>
      </c>
      <c r="Q362" s="208">
        <f>N362</f>
        <v>-3.2108049793400331E-2</v>
      </c>
      <c r="R362" s="209">
        <f>+R357/(R$68+R$165)</f>
        <v>-3.3646873266064289E-2</v>
      </c>
      <c r="S362" s="209">
        <f>S357/(S$68+S$165)</f>
        <v>-3.5468579514345858E-2</v>
      </c>
      <c r="T362" s="208">
        <f t="shared" ref="T362" si="2450">Q362</f>
        <v>-3.2108049793400331E-2</v>
      </c>
      <c r="U362" s="209">
        <f>+U357/(U$68+U$165)</f>
        <v>-3.3704756476134391E-2</v>
      </c>
      <c r="V362" s="209">
        <f>V357/(V$68+V$165)</f>
        <v>-3.5264922624728932E-2</v>
      </c>
      <c r="W362" s="208">
        <f t="shared" ref="W362" si="2451">T362</f>
        <v>-3.2108049793400331E-2</v>
      </c>
      <c r="X362" s="209">
        <f>+X357/(X$68+X$165)</f>
        <v>-3.3612525941946456E-2</v>
      </c>
      <c r="Y362" s="209">
        <f>Y357/(Y$68+Y$165)</f>
        <v>-3.5048762483436482E-2</v>
      </c>
      <c r="Z362" s="208">
        <f t="shared" ref="Z362" si="2452">W362</f>
        <v>-3.2108049793400331E-2</v>
      </c>
      <c r="AA362" s="209">
        <f>+AA357/(AA$68+AA$165)</f>
        <v>-3.351402107581529E-2</v>
      </c>
      <c r="AB362" s="209">
        <f>AB357/(AB$68+AB$165)</f>
        <v>-3.4703460834295687E-2</v>
      </c>
      <c r="AC362" s="208">
        <f t="shared" ref="AC362" si="2453">Z362</f>
        <v>-3.2108049793400331E-2</v>
      </c>
      <c r="AD362" s="209">
        <f>+AD357/(AD$68+AD$165)</f>
        <v>-3.3355343652684263E-2</v>
      </c>
      <c r="AE362" s="209">
        <f>AE357/(AE$68+AE$165)</f>
        <v>-3.4598450967324501E-2</v>
      </c>
      <c r="AF362" s="208">
        <f t="shared" ref="AF362" si="2454">AC362</f>
        <v>-3.2108049793400331E-2</v>
      </c>
      <c r="AG362" s="209">
        <f>+AG357/(AG$68+AG$165)</f>
        <v>-3.3306762422394644E-2</v>
      </c>
      <c r="AH362" s="209">
        <f>AH357/(AH$68+AH$165)</f>
        <v>-3.451035920572966E-2</v>
      </c>
      <c r="AI362" s="208">
        <f t="shared" ref="AI362" si="2455">AF362</f>
        <v>-3.2108049793400331E-2</v>
      </c>
      <c r="AJ362" s="209">
        <f>+AJ357/(AJ$68+AJ$165)</f>
        <v>-3.3265889966845957E-2</v>
      </c>
      <c r="AK362" s="209">
        <f>AK357/(AK$68+AK$165)</f>
        <v>-3.4435405081521028E-2</v>
      </c>
      <c r="AL362" s="208">
        <f t="shared" ref="AL362" si="2456">AI362</f>
        <v>-3.2108049793400331E-2</v>
      </c>
      <c r="AM362" s="209">
        <f>+AM357/(AM$68+AM$165)</f>
        <v>-3.3231027847641328E-2</v>
      </c>
      <c r="AN362" s="209">
        <f>AN357/(AN$68+AN$165)</f>
        <v>-3.4240760707258504E-2</v>
      </c>
      <c r="AO362" s="208">
        <f t="shared" ref="AO362" si="2457">AL362</f>
        <v>-3.2108049793400331E-2</v>
      </c>
      <c r="AP362" s="209">
        <f>+AP357/(AP$68+AP$165)</f>
        <v>-3.3140128404913746E-2</v>
      </c>
      <c r="AQ362" s="209">
        <f>AQ357/(AQ$68+AQ$165)</f>
        <v>-3.4198153270157669E-2</v>
      </c>
      <c r="AR362" s="208">
        <f t="shared" ref="AR362" si="2458">AO362</f>
        <v>-3.2108049793400331E-2</v>
      </c>
      <c r="AS362" s="209">
        <f>+AS357/(AS$68+AS$165)</f>
        <v>-3.3120159421224385E-2</v>
      </c>
      <c r="AT362" s="209">
        <f>AT357/(AT$68+AT$165)</f>
        <v>-3.4160099312632308E-2</v>
      </c>
      <c r="AU362" s="208">
        <f t="shared" ref="AU362" si="2459">AR362</f>
        <v>-3.2108049793400331E-2</v>
      </c>
      <c r="AV362" s="209">
        <f>+AV357/(AV$68+AV$165)</f>
        <v>-3.3102302824922311E-2</v>
      </c>
    </row>
    <row r="363" spans="1:55" outlineLevel="1" x14ac:dyDescent="0.25">
      <c r="B363" s="8" t="s">
        <v>431</v>
      </c>
      <c r="C363" s="22" t="s">
        <v>29</v>
      </c>
      <c r="K363" s="55">
        <f t="shared" ref="K363:AV363" si="2460">+K65</f>
        <v>0.18867924528301883</v>
      </c>
      <c r="L363" s="388">
        <f t="shared" si="2460"/>
        <v>0.17821782178217815</v>
      </c>
      <c r="M363" s="55">
        <f t="shared" si="2460"/>
        <v>0.17948717948717952</v>
      </c>
      <c r="N363" s="55">
        <f t="shared" si="2460"/>
        <v>0.23015873015873023</v>
      </c>
      <c r="O363" s="388">
        <f t="shared" si="2460"/>
        <v>0.21848739495798308</v>
      </c>
      <c r="P363" s="55">
        <f t="shared" si="2460"/>
        <v>0.18840579710144922</v>
      </c>
      <c r="Q363" s="55">
        <f t="shared" si="2460"/>
        <v>0.13548387096774195</v>
      </c>
      <c r="R363" s="55">
        <f t="shared" si="2460"/>
        <v>0.19999999999999996</v>
      </c>
      <c r="S363" s="55">
        <f t="shared" si="2460"/>
        <v>0.17682926829268286</v>
      </c>
      <c r="T363" s="55">
        <f t="shared" si="2460"/>
        <v>0.17613636363636354</v>
      </c>
      <c r="U363" s="55">
        <f t="shared" si="2460"/>
        <v>0.14942528735632177</v>
      </c>
      <c r="V363" s="55">
        <f t="shared" si="2460"/>
        <v>0.15025906735751304</v>
      </c>
      <c r="W363" s="55">
        <f t="shared" si="2460"/>
        <v>0.14975845410628019</v>
      </c>
      <c r="X363" s="55">
        <f t="shared" si="2460"/>
        <v>0.14999999999999991</v>
      </c>
      <c r="Y363" s="55">
        <f t="shared" si="2460"/>
        <v>0.14414414414414423</v>
      </c>
      <c r="Z363" s="55">
        <f t="shared" si="2460"/>
        <v>0.13445378151260501</v>
      </c>
      <c r="AA363" s="55">
        <f t="shared" si="2460"/>
        <v>0.13913043478260878</v>
      </c>
      <c r="AB363" s="55">
        <f t="shared" si="2460"/>
        <v>0.12204724409448819</v>
      </c>
      <c r="AC363" s="55">
        <f t="shared" si="2460"/>
        <v>0.1074074074074074</v>
      </c>
      <c r="AD363" s="55">
        <f t="shared" si="2460"/>
        <v>0.11450381679389321</v>
      </c>
      <c r="AE363" s="55">
        <f t="shared" si="2460"/>
        <v>9.8245614035087803E-2</v>
      </c>
      <c r="AF363" s="55">
        <f t="shared" si="2460"/>
        <v>9.3645484949832714E-2</v>
      </c>
      <c r="AG363" s="55">
        <f t="shared" si="2460"/>
        <v>9.5890410958904049E-2</v>
      </c>
      <c r="AH363" s="55">
        <f t="shared" si="2460"/>
        <v>8.9456869009584716E-2</v>
      </c>
      <c r="AI363" s="55">
        <f t="shared" si="2460"/>
        <v>8.5626911314984788E-2</v>
      </c>
      <c r="AJ363" s="55">
        <f t="shared" si="2460"/>
        <v>8.7499999999999911E-2</v>
      </c>
      <c r="AK363" s="55">
        <f t="shared" si="2460"/>
        <v>8.2111436950146555E-2</v>
      </c>
      <c r="AL363" s="55">
        <f t="shared" si="2460"/>
        <v>7.8873239436619613E-2</v>
      </c>
      <c r="AM363" s="55">
        <f t="shared" si="2460"/>
        <v>8.0459770114942541E-2</v>
      </c>
      <c r="AN363" s="55">
        <f t="shared" si="2460"/>
        <v>7.3170731707317138E-2</v>
      </c>
      <c r="AO363" s="55">
        <f t="shared" si="2460"/>
        <v>6.5274151436031325E-2</v>
      </c>
      <c r="AP363" s="55">
        <f t="shared" si="2460"/>
        <v>6.9148936170212671E-2</v>
      </c>
      <c r="AQ363" s="55">
        <f t="shared" si="2460"/>
        <v>6.0606060606060552E-2</v>
      </c>
      <c r="AR363" s="55">
        <f t="shared" si="2460"/>
        <v>5.8823529411764719E-2</v>
      </c>
      <c r="AS363" s="55">
        <f t="shared" si="2460"/>
        <v>5.9701492537313383E-2</v>
      </c>
      <c r="AT363" s="55">
        <f t="shared" si="2460"/>
        <v>5.7142857142857162E-2</v>
      </c>
      <c r="AU363" s="55">
        <f t="shared" si="2460"/>
        <v>5.555555555555558E-2</v>
      </c>
      <c r="AV363" s="55">
        <f t="shared" si="2460"/>
        <v>5.6338028169014009E-2</v>
      </c>
    </row>
    <row r="364" spans="1:55" outlineLevel="1" x14ac:dyDescent="0.25">
      <c r="M364" s="8"/>
      <c r="O364" s="313"/>
    </row>
    <row r="365" spans="1:55" outlineLevel="1" x14ac:dyDescent="0.25">
      <c r="B365" s="8" t="s">
        <v>573</v>
      </c>
      <c r="C365" s="22" t="s">
        <v>29</v>
      </c>
      <c r="K365" s="55">
        <f t="shared" ref="K365:AV365" si="2461">+K65</f>
        <v>0.18867924528301883</v>
      </c>
      <c r="L365" s="310">
        <f t="shared" si="2461"/>
        <v>0.17821782178217815</v>
      </c>
      <c r="M365" s="55">
        <f t="shared" si="2461"/>
        <v>0.17948717948717952</v>
      </c>
      <c r="N365" s="55">
        <f t="shared" si="2461"/>
        <v>0.23015873015873023</v>
      </c>
      <c r="O365" s="310">
        <f t="shared" si="2461"/>
        <v>0.21848739495798308</v>
      </c>
      <c r="P365" s="14">
        <f t="shared" si="2461"/>
        <v>0.18840579710144922</v>
      </c>
      <c r="Q365" s="14">
        <f t="shared" si="2461"/>
        <v>0.13548387096774195</v>
      </c>
      <c r="R365" s="14">
        <f t="shared" si="2461"/>
        <v>0.19999999999999996</v>
      </c>
      <c r="S365" s="14">
        <f t="shared" si="2461"/>
        <v>0.17682926829268286</v>
      </c>
      <c r="T365" s="14">
        <f t="shared" si="2461"/>
        <v>0.17613636363636354</v>
      </c>
      <c r="U365" s="14">
        <f t="shared" si="2461"/>
        <v>0.14942528735632177</v>
      </c>
      <c r="V365" s="14">
        <f t="shared" si="2461"/>
        <v>0.15025906735751304</v>
      </c>
      <c r="W365" s="14">
        <f t="shared" si="2461"/>
        <v>0.14975845410628019</v>
      </c>
      <c r="X365" s="14">
        <f t="shared" si="2461"/>
        <v>0.14999999999999991</v>
      </c>
      <c r="Y365" s="14">
        <f t="shared" si="2461"/>
        <v>0.14414414414414423</v>
      </c>
      <c r="Z365" s="14">
        <f t="shared" si="2461"/>
        <v>0.13445378151260501</v>
      </c>
      <c r="AA365" s="14">
        <f t="shared" si="2461"/>
        <v>0.13913043478260878</v>
      </c>
      <c r="AB365" s="14">
        <f t="shared" si="2461"/>
        <v>0.12204724409448819</v>
      </c>
      <c r="AC365" s="14">
        <f t="shared" si="2461"/>
        <v>0.1074074074074074</v>
      </c>
      <c r="AD365" s="14">
        <f t="shared" si="2461"/>
        <v>0.11450381679389321</v>
      </c>
      <c r="AE365" s="14">
        <f t="shared" si="2461"/>
        <v>9.8245614035087803E-2</v>
      </c>
      <c r="AF365" s="14">
        <f t="shared" si="2461"/>
        <v>9.3645484949832714E-2</v>
      </c>
      <c r="AG365" s="14">
        <f t="shared" si="2461"/>
        <v>9.5890410958904049E-2</v>
      </c>
      <c r="AH365" s="14">
        <f t="shared" si="2461"/>
        <v>8.9456869009584716E-2</v>
      </c>
      <c r="AI365" s="14">
        <f t="shared" si="2461"/>
        <v>8.5626911314984788E-2</v>
      </c>
      <c r="AJ365" s="14">
        <f t="shared" si="2461"/>
        <v>8.7499999999999911E-2</v>
      </c>
      <c r="AK365" s="14">
        <f t="shared" si="2461"/>
        <v>8.2111436950146555E-2</v>
      </c>
      <c r="AL365" s="14">
        <f t="shared" si="2461"/>
        <v>7.8873239436619613E-2</v>
      </c>
      <c r="AM365" s="14">
        <f t="shared" si="2461"/>
        <v>8.0459770114942541E-2</v>
      </c>
      <c r="AN365" s="14">
        <f t="shared" si="2461"/>
        <v>7.3170731707317138E-2</v>
      </c>
      <c r="AO365" s="14">
        <f t="shared" si="2461"/>
        <v>6.5274151436031325E-2</v>
      </c>
      <c r="AP365" s="14">
        <f t="shared" si="2461"/>
        <v>6.9148936170212671E-2</v>
      </c>
      <c r="AQ365" s="14">
        <f t="shared" si="2461"/>
        <v>6.0606060606060552E-2</v>
      </c>
      <c r="AR365" s="14">
        <f t="shared" si="2461"/>
        <v>5.8823529411764719E-2</v>
      </c>
      <c r="AS365" s="14">
        <f t="shared" si="2461"/>
        <v>5.9701492537313383E-2</v>
      </c>
      <c r="AT365" s="14">
        <f t="shared" si="2461"/>
        <v>5.7142857142857162E-2</v>
      </c>
      <c r="AU365" s="14">
        <f t="shared" si="2461"/>
        <v>5.555555555555558E-2</v>
      </c>
      <c r="AV365" s="14">
        <f t="shared" si="2461"/>
        <v>5.6338028169014009E-2</v>
      </c>
    </row>
    <row r="366" spans="1:55" outlineLevel="1" x14ac:dyDescent="0.25">
      <c r="M366" s="8"/>
    </row>
    <row r="367" spans="1:55" outlineLevel="1" x14ac:dyDescent="0.25">
      <c r="L367" s="310"/>
      <c r="M367" s="8"/>
      <c r="O367" s="14"/>
      <c r="R367" s="14"/>
      <c r="U367" s="14"/>
      <c r="X367" s="14"/>
      <c r="AA367" s="14"/>
    </row>
    <row r="368" spans="1:55" outlineLevel="1" x14ac:dyDescent="0.25">
      <c r="A368" s="64"/>
      <c r="B368" s="67" t="s">
        <v>120</v>
      </c>
      <c r="C368" s="66"/>
      <c r="D368" s="65"/>
      <c r="E368" s="65"/>
      <c r="F368" s="65"/>
      <c r="G368" s="65"/>
      <c r="H368" s="65"/>
      <c r="I368" s="65"/>
      <c r="J368" s="65"/>
      <c r="K368" s="65"/>
      <c r="L368" s="375"/>
      <c r="M368" s="65"/>
      <c r="N368" s="65"/>
      <c r="O368" s="65"/>
      <c r="P368" s="65"/>
      <c r="Q368" s="65"/>
      <c r="R368" s="65"/>
      <c r="S368" s="65"/>
      <c r="T368" s="65"/>
      <c r="U368" s="65"/>
      <c r="V368" s="65"/>
      <c r="W368" s="65"/>
      <c r="X368" s="65"/>
      <c r="Y368" s="65"/>
      <c r="Z368" s="65"/>
      <c r="AA368" s="65"/>
      <c r="AB368" s="65"/>
      <c r="AC368" s="65"/>
      <c r="AD368" s="65"/>
      <c r="AE368" s="65"/>
      <c r="AF368" s="65"/>
      <c r="AG368" s="65"/>
      <c r="AH368" s="65"/>
      <c r="AI368" s="65"/>
      <c r="AJ368" s="65"/>
      <c r="AK368" s="65"/>
      <c r="AL368" s="65"/>
      <c r="AM368" s="65"/>
      <c r="AN368" s="65"/>
      <c r="AO368" s="65"/>
      <c r="AP368" s="65"/>
      <c r="AQ368" s="65"/>
      <c r="AR368" s="65"/>
      <c r="AS368" s="65"/>
      <c r="AT368" s="65"/>
      <c r="AU368" s="65"/>
      <c r="AV368" s="65"/>
    </row>
    <row r="369" spans="2:55" outlineLevel="1" x14ac:dyDescent="0.25"/>
    <row r="370" spans="2:55" outlineLevel="1" x14ac:dyDescent="0.25">
      <c r="B370" s="8" t="s">
        <v>167</v>
      </c>
      <c r="C370" s="22" t="s">
        <v>28</v>
      </c>
      <c r="J370" s="19">
        <f>+I374</f>
        <v>15.202</v>
      </c>
      <c r="K370" s="19">
        <f>+J374</f>
        <v>11.7</v>
      </c>
      <c r="L370" s="312">
        <f>I374</f>
        <v>15.202</v>
      </c>
      <c r="M370" s="41">
        <f>+L374</f>
        <v>10.586</v>
      </c>
      <c r="N370" s="19">
        <f>+M374</f>
        <v>19.152999999999999</v>
      </c>
      <c r="O370" s="312">
        <f>L374</f>
        <v>10.586</v>
      </c>
      <c r="P370" s="19">
        <f>+O374</f>
        <v>18.305</v>
      </c>
      <c r="Q370" s="19">
        <f>+P374</f>
        <v>14.718665064638628</v>
      </c>
      <c r="R370" s="19">
        <f>O374</f>
        <v>18.305</v>
      </c>
      <c r="S370" s="19">
        <f>+R374</f>
        <v>16.57115280468425</v>
      </c>
      <c r="T370" s="19">
        <f>+S374</f>
        <v>15.83497368166196</v>
      </c>
      <c r="U370" s="19">
        <f>R374</f>
        <v>16.57115280468425</v>
      </c>
      <c r="V370" s="19">
        <f>+U374</f>
        <v>18.657355650641737</v>
      </c>
      <c r="W370" s="19">
        <f>+V374</f>
        <v>20.161098088996866</v>
      </c>
      <c r="X370" s="19">
        <f>U374</f>
        <v>18.657355650641737</v>
      </c>
      <c r="Y370" s="19">
        <f>+X374</f>
        <v>21.950917737918886</v>
      </c>
      <c r="Z370" s="19">
        <f>+Y374</f>
        <v>24.096460557397609</v>
      </c>
      <c r="AA370" s="19">
        <f>X374</f>
        <v>21.950917737918886</v>
      </c>
      <c r="AB370" s="19">
        <f t="shared" ref="AB370:AC370" si="2462">+AA374</f>
        <v>26.587648982805529</v>
      </c>
      <c r="AC370" s="19">
        <f t="shared" si="2462"/>
        <v>29.39678215862822</v>
      </c>
      <c r="AD370" s="19">
        <f t="shared" ref="AD370" si="2463">AA374</f>
        <v>26.587648982805529</v>
      </c>
      <c r="AE370" s="19">
        <f t="shared" ref="AE370:AF370" si="2464">+AD374</f>
        <v>32.618254712706616</v>
      </c>
      <c r="AF370" s="19">
        <f t="shared" si="2464"/>
        <v>36.122823356242257</v>
      </c>
      <c r="AG370" s="19">
        <f t="shared" ref="AG370" si="2465">AD374</f>
        <v>32.618254712706616</v>
      </c>
      <c r="AH370" s="19">
        <f t="shared" ref="AH370:AI370" si="2466">+AG374</f>
        <v>40.081170719462264</v>
      </c>
      <c r="AI370" s="19">
        <f t="shared" si="2466"/>
        <v>44.341302984939205</v>
      </c>
      <c r="AJ370" s="19">
        <f t="shared" ref="AJ370" si="2467">AG374</f>
        <v>40.081170719462264</v>
      </c>
      <c r="AK370" s="19">
        <f t="shared" ref="AK370:AL370" si="2468">+AJ374</f>
        <v>49.099815965930659</v>
      </c>
      <c r="AL370" s="19">
        <f t="shared" si="2468"/>
        <v>54.179858924381861</v>
      </c>
      <c r="AM370" s="19">
        <f t="shared" ref="AM370" si="2469">AJ374</f>
        <v>49.099815965930659</v>
      </c>
      <c r="AN370" s="19">
        <f t="shared" ref="AN370:AR370" si="2470">+AM374</f>
        <v>59.806253656855638</v>
      </c>
      <c r="AO370" s="19">
        <f t="shared" si="2470"/>
        <v>65.607764236801415</v>
      </c>
      <c r="AP370" s="19">
        <f t="shared" ref="AP370" si="2471">AM374</f>
        <v>59.806253656855638</v>
      </c>
      <c r="AQ370" s="19">
        <f t="shared" si="2470"/>
        <v>71.963893527216257</v>
      </c>
      <c r="AR370" s="19">
        <f t="shared" si="2470"/>
        <v>78.461991935792227</v>
      </c>
      <c r="AS370" s="19">
        <f t="shared" ref="AS370" si="2472">AP374</f>
        <v>71.963893527216257</v>
      </c>
      <c r="AT370" s="19">
        <f t="shared" ref="AT370" si="2473">+AS374</f>
        <v>85.552856111669726</v>
      </c>
      <c r="AU370" s="19">
        <f t="shared" ref="AU370" si="2474">+AT374</f>
        <v>92.7785706371603</v>
      </c>
      <c r="AV370" s="19">
        <f t="shared" ref="AV370" si="2475">AS374</f>
        <v>85.552856111669726</v>
      </c>
    </row>
    <row r="371" spans="2:55" outlineLevel="1" x14ac:dyDescent="0.25">
      <c r="B371" s="8" t="s">
        <v>146</v>
      </c>
      <c r="C371" s="22" t="s">
        <v>28</v>
      </c>
      <c r="F371" s="19">
        <f t="shared" ref="F371:L371" si="2476">-F379-F383</f>
        <v>-2.4</v>
      </c>
      <c r="G371" s="19">
        <f t="shared" si="2476"/>
        <v>-3.2</v>
      </c>
      <c r="H371" s="134">
        <f t="shared" si="2476"/>
        <v>-3.6</v>
      </c>
      <c r="I371" s="134">
        <f t="shared" si="2476"/>
        <v>-6.8</v>
      </c>
      <c r="J371" s="134">
        <f t="shared" si="2476"/>
        <v>-3.8</v>
      </c>
      <c r="K371" s="134">
        <f t="shared" si="2476"/>
        <v>-3.1160000000000001</v>
      </c>
      <c r="L371" s="389">
        <f t="shared" si="2476"/>
        <v>-6.9160000000000004</v>
      </c>
      <c r="M371" s="418">
        <f>-M379-M383</f>
        <v>-3.5049999999999999</v>
      </c>
      <c r="N371" s="134">
        <f t="shared" ref="N371:O371" si="2477">-N379-N383</f>
        <v>-3.0060000000000002</v>
      </c>
      <c r="O371" s="389">
        <f t="shared" si="2477"/>
        <v>-6.5110000000000001</v>
      </c>
      <c r="P371" s="134">
        <f>-P379-P383</f>
        <v>-3.6091994444876603</v>
      </c>
      <c r="Q371" s="134">
        <f t="shared" ref="Q371" si="2478">-Q379-Q383</f>
        <v>-3.7819341374463482</v>
      </c>
      <c r="R371" s="134">
        <f>P371+Q371</f>
        <v>-7.3911335819340085</v>
      </c>
      <c r="S371" s="134">
        <f>-S379-S383</f>
        <v>-3.9932965700216663</v>
      </c>
      <c r="T371" s="134">
        <f t="shared" ref="T371" si="2479">-T379-T383</f>
        <v>-4.2248339306285381</v>
      </c>
      <c r="U371" s="134">
        <f>S371+T371</f>
        <v>-8.2181305006502043</v>
      </c>
      <c r="V371" s="134">
        <f>-V379-V383</f>
        <v>-4.4959599597802553</v>
      </c>
      <c r="W371" s="134">
        <f t="shared" ref="W371" si="2480">-W379-W383</f>
        <v>-4.7156944387202326</v>
      </c>
      <c r="X371" s="134">
        <f>V371+W371</f>
        <v>-9.2116543985004888</v>
      </c>
      <c r="Y371" s="134">
        <f>-Y379-Y383</f>
        <v>-5.0223330611569814</v>
      </c>
      <c r="Z371" s="134">
        <f t="shared" ref="Z371" si="2481">-Z379-Z383</f>
        <v>-5.2878217275426804</v>
      </c>
      <c r="AA371" s="134">
        <f>Y371+Z371</f>
        <v>-10.310154788699663</v>
      </c>
      <c r="AB371" s="134">
        <f t="shared" ref="AB371:AO371" si="2482">-AB379-AB383</f>
        <v>-5.565777028135976</v>
      </c>
      <c r="AC371" s="134">
        <f t="shared" si="2482"/>
        <v>-5.8824928484835963</v>
      </c>
      <c r="AD371" s="134">
        <f t="shared" ref="AD371:AD373" si="2483">AB371+AC371</f>
        <v>-11.448269876619573</v>
      </c>
      <c r="AE371" s="134">
        <f t="shared" ref="AE371" si="2484">-AE379-AE383</f>
        <v>-6.1340185015969162</v>
      </c>
      <c r="AF371" s="134">
        <f t="shared" si="2482"/>
        <v>-6.4825636734626091</v>
      </c>
      <c r="AG371" s="134">
        <f t="shared" ref="AG371:AG373" si="2485">AE371+AF371</f>
        <v>-12.616582175059525</v>
      </c>
      <c r="AH371" s="134">
        <f t="shared" ref="AH371" si="2486">-AH379-AH383</f>
        <v>-6.7487849200817216</v>
      </c>
      <c r="AI371" s="134">
        <f t="shared" si="2482"/>
        <v>-7.1315886625410023</v>
      </c>
      <c r="AJ371" s="134">
        <f t="shared" ref="AJ371:AJ373" si="2487">AH371+AI371</f>
        <v>-13.880373582622724</v>
      </c>
      <c r="AK371" s="134">
        <f t="shared" ref="AK371" si="2488">-AK379-AK383</f>
        <v>-7.4133202206466517</v>
      </c>
      <c r="AL371" s="134">
        <f t="shared" si="2482"/>
        <v>-7.8329702939429016</v>
      </c>
      <c r="AM371" s="134">
        <f t="shared" ref="AM371:AM373" si="2489">AK371+AL371</f>
        <v>-15.246290514589553</v>
      </c>
      <c r="AN371" s="134">
        <f t="shared" ref="AN371" si="2490">-AN379-AN383</f>
        <v>-8.0025895487418897</v>
      </c>
      <c r="AO371" s="134">
        <f t="shared" si="2482"/>
        <v>-8.4285894147004203</v>
      </c>
      <c r="AP371" s="134">
        <f t="shared" ref="AP371:AP373" si="2491">AN371+AO371</f>
        <v>-16.43117896344231</v>
      </c>
      <c r="AQ371" s="134">
        <f t="shared" ref="AQ371:AR371" si="2492">-AQ379-AQ383</f>
        <v>-8.5730999684542315</v>
      </c>
      <c r="AR371" s="134">
        <f t="shared" si="2492"/>
        <v>-9.0284003985491452</v>
      </c>
      <c r="AS371" s="134">
        <f t="shared" ref="AS371:AS373" si="2493">AQ371+AR371</f>
        <v>-17.601500367003375</v>
      </c>
      <c r="AT371" s="134">
        <f t="shared" ref="AT371:AU371" si="2494">-AT379-AT383</f>
        <v>-9.1677977094983678</v>
      </c>
      <c r="AU371" s="134">
        <f t="shared" si="2494"/>
        <v>-9.6535454307968962</v>
      </c>
      <c r="AV371" s="134">
        <f t="shared" ref="AV371:AV373" si="2495">AT371+AU371</f>
        <v>-18.821343140295262</v>
      </c>
    </row>
    <row r="372" spans="2:55" outlineLevel="1" x14ac:dyDescent="0.25">
      <c r="B372" s="8" t="s">
        <v>101</v>
      </c>
      <c r="C372" s="22" t="s">
        <v>28</v>
      </c>
      <c r="F372" s="52">
        <f t="shared" ref="F372:L372" si="2496">+F376</f>
        <v>7</v>
      </c>
      <c r="G372" s="52">
        <f t="shared" si="2496"/>
        <v>1.4</v>
      </c>
      <c r="H372" s="52">
        <f t="shared" si="2496"/>
        <v>1.5</v>
      </c>
      <c r="I372" s="52">
        <f t="shared" si="2496"/>
        <v>2.9</v>
      </c>
      <c r="J372" s="52">
        <f t="shared" si="2496"/>
        <v>0</v>
      </c>
      <c r="K372" s="52">
        <f t="shared" si="2496"/>
        <v>6.3E-2</v>
      </c>
      <c r="L372" s="312">
        <f t="shared" si="2496"/>
        <v>6.3E-2</v>
      </c>
      <c r="M372" s="19">
        <f>+M376</f>
        <v>12.071999999999999</v>
      </c>
      <c r="N372" s="52">
        <f t="shared" ref="N372:O372" si="2497">+N376</f>
        <v>-12.034999999999998</v>
      </c>
      <c r="O372" s="312">
        <f t="shared" si="2497"/>
        <v>3.6999999999999998E-2</v>
      </c>
      <c r="P372" s="19">
        <f>+P376</f>
        <v>2.2864509126290334E-2</v>
      </c>
      <c r="Q372" s="134">
        <f>+Q376</f>
        <v>5.6344218774919668</v>
      </c>
      <c r="R372" s="134">
        <f>P372+Q372</f>
        <v>5.6572863866182574</v>
      </c>
      <c r="S372" s="19">
        <f>+S376</f>
        <v>3.2571174469993767</v>
      </c>
      <c r="T372" s="134">
        <f>+T376</f>
        <v>7.0472158996083145</v>
      </c>
      <c r="U372" s="134">
        <f>S372+T372</f>
        <v>10.304333346607692</v>
      </c>
      <c r="V372" s="19">
        <f>+V376</f>
        <v>5.9997023981353834</v>
      </c>
      <c r="W372" s="134">
        <f>+W376</f>
        <v>6.5055140876422524</v>
      </c>
      <c r="X372" s="134">
        <f>V372+W372</f>
        <v>12.505216485777636</v>
      </c>
      <c r="Y372" s="19">
        <f>+Y376</f>
        <v>7.1678758806357061</v>
      </c>
      <c r="Z372" s="134">
        <f>+Z376</f>
        <v>7.7790101529506002</v>
      </c>
      <c r="AA372" s="134">
        <f>Y372+Z372</f>
        <v>14.946886033586306</v>
      </c>
      <c r="AB372" s="19">
        <f t="shared" ref="AB372:AC372" si="2498">+AB376</f>
        <v>8.3749102039586649</v>
      </c>
      <c r="AC372" s="134">
        <f t="shared" si="2498"/>
        <v>9.1039654025619914</v>
      </c>
      <c r="AD372" s="134">
        <f t="shared" si="2483"/>
        <v>17.478875606520656</v>
      </c>
      <c r="AE372" s="19">
        <f t="shared" ref="AE372:AF372" si="2499">+AE376</f>
        <v>9.6385871451325595</v>
      </c>
      <c r="AF372" s="134">
        <f t="shared" si="2499"/>
        <v>10.440911036682619</v>
      </c>
      <c r="AG372" s="134">
        <f t="shared" si="2485"/>
        <v>20.079498181815179</v>
      </c>
      <c r="AH372" s="19">
        <f t="shared" ref="AH372:AI372" si="2500">+AH376</f>
        <v>11.008917185558657</v>
      </c>
      <c r="AI372" s="134">
        <f t="shared" si="2500"/>
        <v>11.890101643532466</v>
      </c>
      <c r="AJ372" s="134">
        <f t="shared" si="2487"/>
        <v>22.899018829091123</v>
      </c>
      <c r="AK372" s="19">
        <f t="shared" ref="AK372:AL372" si="2501">+AK376</f>
        <v>12.493363179097855</v>
      </c>
      <c r="AL372" s="134">
        <f t="shared" si="2501"/>
        <v>13.459365026416677</v>
      </c>
      <c r="AM372" s="134">
        <f t="shared" si="2489"/>
        <v>25.952728205514532</v>
      </c>
      <c r="AN372" s="19">
        <f t="shared" ref="AN372:AO372" si="2502">+AN376</f>
        <v>13.804100128687663</v>
      </c>
      <c r="AO372" s="134">
        <f t="shared" si="2502"/>
        <v>14.784718705115273</v>
      </c>
      <c r="AP372" s="134">
        <f t="shared" si="2491"/>
        <v>28.588818833802936</v>
      </c>
      <c r="AQ372" s="19">
        <f t="shared" ref="AQ372:AR372" si="2503">+AQ376</f>
        <v>15.071198377030196</v>
      </c>
      <c r="AR372" s="134">
        <f t="shared" si="2503"/>
        <v>16.119264574426644</v>
      </c>
      <c r="AS372" s="134">
        <f>AQ372+AR372</f>
        <v>31.190462951456841</v>
      </c>
      <c r="AT372" s="19">
        <f t="shared" ref="AT372" si="2504">+AT376</f>
        <v>16.393512234988954</v>
      </c>
      <c r="AU372" s="134">
        <f>+AU376</f>
        <v>17.51166572992242</v>
      </c>
      <c r="AV372" s="134">
        <f t="shared" si="2495"/>
        <v>33.905177964911374</v>
      </c>
    </row>
    <row r="373" spans="2:55" outlineLevel="1" x14ac:dyDescent="0.25">
      <c r="B373" s="8" t="s">
        <v>82</v>
      </c>
      <c r="C373" s="22" t="s">
        <v>28</v>
      </c>
      <c r="J373" s="19">
        <f>J374-J370-J371-J372</f>
        <v>0.29799999999999915</v>
      </c>
      <c r="K373" s="19">
        <f t="shared" ref="K373:L373" si="2505">K374-K370-K371-K372</f>
        <v>1.9390000000000012</v>
      </c>
      <c r="L373" s="309">
        <f t="shared" si="2505"/>
        <v>2.2370000000000005</v>
      </c>
      <c r="M373" s="19">
        <f>M374-M370-M371-M372</f>
        <v>0</v>
      </c>
      <c r="N373" s="19">
        <f t="shared" ref="N373:O373" si="2506">N374-N370-N371-N372</f>
        <v>14.193</v>
      </c>
      <c r="O373" s="309">
        <f t="shared" si="2506"/>
        <v>14.193</v>
      </c>
      <c r="P373" s="206">
        <v>0</v>
      </c>
      <c r="Q373" s="206">
        <v>0</v>
      </c>
      <c r="R373" s="210">
        <f>P373+Q373</f>
        <v>0</v>
      </c>
      <c r="S373" s="206">
        <v>0</v>
      </c>
      <c r="T373" s="206">
        <v>0</v>
      </c>
      <c r="U373" s="210">
        <f>S373+T373</f>
        <v>0</v>
      </c>
      <c r="V373" s="206">
        <v>0</v>
      </c>
      <c r="W373" s="206">
        <v>0</v>
      </c>
      <c r="X373" s="210">
        <f>V373+W373</f>
        <v>0</v>
      </c>
      <c r="Y373" s="206">
        <v>0</v>
      </c>
      <c r="Z373" s="206">
        <v>0</v>
      </c>
      <c r="AA373" s="210">
        <f>Y373+Z373</f>
        <v>0</v>
      </c>
      <c r="AB373" s="206">
        <v>0</v>
      </c>
      <c r="AC373" s="206">
        <v>0</v>
      </c>
      <c r="AD373" s="210">
        <f t="shared" si="2483"/>
        <v>0</v>
      </c>
      <c r="AE373" s="206">
        <v>0</v>
      </c>
      <c r="AF373" s="206">
        <v>0</v>
      </c>
      <c r="AG373" s="210">
        <f t="shared" si="2485"/>
        <v>0</v>
      </c>
      <c r="AH373" s="206">
        <v>0</v>
      </c>
      <c r="AI373" s="206">
        <v>0</v>
      </c>
      <c r="AJ373" s="210">
        <f t="shared" si="2487"/>
        <v>0</v>
      </c>
      <c r="AK373" s="206">
        <v>0</v>
      </c>
      <c r="AL373" s="206">
        <v>0</v>
      </c>
      <c r="AM373" s="210">
        <f t="shared" si="2489"/>
        <v>0</v>
      </c>
      <c r="AN373" s="206">
        <v>0</v>
      </c>
      <c r="AO373" s="206">
        <v>0</v>
      </c>
      <c r="AP373" s="210">
        <f t="shared" si="2491"/>
        <v>0</v>
      </c>
      <c r="AQ373" s="206">
        <v>0</v>
      </c>
      <c r="AR373" s="206">
        <v>0</v>
      </c>
      <c r="AS373" s="210">
        <f t="shared" si="2493"/>
        <v>0</v>
      </c>
      <c r="AT373" s="206">
        <v>0</v>
      </c>
      <c r="AU373" s="206">
        <v>0</v>
      </c>
      <c r="AV373" s="210">
        <f t="shared" si="2495"/>
        <v>0</v>
      </c>
    </row>
    <row r="374" spans="2:55" s="62" customFormat="1" outlineLevel="1" x14ac:dyDescent="0.25">
      <c r="B374" s="12" t="s">
        <v>171</v>
      </c>
      <c r="C374" s="56" t="s">
        <v>28</v>
      </c>
      <c r="D374" s="12"/>
      <c r="E374" s="12"/>
      <c r="F374" s="12"/>
      <c r="G374" s="12"/>
      <c r="H374" s="12"/>
      <c r="I374" s="52">
        <f>+'Financial Statements'!I87</f>
        <v>15.202</v>
      </c>
      <c r="J374" s="52">
        <f>+'Financial Statements'!J87</f>
        <v>11.7</v>
      </c>
      <c r="K374" s="52">
        <f>+'Financial Statements'!K87</f>
        <v>10.586</v>
      </c>
      <c r="L374" s="312">
        <f>+'Financial Statements'!L87</f>
        <v>10.586</v>
      </c>
      <c r="M374" s="52">
        <f>+'Financial Statements'!M87</f>
        <v>19.152999999999999</v>
      </c>
      <c r="N374" s="52">
        <f>+'Financial Statements'!N87</f>
        <v>18.305</v>
      </c>
      <c r="O374" s="312">
        <f>+'Financial Statements'!O87</f>
        <v>18.305</v>
      </c>
      <c r="P374" s="52">
        <f t="shared" ref="P374:X374" si="2507">+P370+P371+P372+P373</f>
        <v>14.718665064638628</v>
      </c>
      <c r="Q374" s="52">
        <f t="shared" si="2507"/>
        <v>16.571152804684246</v>
      </c>
      <c r="R374" s="52">
        <f t="shared" si="2507"/>
        <v>16.57115280468425</v>
      </c>
      <c r="S374" s="52">
        <f t="shared" si="2507"/>
        <v>15.83497368166196</v>
      </c>
      <c r="T374" s="52">
        <f t="shared" si="2507"/>
        <v>18.657355650641737</v>
      </c>
      <c r="U374" s="52">
        <f t="shared" si="2507"/>
        <v>18.657355650641737</v>
      </c>
      <c r="V374" s="52">
        <f t="shared" si="2507"/>
        <v>20.161098088996866</v>
      </c>
      <c r="W374" s="52">
        <f t="shared" si="2507"/>
        <v>21.950917737918886</v>
      </c>
      <c r="X374" s="52">
        <f t="shared" si="2507"/>
        <v>21.950917737918886</v>
      </c>
      <c r="Y374" s="52">
        <f t="shared" ref="Y374:AA374" si="2508">+Y370+Y371+Y372+Y373</f>
        <v>24.096460557397609</v>
      </c>
      <c r="Z374" s="52">
        <f t="shared" si="2508"/>
        <v>26.587648982805529</v>
      </c>
      <c r="AA374" s="52">
        <f t="shared" si="2508"/>
        <v>26.587648982805529</v>
      </c>
      <c r="AB374" s="52">
        <f t="shared" ref="AB374:AP374" si="2509">+AB370+AB371+AB372+AB373</f>
        <v>29.39678215862822</v>
      </c>
      <c r="AC374" s="52">
        <f t="shared" si="2509"/>
        <v>32.618254712706616</v>
      </c>
      <c r="AD374" s="52">
        <f t="shared" si="2509"/>
        <v>32.618254712706616</v>
      </c>
      <c r="AE374" s="52">
        <f t="shared" si="2509"/>
        <v>36.122823356242257</v>
      </c>
      <c r="AF374" s="52">
        <f t="shared" si="2509"/>
        <v>40.081170719462271</v>
      </c>
      <c r="AG374" s="52">
        <f t="shared" si="2509"/>
        <v>40.081170719462264</v>
      </c>
      <c r="AH374" s="52">
        <f t="shared" si="2509"/>
        <v>44.341302984939205</v>
      </c>
      <c r="AI374" s="52">
        <f t="shared" si="2509"/>
        <v>49.099815965930667</v>
      </c>
      <c r="AJ374" s="52">
        <f t="shared" si="2509"/>
        <v>49.099815965930659</v>
      </c>
      <c r="AK374" s="52">
        <f t="shared" si="2509"/>
        <v>54.179858924381861</v>
      </c>
      <c r="AL374" s="52">
        <f t="shared" si="2509"/>
        <v>59.806253656855638</v>
      </c>
      <c r="AM374" s="52">
        <f t="shared" si="2509"/>
        <v>59.806253656855638</v>
      </c>
      <c r="AN374" s="52">
        <f t="shared" si="2509"/>
        <v>65.607764236801415</v>
      </c>
      <c r="AO374" s="52">
        <f t="shared" si="2509"/>
        <v>71.963893527216271</v>
      </c>
      <c r="AP374" s="52">
        <f t="shared" si="2509"/>
        <v>71.963893527216257</v>
      </c>
      <c r="AQ374" s="52">
        <f t="shared" ref="AQ374:AS374" si="2510">+AQ370+AQ371+AQ372+AQ373</f>
        <v>78.461991935792227</v>
      </c>
      <c r="AR374" s="52">
        <f t="shared" si="2510"/>
        <v>85.552856111669712</v>
      </c>
      <c r="AS374" s="52">
        <f t="shared" si="2510"/>
        <v>85.552856111669726</v>
      </c>
      <c r="AT374" s="52">
        <f t="shared" ref="AT374:AV374" si="2511">+AT370+AT371+AT372+AT373</f>
        <v>92.7785706371603</v>
      </c>
      <c r="AU374" s="52">
        <f t="shared" si="2511"/>
        <v>100.63669093628582</v>
      </c>
      <c r="AV374" s="52">
        <f t="shared" si="2511"/>
        <v>100.63669093628583</v>
      </c>
      <c r="AX374"/>
      <c r="AY374"/>
      <c r="AZ374"/>
      <c r="BA374"/>
      <c r="BB374"/>
      <c r="BC374"/>
    </row>
    <row r="375" spans="2:55" outlineLevel="1" x14ac:dyDescent="0.25">
      <c r="L375" s="309"/>
      <c r="M375" s="8"/>
      <c r="O375" s="309"/>
    </row>
    <row r="376" spans="2:55" outlineLevel="1" x14ac:dyDescent="0.25">
      <c r="B376" s="8" t="s">
        <v>101</v>
      </c>
      <c r="C376" s="22" t="s">
        <v>28</v>
      </c>
      <c r="F376" s="45">
        <v>7</v>
      </c>
      <c r="G376" s="45">
        <v>1.4</v>
      </c>
      <c r="H376" s="19">
        <f>+I376-G376</f>
        <v>1.5</v>
      </c>
      <c r="I376" s="45">
        <v>2.9</v>
      </c>
      <c r="J376" s="45">
        <v>0</v>
      </c>
      <c r="K376" s="233">
        <f>+L376-J376</f>
        <v>6.3E-2</v>
      </c>
      <c r="L376" s="354">
        <v>6.3E-2</v>
      </c>
      <c r="M376" s="445">
        <f>12.064+0.008</f>
        <v>12.071999999999999</v>
      </c>
      <c r="N376" s="233">
        <f>+O376-M376</f>
        <v>-12.034999999999998</v>
      </c>
      <c r="O376" s="354">
        <v>3.6999999999999998E-2</v>
      </c>
      <c r="P376" s="233">
        <f>P22*P377</f>
        <v>2.2864509126290334E-2</v>
      </c>
      <c r="Q376" s="233">
        <f>+R376-P376</f>
        <v>5.6344218774919668</v>
      </c>
      <c r="R376" s="233">
        <f>R22*R377</f>
        <v>5.6572863866182574</v>
      </c>
      <c r="S376" s="233">
        <f>S22*S377</f>
        <v>3.2571174469993767</v>
      </c>
      <c r="T376" s="233">
        <f>+U376-S376</f>
        <v>7.0472158996083145</v>
      </c>
      <c r="U376" s="233">
        <f>U22*U377</f>
        <v>10.304333346607692</v>
      </c>
      <c r="V376" s="233">
        <f>V22*V377</f>
        <v>5.9997023981353834</v>
      </c>
      <c r="W376" s="233">
        <f>+X376-V376</f>
        <v>6.5055140876422524</v>
      </c>
      <c r="X376" s="233">
        <f>X22*X377</f>
        <v>12.505216485777636</v>
      </c>
      <c r="Y376" s="233">
        <f>Y22*Y377</f>
        <v>7.1678758806357061</v>
      </c>
      <c r="Z376" s="233">
        <f>+AA376-Y376</f>
        <v>7.7790101529506002</v>
      </c>
      <c r="AA376" s="233">
        <f>AA22*AA377</f>
        <v>14.946886033586306</v>
      </c>
      <c r="AB376" s="233">
        <f>AB22*AB377</f>
        <v>8.3749102039586649</v>
      </c>
      <c r="AC376" s="233">
        <f t="shared" ref="AC376" si="2512">+AD376-AB376</f>
        <v>9.1039654025619914</v>
      </c>
      <c r="AD376" s="233">
        <f>AD22*AD377</f>
        <v>17.478875606520656</v>
      </c>
      <c r="AE376" s="233">
        <f>AE22*AE377</f>
        <v>9.6385871451325595</v>
      </c>
      <c r="AF376" s="233">
        <f t="shared" ref="AF376" si="2513">+AG376-AE376</f>
        <v>10.440911036682619</v>
      </c>
      <c r="AG376" s="233">
        <f>AG22*AG377</f>
        <v>20.079498181815179</v>
      </c>
      <c r="AH376" s="233">
        <f>AH22*AH377</f>
        <v>11.008917185558657</v>
      </c>
      <c r="AI376" s="233">
        <f t="shared" ref="AI376" si="2514">+AJ376-AH376</f>
        <v>11.890101643532466</v>
      </c>
      <c r="AJ376" s="233">
        <f>AJ22*AJ377</f>
        <v>22.899018829091123</v>
      </c>
      <c r="AK376" s="233">
        <f>AK22*AK377</f>
        <v>12.493363179097855</v>
      </c>
      <c r="AL376" s="233">
        <f t="shared" ref="AL376" si="2515">+AM376-AK376</f>
        <v>13.459365026416677</v>
      </c>
      <c r="AM376" s="233">
        <f>AM22*AM377</f>
        <v>25.952728205514532</v>
      </c>
      <c r="AN376" s="233">
        <f>AN22*AN377</f>
        <v>13.804100128687663</v>
      </c>
      <c r="AO376" s="233">
        <f t="shared" ref="AO376" si="2516">+AP376-AN376</f>
        <v>14.784718705115273</v>
      </c>
      <c r="AP376" s="233">
        <f>AP22*AP377</f>
        <v>28.588818833802936</v>
      </c>
      <c r="AQ376" s="233">
        <f>AQ22*AQ377</f>
        <v>15.071198377030196</v>
      </c>
      <c r="AR376" s="233">
        <f t="shared" ref="AR376" si="2517">+AS376-AQ376</f>
        <v>16.119264574426644</v>
      </c>
      <c r="AS376" s="233">
        <f>AS22*AS377</f>
        <v>31.190462951456841</v>
      </c>
      <c r="AT376" s="233">
        <f>AT22*AT377</f>
        <v>16.393512234988954</v>
      </c>
      <c r="AU376" s="233">
        <f t="shared" ref="AU376" si="2518">+AV376-AT376</f>
        <v>17.51166572992242</v>
      </c>
      <c r="AV376" s="233">
        <f>AV22*AV377</f>
        <v>33.905177964911374</v>
      </c>
    </row>
    <row r="377" spans="2:55" outlineLevel="1" x14ac:dyDescent="0.25">
      <c r="B377" s="8" t="s">
        <v>147</v>
      </c>
      <c r="C377" s="22" t="s">
        <v>29</v>
      </c>
      <c r="F377" s="18">
        <f>F376/F$22</f>
        <v>4.0745052386495929E-2</v>
      </c>
      <c r="G377" s="18">
        <f>G376/G$22</f>
        <v>1.1504406598598927E-2</v>
      </c>
      <c r="H377" s="18">
        <f>H376/H$22</f>
        <v>1.091643469242945E-2</v>
      </c>
      <c r="I377" s="18">
        <f>I376/I$22</f>
        <v>1.1192589733693553E-2</v>
      </c>
      <c r="J377" s="304">
        <f>J376/J$22</f>
        <v>0</v>
      </c>
      <c r="K377" s="304">
        <f t="shared" ref="K377:L377" si="2519">K376/K$22</f>
        <v>3.6262749522252669E-4</v>
      </c>
      <c r="L377" s="314">
        <f t="shared" si="2519"/>
        <v>1.8410124984292949E-4</v>
      </c>
      <c r="M377" s="18">
        <f>M376/M$22</f>
        <v>5.680326364675823E-2</v>
      </c>
      <c r="N377" s="304">
        <f t="shared" ref="N377:O377" si="2520">N376/N$22</f>
        <v>-5.3783382789317491E-2</v>
      </c>
      <c r="O377" s="314">
        <f t="shared" si="2520"/>
        <v>8.4805783296011141E-5</v>
      </c>
      <c r="P377" s="208">
        <f>+O377</f>
        <v>8.4805783296011141E-5</v>
      </c>
      <c r="Q377" s="209">
        <f>+Q376/Q22</f>
        <v>1.9037553845420562E-2</v>
      </c>
      <c r="R377" s="208">
        <v>0.01</v>
      </c>
      <c r="S377" s="208">
        <f>+R377</f>
        <v>0.01</v>
      </c>
      <c r="T377" s="209">
        <f>+T376/T22</f>
        <v>1.952060813448379E-2</v>
      </c>
      <c r="U377" s="208">
        <v>1.4999999999999999E-2</v>
      </c>
      <c r="V377" s="208">
        <f>+U377</f>
        <v>1.4999999999999999E-2</v>
      </c>
      <c r="W377" s="209">
        <f>+W376/W22</f>
        <v>1.5015412694253927E-2</v>
      </c>
      <c r="X377" s="208">
        <f>+V377</f>
        <v>1.4999999999999999E-2</v>
      </c>
      <c r="Y377" s="208">
        <f>+X377</f>
        <v>1.4999999999999999E-2</v>
      </c>
      <c r="Z377" s="209">
        <f>+Z376/Z22</f>
        <v>1.5013532273116519E-2</v>
      </c>
      <c r="AA377" s="208">
        <f>+Y377</f>
        <v>1.4999999999999999E-2</v>
      </c>
      <c r="AB377" s="208">
        <f t="shared" ref="AB377" si="2521">+AA377</f>
        <v>1.4999999999999999E-2</v>
      </c>
      <c r="AC377" s="209">
        <f>+AC376/AC22</f>
        <v>1.501213985537767E-2</v>
      </c>
      <c r="AD377" s="208">
        <f t="shared" ref="AD377" si="2522">+AB377</f>
        <v>1.4999999999999999E-2</v>
      </c>
      <c r="AE377" s="208">
        <f t="shared" ref="AE377" si="2523">+AD377</f>
        <v>1.4999999999999999E-2</v>
      </c>
      <c r="AF377" s="209">
        <f>+AF376/AF22</f>
        <v>1.5011113870527256E-2</v>
      </c>
      <c r="AG377" s="208">
        <f t="shared" ref="AG377" si="2524">+AE377</f>
        <v>1.4999999999999999E-2</v>
      </c>
      <c r="AH377" s="208">
        <f t="shared" ref="AH377" si="2525">+AG377</f>
        <v>1.4999999999999999E-2</v>
      </c>
      <c r="AI377" s="209">
        <f>+AI376/AI22</f>
        <v>1.5010246661036567E-2</v>
      </c>
      <c r="AJ377" s="208">
        <f t="shared" ref="AJ377" si="2526">+AH377</f>
        <v>1.4999999999999999E-2</v>
      </c>
      <c r="AK377" s="208">
        <f t="shared" ref="AK377" si="2527">+AJ377</f>
        <v>1.4999999999999999E-2</v>
      </c>
      <c r="AL377" s="209">
        <f>+AL376/AL22</f>
        <v>1.5009504103987423E-2</v>
      </c>
      <c r="AM377" s="208">
        <f t="shared" ref="AM377" si="2528">+AK377</f>
        <v>1.4999999999999999E-2</v>
      </c>
      <c r="AN377" s="208">
        <f t="shared" ref="AN377" si="2529">+AM377</f>
        <v>1.4999999999999999E-2</v>
      </c>
      <c r="AO377" s="209">
        <f>+AO376/AO22</f>
        <v>1.5009084475167482E-2</v>
      </c>
      <c r="AP377" s="208">
        <f t="shared" ref="AP377" si="2530">+AN377</f>
        <v>1.4999999999999999E-2</v>
      </c>
      <c r="AQ377" s="208">
        <f t="shared" ref="AQ377" si="2531">+AP377</f>
        <v>1.4999999999999999E-2</v>
      </c>
      <c r="AR377" s="209">
        <f>+AR376/AR22</f>
        <v>1.5008748775448756E-2</v>
      </c>
      <c r="AS377" s="208">
        <f t="shared" ref="AS377" si="2532">+AQ377</f>
        <v>1.4999999999999999E-2</v>
      </c>
      <c r="AT377" s="208">
        <f t="shared" ref="AT377" si="2533">+AS377</f>
        <v>1.4999999999999999E-2</v>
      </c>
      <c r="AU377" s="209">
        <f>+AU376/AU22</f>
        <v>1.5008455627670255E-2</v>
      </c>
      <c r="AV377" s="208">
        <f t="shared" ref="AV377" si="2534">+AT377</f>
        <v>1.4999999999999999E-2</v>
      </c>
    </row>
    <row r="378" spans="2:55" outlineLevel="1" x14ac:dyDescent="0.25">
      <c r="O378" s="313"/>
    </row>
    <row r="379" spans="2:55" outlineLevel="1" x14ac:dyDescent="0.25">
      <c r="B379" s="8" t="s">
        <v>148</v>
      </c>
      <c r="C379" s="22" t="s">
        <v>28</v>
      </c>
      <c r="F379" s="45">
        <v>1.5</v>
      </c>
      <c r="G379" s="45">
        <v>1.8</v>
      </c>
      <c r="H379" s="19">
        <f>+I379-G379</f>
        <v>2.2999999999999998</v>
      </c>
      <c r="I379" s="45">
        <v>4.0999999999999996</v>
      </c>
      <c r="J379" s="45">
        <v>2.4</v>
      </c>
      <c r="K379" s="19">
        <f>+L379-J379</f>
        <v>1.581</v>
      </c>
      <c r="L379" s="354">
        <v>3.9809999999999999</v>
      </c>
      <c r="M379" s="445">
        <f>3.505-M383</f>
        <v>1.615</v>
      </c>
      <c r="N379" s="19">
        <f>+O379-M379</f>
        <v>1.228</v>
      </c>
      <c r="O379" s="354">
        <v>2.843</v>
      </c>
      <c r="P379" s="211">
        <f>P$22*P380</f>
        <v>1.7568594444876602</v>
      </c>
      <c r="Q379" s="211">
        <f>+R379-P379</f>
        <v>1.9295941374463481</v>
      </c>
      <c r="R379" s="211">
        <f>R$22*R380</f>
        <v>3.6864535819340083</v>
      </c>
      <c r="S379" s="211">
        <f>S$22*S380</f>
        <v>2.1224331700216661</v>
      </c>
      <c r="T379" s="211">
        <f>+U379-S379</f>
        <v>2.3539705306285379</v>
      </c>
      <c r="U379" s="211">
        <f>U$22*U380</f>
        <v>4.476403700650204</v>
      </c>
      <c r="V379" s="211">
        <f>V$22*V380</f>
        <v>2.6063879257802549</v>
      </c>
      <c r="W379" s="211">
        <f>+X379-V379</f>
        <v>2.8261224047202322</v>
      </c>
      <c r="X379" s="211">
        <f>X$22*X380</f>
        <v>5.4325103305004872</v>
      </c>
      <c r="Y379" s="211">
        <f>Y$22*Y380</f>
        <v>3.1138653068169813</v>
      </c>
      <c r="Z379" s="211">
        <f>+AA379-Y379</f>
        <v>3.3793539732026803</v>
      </c>
      <c r="AA379" s="211">
        <f>AA$22*AA380</f>
        <v>6.4932192800196615</v>
      </c>
      <c r="AB379" s="211">
        <f t="shared" ref="AB379" si="2535">AB$22*AB380</f>
        <v>3.6382245962525759</v>
      </c>
      <c r="AC379" s="211">
        <f t="shared" ref="AC379" si="2536">+AD379-AB379</f>
        <v>3.9549404166001962</v>
      </c>
      <c r="AD379" s="211">
        <f t="shared" ref="AD379:AE379" si="2537">AD$22*AD380</f>
        <v>7.5931650128527721</v>
      </c>
      <c r="AE379" s="211">
        <f t="shared" si="2537"/>
        <v>4.1871905453946816</v>
      </c>
      <c r="AF379" s="211">
        <f t="shared" ref="AF379" si="2538">+AG379-AE379</f>
        <v>4.5357357172603745</v>
      </c>
      <c r="AG379" s="211">
        <f t="shared" ref="AG379:AH379" si="2539">AG$22*AG380</f>
        <v>8.7229262626550561</v>
      </c>
      <c r="AH379" s="211">
        <f t="shared" si="2539"/>
        <v>4.7824886843174648</v>
      </c>
      <c r="AI379" s="211">
        <f t="shared" ref="AI379" si="2540">+AJ379-AH379</f>
        <v>5.1652924267767455</v>
      </c>
      <c r="AJ379" s="211">
        <f t="shared" ref="AJ379:AK379" si="2541">AJ$22*AJ380</f>
        <v>9.9477811110942103</v>
      </c>
      <c r="AK379" s="211">
        <f t="shared" si="2541"/>
        <v>5.4273610225247531</v>
      </c>
      <c r="AL379" s="211">
        <f t="shared" ref="AL379" si="2542">+AM379-AK379</f>
        <v>5.8470110958210029</v>
      </c>
      <c r="AM379" s="211">
        <f t="shared" ref="AM379:AN379" si="2543">AM$22*AM380</f>
        <v>11.274372118345756</v>
      </c>
      <c r="AN379" s="211">
        <f t="shared" si="2543"/>
        <v>5.996770758638772</v>
      </c>
      <c r="AO379" s="211">
        <f t="shared" ref="AO379" si="2544">+AP379-AN379</f>
        <v>6.4227706245973026</v>
      </c>
      <c r="AP379" s="211">
        <f t="shared" ref="AP379" si="2545">AP$22*AP380</f>
        <v>12.419541383236075</v>
      </c>
      <c r="AQ379" s="211">
        <f t="shared" ref="AQ379" si="2546">AQ$22*AQ380</f>
        <v>6.5472229904500825</v>
      </c>
      <c r="AR379" s="211">
        <f t="shared" ref="AR379" si="2547">+AS379-AQ379</f>
        <v>7.0025234205449962</v>
      </c>
      <c r="AS379" s="211">
        <f t="shared" ref="AS379:AV379" si="2548">AS$22*AS380</f>
        <v>13.549746410995079</v>
      </c>
      <c r="AT379" s="211">
        <f t="shared" si="2548"/>
        <v>7.1216619617141772</v>
      </c>
      <c r="AU379" s="211">
        <f t="shared" ref="AU379" si="2549">+AV379-AT379</f>
        <v>7.6074096830127056</v>
      </c>
      <c r="AV379" s="211">
        <f t="shared" si="2548"/>
        <v>14.729071644726883</v>
      </c>
    </row>
    <row r="380" spans="2:55" outlineLevel="1" x14ac:dyDescent="0.25">
      <c r="B380" s="8" t="s">
        <v>104</v>
      </c>
      <c r="C380" s="22" t="s">
        <v>29</v>
      </c>
      <c r="F380" s="18">
        <f>F379/F$22</f>
        <v>8.7310826542491282E-3</v>
      </c>
      <c r="G380" s="18">
        <f>G379/G$22</f>
        <v>1.4791379912484337E-2</v>
      </c>
      <c r="H380" s="18">
        <f>H379/H$22</f>
        <v>1.673853319505849E-2</v>
      </c>
      <c r="I380" s="18">
        <f>I379/I$22</f>
        <v>1.5824006175221918E-2</v>
      </c>
      <c r="J380" s="304">
        <f>J379/J$22</f>
        <v>1.4245775237281195E-2</v>
      </c>
      <c r="K380" s="304">
        <f t="shared" ref="K380" si="2550">K379/K$22</f>
        <v>9.1002233324891223E-3</v>
      </c>
      <c r="L380" s="314">
        <f>L379/L$22</f>
        <v>1.1633445644836543E-2</v>
      </c>
      <c r="M380" s="18">
        <f>M379/M$22</f>
        <v>7.59917750078815E-3</v>
      </c>
      <c r="N380" s="304">
        <f t="shared" ref="N380" si="2551">N379/N$22</f>
        <v>5.4878266776304018E-3</v>
      </c>
      <c r="O380" s="314">
        <f>O379/O$22</f>
        <v>6.5162930246097216E-3</v>
      </c>
      <c r="P380" s="209">
        <f>+O380</f>
        <v>6.5162930246097216E-3</v>
      </c>
      <c r="Q380" s="209" t="str">
        <f>IFERROR(+Q379/Q25,"na")</f>
        <v>na</v>
      </c>
      <c r="R380" s="209">
        <f>+P380</f>
        <v>6.5162930246097216E-3</v>
      </c>
      <c r="S380" s="209">
        <f>+R380</f>
        <v>6.5162930246097216E-3</v>
      </c>
      <c r="T380" s="209" t="str">
        <f>IFERROR(+T379/T25,"na")</f>
        <v>na</v>
      </c>
      <c r="U380" s="209">
        <f>+S380</f>
        <v>6.5162930246097216E-3</v>
      </c>
      <c r="V380" s="209">
        <f>+U380</f>
        <v>6.5162930246097216E-3</v>
      </c>
      <c r="W380" s="209" t="str">
        <f>IFERROR(+W379/W25,"na")</f>
        <v>na</v>
      </c>
      <c r="X380" s="209">
        <f>+V380</f>
        <v>6.5162930246097216E-3</v>
      </c>
      <c r="Y380" s="209">
        <f>+X380</f>
        <v>6.5162930246097216E-3</v>
      </c>
      <c r="Z380" s="209" t="str">
        <f>IFERROR(+Z379/Z25,"na")</f>
        <v>na</v>
      </c>
      <c r="AA380" s="209">
        <f>+Y380</f>
        <v>6.5162930246097216E-3</v>
      </c>
      <c r="AB380" s="209">
        <f t="shared" ref="AB380" si="2552">+AA380</f>
        <v>6.5162930246097216E-3</v>
      </c>
      <c r="AC380" s="209" t="str">
        <f>IFERROR(+AC379/AC25,"na")</f>
        <v>na</v>
      </c>
      <c r="AD380" s="209">
        <f t="shared" ref="AD380" si="2553">+AB380</f>
        <v>6.5162930246097216E-3</v>
      </c>
      <c r="AE380" s="209">
        <f t="shared" ref="AE380" si="2554">+AD380</f>
        <v>6.5162930246097216E-3</v>
      </c>
      <c r="AF380" s="209" t="str">
        <f>IFERROR(+AF379/AF25,"na")</f>
        <v>na</v>
      </c>
      <c r="AG380" s="209">
        <f t="shared" ref="AG380" si="2555">+AE380</f>
        <v>6.5162930246097216E-3</v>
      </c>
      <c r="AH380" s="209">
        <f t="shared" ref="AH380" si="2556">+AG380</f>
        <v>6.5162930246097216E-3</v>
      </c>
      <c r="AI380" s="209" t="str">
        <f>IFERROR(+AI379/AI25,"na")</f>
        <v>na</v>
      </c>
      <c r="AJ380" s="209">
        <f t="shared" ref="AJ380" si="2557">+AH380</f>
        <v>6.5162930246097216E-3</v>
      </c>
      <c r="AK380" s="209">
        <f t="shared" ref="AK380" si="2558">+AJ380</f>
        <v>6.5162930246097216E-3</v>
      </c>
      <c r="AL380" s="209" t="str">
        <f>IFERROR(+AL379/AL25,"na")</f>
        <v>na</v>
      </c>
      <c r="AM380" s="209">
        <f t="shared" ref="AM380" si="2559">+AK380</f>
        <v>6.5162930246097216E-3</v>
      </c>
      <c r="AN380" s="209">
        <f t="shared" ref="AN380" si="2560">+AM380</f>
        <v>6.5162930246097216E-3</v>
      </c>
      <c r="AO380" s="209" t="str">
        <f>IFERROR(+AO379/AO25,"na")</f>
        <v>na</v>
      </c>
      <c r="AP380" s="209">
        <f t="shared" ref="AP380" si="2561">+AN380</f>
        <v>6.5162930246097216E-3</v>
      </c>
      <c r="AQ380" s="209">
        <f t="shared" ref="AQ380" si="2562">+AP380</f>
        <v>6.5162930246097216E-3</v>
      </c>
      <c r="AR380" s="209" t="str">
        <f>IFERROR(+AR379/AR25,"na")</f>
        <v>na</v>
      </c>
      <c r="AS380" s="209">
        <f t="shared" ref="AS380" si="2563">+AQ380</f>
        <v>6.5162930246097216E-3</v>
      </c>
      <c r="AT380" s="209">
        <f t="shared" ref="AT380" si="2564">+AS380</f>
        <v>6.5162930246097216E-3</v>
      </c>
      <c r="AU380" s="209" t="str">
        <f>IFERROR(+AU379/AU25,"na")</f>
        <v>na</v>
      </c>
      <c r="AV380" s="209">
        <f t="shared" ref="AV380" si="2565">+AT380</f>
        <v>6.5162930246097216E-3</v>
      </c>
    </row>
    <row r="381" spans="2:55" outlineLevel="1" x14ac:dyDescent="0.25">
      <c r="M381" s="8"/>
      <c r="O381" s="313"/>
    </row>
    <row r="382" spans="2:55" outlineLevel="1" x14ac:dyDescent="0.25">
      <c r="M382" s="8"/>
      <c r="O382" s="313"/>
    </row>
    <row r="383" spans="2:55" outlineLevel="1" x14ac:dyDescent="0.25">
      <c r="B383" s="8" t="s">
        <v>170</v>
      </c>
      <c r="C383" s="22" t="s">
        <v>28</v>
      </c>
      <c r="F383" s="45">
        <v>0.9</v>
      </c>
      <c r="G383" s="45">
        <v>1.4</v>
      </c>
      <c r="H383" s="19">
        <f>+I383-G383</f>
        <v>1.3000000000000003</v>
      </c>
      <c r="I383" s="45">
        <v>2.7</v>
      </c>
      <c r="J383" s="45">
        <v>1.4</v>
      </c>
      <c r="K383" s="19">
        <f>+L383-J383</f>
        <v>1.5350000000000001</v>
      </c>
      <c r="L383" s="354">
        <v>2.9350000000000001</v>
      </c>
      <c r="M383" s="441">
        <v>1.89</v>
      </c>
      <c r="N383" s="19">
        <f>+O383-M383</f>
        <v>1.7780000000000002</v>
      </c>
      <c r="O383" s="354">
        <v>3.6680000000000001</v>
      </c>
      <c r="P383" s="19">
        <f>0.5*R383</f>
        <v>1.8523400000000001</v>
      </c>
      <c r="Q383" s="19">
        <f>+R383-P383</f>
        <v>1.8523400000000001</v>
      </c>
      <c r="R383" s="52">
        <f>+O383*(1+R384)</f>
        <v>3.7046800000000002</v>
      </c>
      <c r="S383" s="19">
        <f>0.5*U383</f>
        <v>1.8708634000000002</v>
      </c>
      <c r="T383" s="19">
        <f>+U383-S383</f>
        <v>1.8708634000000002</v>
      </c>
      <c r="U383" s="52">
        <f>+R383*(1+U384)</f>
        <v>3.7417268000000004</v>
      </c>
      <c r="V383" s="19">
        <f t="shared" ref="V383" si="2566">0.5*X383</f>
        <v>1.8895720340000002</v>
      </c>
      <c r="W383" s="19">
        <f t="shared" ref="W383" si="2567">+X383-V383</f>
        <v>1.8895720340000002</v>
      </c>
      <c r="X383" s="52">
        <f>+U383*(1+X384)</f>
        <v>3.7791440680000004</v>
      </c>
      <c r="Y383" s="19">
        <f t="shared" ref="Y383" si="2568">0.5*AA383</f>
        <v>1.9084677543400002</v>
      </c>
      <c r="Z383" s="19">
        <f t="shared" ref="Z383" si="2569">+AA383-Y383</f>
        <v>1.9084677543400002</v>
      </c>
      <c r="AA383" s="52">
        <f t="shared" ref="AA383" si="2570">+X383*(1+AA384)</f>
        <v>3.8169355086800003</v>
      </c>
      <c r="AB383" s="19">
        <f t="shared" ref="AB383" si="2571">0.5*AD383</f>
        <v>1.9275524318834001</v>
      </c>
      <c r="AC383" s="19">
        <f t="shared" ref="AC383" si="2572">+AD383-AB383</f>
        <v>1.9275524318834001</v>
      </c>
      <c r="AD383" s="52">
        <f t="shared" ref="AD383" si="2573">+AA383*(1+AD384)</f>
        <v>3.8551048637668002</v>
      </c>
      <c r="AE383" s="19">
        <f t="shared" ref="AE383" si="2574">0.5*AG383</f>
        <v>1.9468279562022341</v>
      </c>
      <c r="AF383" s="19">
        <f t="shared" ref="AF383" si="2575">+AG383-AE383</f>
        <v>1.9468279562022341</v>
      </c>
      <c r="AG383" s="52">
        <f t="shared" ref="AG383" si="2576">+AD383*(1+AG384)</f>
        <v>3.8936559124044683</v>
      </c>
      <c r="AH383" s="19">
        <f t="shared" ref="AH383" si="2577">0.5*AJ383</f>
        <v>1.9662962357642566</v>
      </c>
      <c r="AI383" s="19">
        <f t="shared" ref="AI383" si="2578">+AJ383-AH383</f>
        <v>1.9662962357642566</v>
      </c>
      <c r="AJ383" s="52">
        <f t="shared" ref="AJ383" si="2579">+AG383*(1+AJ384)</f>
        <v>3.9325924715285132</v>
      </c>
      <c r="AK383" s="19">
        <f t="shared" ref="AK383" si="2580">0.5*AM383</f>
        <v>1.9859591981218991</v>
      </c>
      <c r="AL383" s="19">
        <f t="shared" ref="AL383" si="2581">+AM383-AK383</f>
        <v>1.9859591981218991</v>
      </c>
      <c r="AM383" s="52">
        <f t="shared" ref="AM383" si="2582">+AJ383*(1+AM384)</f>
        <v>3.9719183962437983</v>
      </c>
      <c r="AN383" s="19">
        <f t="shared" ref="AN383" si="2583">0.5*AP383</f>
        <v>2.0058187901031181</v>
      </c>
      <c r="AO383" s="19">
        <f t="shared" ref="AO383" si="2584">+AP383-AN383</f>
        <v>2.0058187901031181</v>
      </c>
      <c r="AP383" s="52">
        <f t="shared" ref="AP383" si="2585">+AM383*(1+AP384)</f>
        <v>4.0116375802062363</v>
      </c>
      <c r="AQ383" s="19">
        <f t="shared" ref="AQ383" si="2586">0.5*AS383</f>
        <v>2.0258769780041495</v>
      </c>
      <c r="AR383" s="19">
        <f t="shared" ref="AR383" si="2587">+AS383-AQ383</f>
        <v>2.0258769780041495</v>
      </c>
      <c r="AS383" s="52">
        <f t="shared" ref="AS383" si="2588">+AP383*(1+AS384)</f>
        <v>4.0517539560082989</v>
      </c>
      <c r="AT383" s="19">
        <f t="shared" ref="AT383" si="2589">0.5*AV383</f>
        <v>2.0461357477841911</v>
      </c>
      <c r="AU383" s="19">
        <f t="shared" ref="AU383" si="2590">+AV383-AT383</f>
        <v>2.0461357477841911</v>
      </c>
      <c r="AV383" s="52">
        <f t="shared" ref="AV383" si="2591">+AS383*(1+AV384)</f>
        <v>4.0922714955683821</v>
      </c>
    </row>
    <row r="384" spans="2:55" outlineLevel="1" x14ac:dyDescent="0.25">
      <c r="B384" s="8" t="s">
        <v>145</v>
      </c>
      <c r="C384" s="22" t="s">
        <v>29</v>
      </c>
      <c r="F384" s="19"/>
      <c r="I384" s="19"/>
      <c r="J384" s="254">
        <f t="shared" ref="J384:T384" si="2592">J383/G383-1</f>
        <v>0</v>
      </c>
      <c r="K384" s="28">
        <f t="shared" si="2592"/>
        <v>0.18076923076923057</v>
      </c>
      <c r="L384" s="310">
        <f t="shared" si="2592"/>
        <v>8.7037037037037024E-2</v>
      </c>
      <c r="M384" s="14">
        <f t="shared" si="2592"/>
        <v>0.35000000000000009</v>
      </c>
      <c r="N384" s="28">
        <f t="shared" ref="N384" si="2593">N383/K383-1</f>
        <v>0.15830618892508141</v>
      </c>
      <c r="O384" s="310">
        <f t="shared" ref="O384" si="2594">O383/L383-1</f>
        <v>0.24974446337308343</v>
      </c>
      <c r="P384" s="14">
        <f t="shared" si="2592"/>
        <v>-1.9925925925925791E-2</v>
      </c>
      <c r="Q384" s="14">
        <f t="shared" si="2592"/>
        <v>4.181102362204725E-2</v>
      </c>
      <c r="R384" s="14">
        <v>0.01</v>
      </c>
      <c r="S384" s="14">
        <f t="shared" si="2592"/>
        <v>1.0000000000000009E-2</v>
      </c>
      <c r="T384" s="14">
        <f t="shared" si="2592"/>
        <v>1.0000000000000009E-2</v>
      </c>
      <c r="U384" s="14">
        <v>0.01</v>
      </c>
      <c r="V384" s="14">
        <f>V383/S383-1</f>
        <v>1.0000000000000009E-2</v>
      </c>
      <c r="W384" s="14">
        <f>W383/T383-1</f>
        <v>1.0000000000000009E-2</v>
      </c>
      <c r="X384" s="14">
        <f>+U384</f>
        <v>0.01</v>
      </c>
      <c r="Y384" s="14">
        <f t="shared" ref="Y384:Z384" si="2595">Y383/V383-1</f>
        <v>1.0000000000000009E-2</v>
      </c>
      <c r="Z384" s="14">
        <f t="shared" si="2595"/>
        <v>1.0000000000000009E-2</v>
      </c>
      <c r="AA384" s="14">
        <f t="shared" ref="AA384" si="2596">+X384</f>
        <v>0.01</v>
      </c>
      <c r="AB384" s="14">
        <f t="shared" ref="AB384:AC384" si="2597">AB383/Y383-1</f>
        <v>1.0000000000000009E-2</v>
      </c>
      <c r="AC384" s="14">
        <f t="shared" si="2597"/>
        <v>1.0000000000000009E-2</v>
      </c>
      <c r="AD384" s="14">
        <f t="shared" ref="AD384" si="2598">+AA384</f>
        <v>0.01</v>
      </c>
      <c r="AE384" s="14">
        <f t="shared" ref="AE384:AF384" si="2599">AE383/AB383-1</f>
        <v>1.0000000000000009E-2</v>
      </c>
      <c r="AF384" s="14">
        <f t="shared" si="2599"/>
        <v>1.0000000000000009E-2</v>
      </c>
      <c r="AG384" s="14">
        <f t="shared" ref="AG384" si="2600">+AD384</f>
        <v>0.01</v>
      </c>
      <c r="AH384" s="14">
        <f t="shared" ref="AH384:AI384" si="2601">AH383/AE383-1</f>
        <v>1.0000000000000009E-2</v>
      </c>
      <c r="AI384" s="14">
        <f t="shared" si="2601"/>
        <v>1.0000000000000009E-2</v>
      </c>
      <c r="AJ384" s="14">
        <f t="shared" ref="AJ384" si="2602">+AG384</f>
        <v>0.01</v>
      </c>
      <c r="AK384" s="14">
        <f t="shared" ref="AK384:AL384" si="2603">AK383/AH383-1</f>
        <v>1.0000000000000009E-2</v>
      </c>
      <c r="AL384" s="14">
        <f t="shared" si="2603"/>
        <v>1.0000000000000009E-2</v>
      </c>
      <c r="AM384" s="14">
        <f t="shared" ref="AM384" si="2604">+AJ384</f>
        <v>0.01</v>
      </c>
      <c r="AN384" s="14">
        <f t="shared" ref="AN384:AO384" si="2605">AN383/AK383-1</f>
        <v>1.0000000000000009E-2</v>
      </c>
      <c r="AO384" s="14">
        <f t="shared" si="2605"/>
        <v>1.0000000000000009E-2</v>
      </c>
      <c r="AP384" s="14">
        <f t="shared" ref="AP384" si="2606">+AM384</f>
        <v>0.01</v>
      </c>
      <c r="AQ384" s="14">
        <f t="shared" ref="AQ384:AR384" si="2607">AQ383/AN383-1</f>
        <v>1.0000000000000009E-2</v>
      </c>
      <c r="AR384" s="14">
        <f t="shared" si="2607"/>
        <v>1.0000000000000009E-2</v>
      </c>
      <c r="AS384" s="14">
        <f t="shared" ref="AS384" si="2608">+AP384</f>
        <v>0.01</v>
      </c>
      <c r="AT384" s="14">
        <f t="shared" ref="AT384" si="2609">AT383/AQ383-1</f>
        <v>1.0000000000000009E-2</v>
      </c>
      <c r="AU384" s="14">
        <f t="shared" ref="AU384" si="2610">AU383/AR383-1</f>
        <v>1.0000000000000009E-2</v>
      </c>
      <c r="AV384" s="14">
        <f t="shared" ref="AV384" si="2611">+AS384</f>
        <v>0.01</v>
      </c>
    </row>
    <row r="385" spans="1:48" outlineLevel="1" x14ac:dyDescent="0.25">
      <c r="M385" s="8"/>
      <c r="O385" s="313"/>
    </row>
    <row r="386" spans="1:48" outlineLevel="1" x14ac:dyDescent="0.25">
      <c r="M386" s="8"/>
      <c r="O386" s="19"/>
    </row>
    <row r="387" spans="1:48" outlineLevel="1" x14ac:dyDescent="0.25">
      <c r="A387" s="64"/>
      <c r="B387" s="67" t="s">
        <v>174</v>
      </c>
      <c r="C387" s="66"/>
      <c r="D387" s="65"/>
      <c r="E387" s="65"/>
      <c r="F387" s="65"/>
      <c r="G387" s="65"/>
      <c r="H387" s="65"/>
      <c r="I387" s="65"/>
      <c r="J387" s="65"/>
      <c r="K387" s="65"/>
      <c r="L387" s="375"/>
      <c r="M387" s="65"/>
      <c r="N387" s="65"/>
      <c r="O387" s="65"/>
      <c r="P387" s="65"/>
      <c r="Q387" s="65"/>
      <c r="R387" s="65"/>
      <c r="S387" s="65"/>
      <c r="T387" s="65"/>
      <c r="U387" s="65"/>
      <c r="V387" s="65"/>
      <c r="W387" s="65"/>
      <c r="X387" s="65"/>
      <c r="Y387" s="65"/>
      <c r="Z387" s="65"/>
      <c r="AA387" s="65"/>
      <c r="AB387" s="65"/>
      <c r="AC387" s="65"/>
      <c r="AD387" s="65"/>
      <c r="AE387" s="65"/>
      <c r="AF387" s="65"/>
      <c r="AG387" s="65"/>
      <c r="AH387" s="65"/>
      <c r="AI387" s="65"/>
      <c r="AJ387" s="65"/>
      <c r="AK387" s="65"/>
      <c r="AL387" s="65"/>
      <c r="AM387" s="65"/>
      <c r="AN387" s="65"/>
      <c r="AO387" s="65"/>
      <c r="AP387" s="65"/>
      <c r="AQ387" s="65"/>
      <c r="AR387" s="65"/>
      <c r="AS387" s="65"/>
      <c r="AT387" s="65"/>
      <c r="AU387" s="65"/>
      <c r="AV387" s="65"/>
    </row>
    <row r="388" spans="1:48" outlineLevel="1" x14ac:dyDescent="0.25">
      <c r="M388" s="8"/>
    </row>
    <row r="389" spans="1:48" outlineLevel="1" x14ac:dyDescent="0.25">
      <c r="B389" s="12" t="s">
        <v>175</v>
      </c>
      <c r="C389" s="22" t="s">
        <v>28</v>
      </c>
      <c r="F389" s="19">
        <f t="shared" ref="F389:AV389" si="2612">+F$341-F$357+F$379+F$383</f>
        <v>14.4</v>
      </c>
      <c r="G389" s="19">
        <f t="shared" si="2612"/>
        <v>12.550000000000002</v>
      </c>
      <c r="H389" s="19">
        <f t="shared" si="2612"/>
        <v>12.950000000000003</v>
      </c>
      <c r="I389" s="19">
        <f t="shared" si="2612"/>
        <v>25.500000000000004</v>
      </c>
      <c r="J389" s="19">
        <f t="shared" si="2612"/>
        <v>15.903500000000001</v>
      </c>
      <c r="K389" s="19">
        <f t="shared" si="2612"/>
        <v>15.2195</v>
      </c>
      <c r="L389" s="309">
        <f t="shared" si="2612"/>
        <v>31.123000000000001</v>
      </c>
      <c r="M389" s="19">
        <f>+M$341-M$357+M$379+M$383</f>
        <v>19.079999999999998</v>
      </c>
      <c r="N389" s="19">
        <f t="shared" si="2612"/>
        <v>20.600999999999999</v>
      </c>
      <c r="O389" s="309">
        <f t="shared" si="2612"/>
        <v>39.681000000000004</v>
      </c>
      <c r="P389" s="19">
        <f>+P$341-P$357+P$379+P$383</f>
        <v>23.636060884138406</v>
      </c>
      <c r="Q389" s="19">
        <f t="shared" si="2612"/>
        <v>25.042784062025323</v>
      </c>
      <c r="R389" s="19">
        <f>+R$341-R$357+R$379+R$383</f>
        <v>48.678844946163736</v>
      </c>
      <c r="S389" s="19">
        <f t="shared" si="2612"/>
        <v>28.364530553279938</v>
      </c>
      <c r="T389" s="19">
        <f>+T$341-T$357+T$379+T$383</f>
        <v>30.096671760314262</v>
      </c>
      <c r="U389" s="19">
        <f>+U$341-U$357+U$379+U$383</f>
        <v>58.4612023135942</v>
      </c>
      <c r="V389" s="19">
        <f t="shared" si="2612"/>
        <v>33.73595112015952</v>
      </c>
      <c r="W389" s="19">
        <f t="shared" si="2612"/>
        <v>35.743003987614586</v>
      </c>
      <c r="X389" s="19">
        <f t="shared" si="2612"/>
        <v>69.478955107774112</v>
      </c>
      <c r="Y389" s="19">
        <f t="shared" si="2612"/>
        <v>39.386736005169254</v>
      </c>
      <c r="Z389" s="19">
        <f t="shared" si="2612"/>
        <v>41.737179169989403</v>
      </c>
      <c r="AA389" s="19">
        <f t="shared" si="2612"/>
        <v>81.123915175158658</v>
      </c>
      <c r="AB389" s="19">
        <f t="shared" si="2612"/>
        <v>45.137307091232266</v>
      </c>
      <c r="AC389" s="19">
        <f t="shared" si="2612"/>
        <v>47.83829791874669</v>
      </c>
      <c r="AD389" s="19">
        <f t="shared" si="2612"/>
        <v>92.975605009978949</v>
      </c>
      <c r="AE389" s="19">
        <f t="shared" si="2612"/>
        <v>50.969655174267693</v>
      </c>
      <c r="AF389" s="19">
        <f t="shared" si="2612"/>
        <v>53.996457712194356</v>
      </c>
      <c r="AG389" s="19">
        <f t="shared" si="2612"/>
        <v>104.96611288646206</v>
      </c>
      <c r="AH389" s="19">
        <f t="shared" si="2612"/>
        <v>57.177471189638744</v>
      </c>
      <c r="AI389" s="19">
        <f t="shared" si="2612"/>
        <v>60.545559828610862</v>
      </c>
      <c r="AJ389" s="19">
        <f t="shared" si="2612"/>
        <v>117.72303101824961</v>
      </c>
      <c r="AK389" s="19">
        <f t="shared" si="2612"/>
        <v>63.778715258388097</v>
      </c>
      <c r="AL389" s="19">
        <f t="shared" si="2612"/>
        <v>67.50376771361185</v>
      </c>
      <c r="AM389" s="19">
        <f t="shared" si="2612"/>
        <v>131.28248297199994</v>
      </c>
      <c r="AN389" s="19">
        <f t="shared" si="2612"/>
        <v>69.211537459061745</v>
      </c>
      <c r="AO389" s="19">
        <f t="shared" si="2612"/>
        <v>73.194748019047083</v>
      </c>
      <c r="AP389" s="19">
        <f t="shared" si="2612"/>
        <v>142.40628547810883</v>
      </c>
      <c r="AQ389" s="19">
        <f t="shared" si="2612"/>
        <v>74.455763681325621</v>
      </c>
      <c r="AR389" s="19">
        <f t="shared" si="2612"/>
        <v>78.700527045866423</v>
      </c>
      <c r="AS389" s="19">
        <f t="shared" si="2612"/>
        <v>153.15629072719204</v>
      </c>
      <c r="AT389" s="19">
        <f t="shared" si="2612"/>
        <v>79.852085075420518</v>
      </c>
      <c r="AU389" s="19">
        <f t="shared" si="2612"/>
        <v>84.359988464726911</v>
      </c>
      <c r="AV389" s="19">
        <f t="shared" si="2612"/>
        <v>164.2120735401474</v>
      </c>
    </row>
    <row r="390" spans="1:48" outlineLevel="1" x14ac:dyDescent="0.25">
      <c r="B390" s="8" t="s">
        <v>177</v>
      </c>
      <c r="I390" s="19"/>
      <c r="J390" s="19"/>
      <c r="K390" s="19"/>
      <c r="L390" s="309"/>
      <c r="M390" s="19"/>
      <c r="N390" s="19"/>
      <c r="O390" s="309"/>
    </row>
    <row r="391" spans="1:48" outlineLevel="1" x14ac:dyDescent="0.25">
      <c r="M391" s="8"/>
      <c r="O391" s="313"/>
    </row>
    <row r="392" spans="1:48" outlineLevel="1" x14ac:dyDescent="0.25">
      <c r="A392" t="s">
        <v>358</v>
      </c>
      <c r="B392" s="12" t="s">
        <v>176</v>
      </c>
      <c r="C392" s="22" t="s">
        <v>28</v>
      </c>
      <c r="F392" s="19">
        <f t="shared" ref="F392:X392" si="2613">+F347+F376</f>
        <v>26.4</v>
      </c>
      <c r="G392" s="19">
        <f t="shared" si="2613"/>
        <v>1.4</v>
      </c>
      <c r="H392" s="19">
        <f t="shared" si="2613"/>
        <v>1.5</v>
      </c>
      <c r="I392" s="19">
        <f t="shared" si="2613"/>
        <v>42.6</v>
      </c>
      <c r="J392" s="19">
        <f t="shared" ref="J392:L392" si="2614">+J347+J376</f>
        <v>14.9</v>
      </c>
      <c r="K392" s="19">
        <f t="shared" si="2614"/>
        <v>18.659000000000002</v>
      </c>
      <c r="L392" s="309">
        <f t="shared" si="2614"/>
        <v>33.559000000000005</v>
      </c>
      <c r="M392" s="19">
        <f t="shared" ref="M392:O392" si="2615">+M347+M376</f>
        <v>33.927</v>
      </c>
      <c r="N392" s="19">
        <f t="shared" si="2615"/>
        <v>27.436000000000007</v>
      </c>
      <c r="O392" s="309">
        <f t="shared" si="2615"/>
        <v>61.363</v>
      </c>
      <c r="P392" s="19">
        <f t="shared" si="2613"/>
        <v>27.397396783820373</v>
      </c>
      <c r="Q392" s="19">
        <f t="shared" si="2613"/>
        <v>33.00895415218605</v>
      </c>
      <c r="R392" s="19">
        <f t="shared" si="2613"/>
        <v>60.406350936006426</v>
      </c>
      <c r="S392" s="19">
        <f t="shared" si="2613"/>
        <v>39.767968534617097</v>
      </c>
      <c r="T392" s="19">
        <f t="shared" si="2613"/>
        <v>43.558066987226042</v>
      </c>
      <c r="U392" s="19">
        <f t="shared" si="2613"/>
        <v>83.326035521843139</v>
      </c>
      <c r="V392" s="19">
        <f t="shared" si="2613"/>
        <v>39.283177993998812</v>
      </c>
      <c r="W392" s="19">
        <f t="shared" si="2613"/>
        <v>39.788989683505683</v>
      </c>
      <c r="X392" s="19">
        <f t="shared" si="2613"/>
        <v>79.072167677504495</v>
      </c>
      <c r="Y392" s="19">
        <f t="shared" ref="Y392:Z392" si="2616">+Y347+Y376</f>
        <v>44.059361711560307</v>
      </c>
      <c r="Z392" s="19">
        <f t="shared" si="2616"/>
        <v>44.670495983875199</v>
      </c>
      <c r="AA392" s="19">
        <f>+AA347+AA376</f>
        <v>88.729857695435513</v>
      </c>
      <c r="AB392" s="19">
        <f t="shared" ref="AB392:AP392" si="2617">+AB347+AB376</f>
        <v>46.648901431300125</v>
      </c>
      <c r="AC392" s="19">
        <f t="shared" si="2617"/>
        <v>47.377956629903451</v>
      </c>
      <c r="AD392" s="19">
        <f t="shared" si="2617"/>
        <v>94.026858061203583</v>
      </c>
      <c r="AE392" s="19">
        <f t="shared" si="2617"/>
        <v>51.715904006987415</v>
      </c>
      <c r="AF392" s="19">
        <f t="shared" si="2617"/>
        <v>52.518227898537475</v>
      </c>
      <c r="AG392" s="19">
        <f t="shared" si="2617"/>
        <v>104.23413190552489</v>
      </c>
      <c r="AH392" s="19">
        <f t="shared" si="2617"/>
        <v>57.180957184913979</v>
      </c>
      <c r="AI392" s="19">
        <f t="shared" si="2617"/>
        <v>58.062141642887788</v>
      </c>
      <c r="AJ392" s="19">
        <f t="shared" si="2617"/>
        <v>115.24309882780176</v>
      </c>
      <c r="AK392" s="19">
        <f t="shared" si="2617"/>
        <v>63.071321576468868</v>
      </c>
      <c r="AL392" s="19">
        <f t="shared" si="2617"/>
        <v>64.037323423787683</v>
      </c>
      <c r="AM392" s="19">
        <f t="shared" si="2617"/>
        <v>127.10864500025656</v>
      </c>
      <c r="AN392" s="19">
        <f t="shared" si="2617"/>
        <v>65.639183846504579</v>
      </c>
      <c r="AO392" s="19">
        <f t="shared" si="2617"/>
        <v>66.619802422932182</v>
      </c>
      <c r="AP392" s="19">
        <f t="shared" si="2617"/>
        <v>132.25898626943678</v>
      </c>
      <c r="AQ392" s="19">
        <f t="shared" ref="AQ392:AS392" si="2618">+AQ347+AQ376</f>
        <v>70.685797401160002</v>
      </c>
      <c r="AR392" s="19">
        <f t="shared" si="2618"/>
        <v>71.733863598556439</v>
      </c>
      <c r="AS392" s="19">
        <f t="shared" si="2618"/>
        <v>142.41966099971646</v>
      </c>
      <c r="AT392" s="19">
        <f t="shared" ref="AT392:AV392" si="2619">+AT347+AT376</f>
        <v>75.967802473659731</v>
      </c>
      <c r="AU392" s="19">
        <f t="shared" si="2619"/>
        <v>77.085955968593197</v>
      </c>
      <c r="AV392" s="19">
        <f t="shared" si="2619"/>
        <v>153.05375844225293</v>
      </c>
    </row>
    <row r="393" spans="1:48" outlineLevel="1" x14ac:dyDescent="0.25">
      <c r="B393" s="8" t="s">
        <v>104</v>
      </c>
      <c r="M393" s="8"/>
      <c r="O393" s="313"/>
    </row>
    <row r="394" spans="1:48" outlineLevel="1" x14ac:dyDescent="0.25">
      <c r="M394" s="8"/>
      <c r="O394" s="313"/>
    </row>
    <row r="395" spans="1:48" outlineLevel="1" x14ac:dyDescent="0.25">
      <c r="A395" t="s">
        <v>300</v>
      </c>
      <c r="B395" s="8" t="s">
        <v>299</v>
      </c>
      <c r="C395" s="22" t="s">
        <v>28</v>
      </c>
      <c r="F395" s="19">
        <f>+F335+F371</f>
        <v>-7.6999999999999993</v>
      </c>
      <c r="G395" s="19">
        <f t="shared" ref="G395:X395" si="2620">+G335+G371</f>
        <v>-7.4</v>
      </c>
      <c r="H395" s="19">
        <f t="shared" si="2620"/>
        <v>-7.8000000000000007</v>
      </c>
      <c r="I395" s="19">
        <f t="shared" si="2620"/>
        <v>-15.2</v>
      </c>
      <c r="J395" s="19">
        <f t="shared" ref="J395:L395" si="2621">+J335+J371</f>
        <v>-10.280000000000001</v>
      </c>
      <c r="K395" s="19">
        <f t="shared" si="2621"/>
        <v>-9.5960000000000001</v>
      </c>
      <c r="L395" s="309">
        <f t="shared" si="2621"/>
        <v>-19.876000000000001</v>
      </c>
      <c r="M395" s="19">
        <f t="shared" ref="M395:O395" si="2622">+M335+M371</f>
        <v>-11.337</v>
      </c>
      <c r="N395" s="19">
        <f t="shared" si="2622"/>
        <v>-14.469999999999999</v>
      </c>
      <c r="O395" s="309">
        <f t="shared" si="2622"/>
        <v>-25.806999999999999</v>
      </c>
      <c r="P395" s="19">
        <f t="shared" si="2620"/>
        <v>-15.33209005130584</v>
      </c>
      <c r="Q395" s="19">
        <f t="shared" si="2620"/>
        <v>-16.738813229192758</v>
      </c>
      <c r="R395" s="19">
        <f t="shared" si="2620"/>
        <v>-32.070903280498598</v>
      </c>
      <c r="S395" s="19">
        <f t="shared" si="2620"/>
        <v>-18.249033111082408</v>
      </c>
      <c r="T395" s="19">
        <f t="shared" si="2620"/>
        <v>-19.981174318116729</v>
      </c>
      <c r="U395" s="19">
        <f t="shared" si="2620"/>
        <v>-38.23020742919914</v>
      </c>
      <c r="V395" s="19">
        <f t="shared" si="2620"/>
        <v>-21.475484650673561</v>
      </c>
      <c r="W395" s="19">
        <f t="shared" si="2620"/>
        <v>-23.48253751812863</v>
      </c>
      <c r="X395" s="19">
        <f t="shared" si="2620"/>
        <v>-44.958022168802188</v>
      </c>
      <c r="Y395" s="19">
        <f t="shared" ref="Y395:AA395" si="2623">+Y335+Y371</f>
        <v>-24.829400796284247</v>
      </c>
      <c r="Z395" s="19">
        <f t="shared" si="2623"/>
        <v>-27.179843961104396</v>
      </c>
      <c r="AA395" s="19">
        <f t="shared" si="2623"/>
        <v>-52.009244757388643</v>
      </c>
      <c r="AB395" s="19">
        <f t="shared" ref="AB395:AP395" si="2624">+AB335+AB371</f>
        <v>-28.216389596220584</v>
      </c>
      <c r="AC395" s="19">
        <f t="shared" si="2624"/>
        <v>-30.917380423735011</v>
      </c>
      <c r="AD395" s="19">
        <f t="shared" si="2624"/>
        <v>-59.133770019955591</v>
      </c>
      <c r="AE395" s="19">
        <f t="shared" si="2624"/>
        <v>-31.577463479176132</v>
      </c>
      <c r="AF395" s="19">
        <f t="shared" si="2624"/>
        <v>-34.604266017102802</v>
      </c>
      <c r="AG395" s="19">
        <f t="shared" si="2624"/>
        <v>-66.181729496278933</v>
      </c>
      <c r="AH395" s="19">
        <f t="shared" si="2624"/>
        <v>-35.10899143695363</v>
      </c>
      <c r="AI395" s="19">
        <f t="shared" si="2624"/>
        <v>-38.477080075925748</v>
      </c>
      <c r="AJ395" s="19">
        <f t="shared" si="2624"/>
        <v>-73.586071512879386</v>
      </c>
      <c r="AK395" s="19">
        <f t="shared" si="2624"/>
        <v>-38.814642848957916</v>
      </c>
      <c r="AL395" s="19">
        <f t="shared" si="2624"/>
        <v>-42.53969530418167</v>
      </c>
      <c r="AM395" s="19">
        <f t="shared" si="2624"/>
        <v>-81.354338153139594</v>
      </c>
      <c r="AN395" s="19">
        <f t="shared" si="2624"/>
        <v>-41.796091141996499</v>
      </c>
      <c r="AO395" s="19">
        <f t="shared" si="2624"/>
        <v>-45.779301701981836</v>
      </c>
      <c r="AP395" s="19">
        <f t="shared" si="2624"/>
        <v>-87.575392843978335</v>
      </c>
      <c r="AQ395" s="19">
        <f t="shared" ref="AQ395:AS395" si="2625">+AQ335+AQ371</f>
        <v>-44.572997845690203</v>
      </c>
      <c r="AR395" s="19">
        <f t="shared" si="2625"/>
        <v>-48.817761210231012</v>
      </c>
      <c r="AS395" s="19">
        <f t="shared" si="2625"/>
        <v>-93.390759055921222</v>
      </c>
      <c r="AT395" s="19">
        <f t="shared" ref="AT395:AV395" si="2626">+AT335+AT371</f>
        <v>-47.378276555573137</v>
      </c>
      <c r="AU395" s="19">
        <f t="shared" si="2626"/>
        <v>-51.886179944879537</v>
      </c>
      <c r="AV395" s="19">
        <f t="shared" si="2626"/>
        <v>-99.264456500452667</v>
      </c>
    </row>
    <row r="396" spans="1:48" outlineLevel="1" x14ac:dyDescent="0.25">
      <c r="M396" s="8"/>
    </row>
    <row r="397" spans="1:48" outlineLevel="1" x14ac:dyDescent="0.25">
      <c r="A397" s="64"/>
      <c r="B397" s="67" t="s">
        <v>372</v>
      </c>
      <c r="C397" s="66"/>
      <c r="D397" s="65"/>
      <c r="E397" s="65"/>
      <c r="F397" s="65"/>
      <c r="G397" s="65"/>
      <c r="H397" s="65"/>
      <c r="I397" s="65"/>
      <c r="J397" s="65"/>
      <c r="K397" s="65"/>
      <c r="L397" s="375"/>
      <c r="M397" s="65"/>
      <c r="N397" s="65"/>
      <c r="O397" s="65"/>
      <c r="P397" s="65"/>
      <c r="Q397" s="65"/>
      <c r="R397" s="65"/>
      <c r="S397" s="65"/>
      <c r="T397" s="65"/>
      <c r="U397" s="65"/>
      <c r="V397" s="65"/>
      <c r="W397" s="65"/>
      <c r="X397" s="65"/>
      <c r="Y397" s="65"/>
      <c r="Z397" s="65"/>
      <c r="AA397" s="65"/>
      <c r="AB397" s="65"/>
      <c r="AC397" s="65"/>
      <c r="AD397" s="65"/>
      <c r="AE397" s="65"/>
      <c r="AF397" s="65"/>
      <c r="AG397" s="65"/>
      <c r="AH397" s="65"/>
      <c r="AI397" s="65"/>
      <c r="AJ397" s="65"/>
      <c r="AK397" s="65"/>
      <c r="AL397" s="65"/>
      <c r="AM397" s="65"/>
      <c r="AN397" s="65"/>
      <c r="AO397" s="65"/>
      <c r="AP397" s="65"/>
      <c r="AQ397" s="65"/>
      <c r="AR397" s="65"/>
      <c r="AS397" s="65"/>
      <c r="AT397" s="65"/>
      <c r="AU397" s="65"/>
      <c r="AV397" s="65"/>
    </row>
    <row r="398" spans="1:48" outlineLevel="1" x14ac:dyDescent="0.25">
      <c r="M398" s="8"/>
    </row>
    <row r="399" spans="1:48" outlineLevel="1" x14ac:dyDescent="0.25">
      <c r="B399" s="8" t="s">
        <v>373</v>
      </c>
      <c r="C399" s="22" t="s">
        <v>28</v>
      </c>
      <c r="J399" s="21">
        <f>+I401</f>
        <v>161.55199999999999</v>
      </c>
      <c r="K399" s="21">
        <f>+J401</f>
        <v>188</v>
      </c>
      <c r="L399" s="308">
        <f>+I401</f>
        <v>161.55199999999999</v>
      </c>
      <c r="M399" s="21">
        <f>+L401</f>
        <v>217.297</v>
      </c>
      <c r="N399" s="21">
        <f>+M401</f>
        <v>254.44800000000001</v>
      </c>
      <c r="O399" s="308">
        <f>+L401</f>
        <v>217.297</v>
      </c>
      <c r="P399" s="21">
        <f>+O401</f>
        <v>307.65899999999999</v>
      </c>
      <c r="Q399" s="21">
        <f ca="1">+P401</f>
        <v>326.556028557952</v>
      </c>
      <c r="R399" s="21">
        <f>O401</f>
        <v>307.65899999999999</v>
      </c>
      <c r="S399" s="21">
        <f ca="1">+R401</f>
        <v>339.32121211283487</v>
      </c>
      <c r="T399" s="21">
        <f ca="1">+S401</f>
        <v>363.77165535731621</v>
      </c>
      <c r="U399" s="21">
        <f ca="1">R401</f>
        <v>339.32121211283487</v>
      </c>
      <c r="V399" s="21">
        <f ca="1">+U401</f>
        <v>388.84734965109209</v>
      </c>
      <c r="W399" s="21">
        <f ca="1">+V401</f>
        <v>412.49727599351479</v>
      </c>
      <c r="X399" s="21">
        <f ca="1">U401</f>
        <v>388.84734965109209</v>
      </c>
      <c r="Y399" s="21">
        <f ca="1">+X401</f>
        <v>436.10614938272016</v>
      </c>
      <c r="Z399" s="21">
        <f ca="1">+Y401</f>
        <v>461.1514892260559</v>
      </c>
      <c r="AA399" s="21">
        <f ca="1">X401</f>
        <v>436.10614938272016</v>
      </c>
      <c r="AB399" s="21">
        <f t="shared" ref="AB399:AC399" ca="1" si="2627">+AA401</f>
        <v>483.73285765313244</v>
      </c>
      <c r="AC399" s="21">
        <f t="shared" ca="1" si="2627"/>
        <v>505.81524752560637</v>
      </c>
      <c r="AD399" s="21">
        <f t="shared" ref="AD399" ca="1" si="2628">AA401</f>
        <v>483.73285765313244</v>
      </c>
      <c r="AE399" s="21">
        <f t="shared" ref="AE399:AF399" ca="1" si="2629">+AD401</f>
        <v>523.66918061964645</v>
      </c>
      <c r="AF399" s="21">
        <f t="shared" ca="1" si="2629"/>
        <v>540.90138670426109</v>
      </c>
      <c r="AG399" s="21">
        <f t="shared" ref="AG399" ca="1" si="2630">AD401</f>
        <v>523.66918061964645</v>
      </c>
      <c r="AH399" s="21">
        <f t="shared" ref="AH399:AI399" ca="1" si="2631">+AG401</f>
        <v>555.69521098835799</v>
      </c>
      <c r="AI399" s="21">
        <f t="shared" ca="1" si="2631"/>
        <v>570.62903850215912</v>
      </c>
      <c r="AJ399" s="21">
        <f t="shared" ref="AJ399" ca="1" si="2632">AG401</f>
        <v>555.69521098835799</v>
      </c>
      <c r="AK399" s="21">
        <f t="shared" ref="AK399:AL399" ca="1" si="2633">+AJ401</f>
        <v>582.90375510312367</v>
      </c>
      <c r="AL399" s="21">
        <f t="shared" ca="1" si="2633"/>
        <v>595.3227930030904</v>
      </c>
      <c r="AM399" s="21">
        <f t="shared" ref="AM399" ca="1" si="2634">AJ401</f>
        <v>582.90375510312367</v>
      </c>
      <c r="AN399" s="21">
        <f t="shared" ref="AN399:AO399" ca="1" si="2635">+AM401</f>
        <v>604.85356802783269</v>
      </c>
      <c r="AO399" s="21">
        <f t="shared" ca="1" si="2635"/>
        <v>613.8175645225665</v>
      </c>
      <c r="AP399" s="21">
        <f t="shared" ref="AP399" ca="1" si="2636">AM401</f>
        <v>604.85356802783269</v>
      </c>
      <c r="AQ399" s="21">
        <f t="shared" ref="AQ399:AR399" ca="1" si="2637">+AP401</f>
        <v>619.97322389448573</v>
      </c>
      <c r="AR399" s="21">
        <f t="shared" ca="1" si="2637"/>
        <v>625.79445418200919</v>
      </c>
      <c r="AS399" s="21">
        <f t="shared" ref="AS399" ca="1" si="2638">AP401</f>
        <v>619.97322389448573</v>
      </c>
      <c r="AT399" s="21">
        <f t="shared" ref="AT399" ca="1" si="2639">+AS401</f>
        <v>629.79765947521287</v>
      </c>
      <c r="AU399" s="21">
        <f t="shared" ref="AU399" ca="1" si="2640">+AT401</f>
        <v>633.84147503235204</v>
      </c>
      <c r="AV399" s="21">
        <f t="shared" ref="AV399" ca="1" si="2641">AS401</f>
        <v>629.79765947521287</v>
      </c>
    </row>
    <row r="400" spans="1:48" outlineLevel="1" x14ac:dyDescent="0.25">
      <c r="B400" s="8" t="s">
        <v>190</v>
      </c>
      <c r="C400" s="22" t="s">
        <v>28</v>
      </c>
      <c r="J400" s="21">
        <f t="shared" ref="J400" si="2642">J401-J399</f>
        <v>26.448000000000008</v>
      </c>
      <c r="K400" s="21">
        <f>K401-K399</f>
        <v>29.296999999999997</v>
      </c>
      <c r="L400" s="308">
        <f>L401-L399</f>
        <v>55.745000000000005</v>
      </c>
      <c r="M400" s="21">
        <f t="shared" ref="M400:N400" si="2643">M401-M399</f>
        <v>37.15100000000001</v>
      </c>
      <c r="N400" s="21">
        <f t="shared" si="2643"/>
        <v>53.210999999999984</v>
      </c>
      <c r="O400" s="308">
        <f>O401-O399</f>
        <v>90.361999999999995</v>
      </c>
      <c r="P400" s="490">
        <f ca="1">P356+'Financial Statements'!P143</f>
        <v>18.897028557951998</v>
      </c>
      <c r="Q400" s="21">
        <f ca="1">Q356+'Financial Statements'!Q143</f>
        <v>12.765183554882888</v>
      </c>
      <c r="R400" s="21">
        <f ca="1">P400+Q400</f>
        <v>31.662212112834887</v>
      </c>
      <c r="S400" s="21">
        <f ca="1">S356+'Financial Statements'!S143</f>
        <v>24.45044324448029</v>
      </c>
      <c r="T400" s="21">
        <f ca="1">T356+'Financial Statements'!T143</f>
        <v>25.075694293774973</v>
      </c>
      <c r="U400" s="21">
        <f ca="1">S400+T400</f>
        <v>49.526137538255263</v>
      </c>
      <c r="V400" s="21">
        <f ca="1">V356+'Financial Statements'!V143</f>
        <v>23.649926342403781</v>
      </c>
      <c r="W400" s="21">
        <f ca="1">W356+'Financial Statements'!W143</f>
        <v>23.608873389191203</v>
      </c>
      <c r="X400" s="21">
        <f ca="1">V400+W400</f>
        <v>47.258799731594983</v>
      </c>
      <c r="Y400" s="21">
        <f ca="1">Y356+'Financial Statements'!Y143</f>
        <v>25.045339843272647</v>
      </c>
      <c r="Z400" s="21">
        <f ca="1">Z356+'Financial Statements'!Z143</f>
        <v>22.581368427040335</v>
      </c>
      <c r="AA400" s="21">
        <f ca="1">Y400+Z400</f>
        <v>47.626708270312982</v>
      </c>
      <c r="AB400" s="21">
        <f ca="1">AB356+'Financial Statements'!AB143</f>
        <v>22.082389873533042</v>
      </c>
      <c r="AC400" s="21">
        <f ca="1">AC356+'Financial Statements'!AC143</f>
        <v>17.853933094688312</v>
      </c>
      <c r="AD400" s="21">
        <f t="shared" ref="AD400" ca="1" si="2644">AB400+AC400</f>
        <v>39.936322968221354</v>
      </c>
      <c r="AE400" s="21">
        <f ca="1">AE356+'Financial Statements'!AE143</f>
        <v>17.232206096471828</v>
      </c>
      <c r="AF400" s="21">
        <f ca="1">AF356+'Financial Statements'!AF143</f>
        <v>14.793824290044256</v>
      </c>
      <c r="AG400" s="21">
        <f t="shared" ref="AG400" ca="1" si="2645">AE400+AF400</f>
        <v>32.026030386516084</v>
      </c>
      <c r="AH400" s="21">
        <f ca="1">AH356+'Financial Statements'!AH143</f>
        <v>14.93382754304924</v>
      </c>
      <c r="AI400" s="21">
        <f ca="1">AI356+'Financial Statements'!AI143</f>
        <v>12.274716612446355</v>
      </c>
      <c r="AJ400" s="21">
        <f t="shared" ref="AJ400" ca="1" si="2646">AH400+AI400</f>
        <v>27.208544155495595</v>
      </c>
      <c r="AK400" s="21">
        <f ca="1">AK356+'Financial Statements'!AK143</f>
        <v>12.419037921832782</v>
      </c>
      <c r="AL400" s="21">
        <f ca="1">AL356+'Financial Statements'!AL143</f>
        <v>9.5307750365152017</v>
      </c>
      <c r="AM400" s="21">
        <f t="shared" ref="AM400" ca="1" si="2647">AK400+AL400</f>
        <v>21.949812958347984</v>
      </c>
      <c r="AN400" s="21">
        <f ca="1">AN356+'Financial Statements'!AN143</f>
        <v>8.9639955508521396</v>
      </c>
      <c r="AO400" s="21">
        <f ca="1">AO356+'Financial Statements'!AO143</f>
        <v>6.1556590327095293</v>
      </c>
      <c r="AP400" s="21">
        <f t="shared" ref="AP400" ca="1" si="2648">AN400+AO400</f>
        <v>15.119654583561669</v>
      </c>
      <c r="AQ400" s="21">
        <f ca="1">AQ356+'Financial Statements'!AQ143</f>
        <v>5.8212273355838846</v>
      </c>
      <c r="AR400" s="21">
        <f ca="1">AR356+'Financial Statements'!AR143</f>
        <v>4.0032044816385834</v>
      </c>
      <c r="AS400" s="21">
        <f t="shared" ref="AS400" ca="1" si="2649">AQ400+AR400</f>
        <v>9.8244318172224681</v>
      </c>
      <c r="AT400" s="21">
        <f ca="1">AT356+'Financial Statements'!AT143</f>
        <v>4.0438129730361467</v>
      </c>
      <c r="AU400" s="21">
        <f ca="1">AU356+'Financial Statements'!AU143</f>
        <v>2.136978106140198</v>
      </c>
      <c r="AV400" s="21">
        <f t="shared" ref="AV400" ca="1" si="2650">AT400+AU400</f>
        <v>6.1807910791763447</v>
      </c>
    </row>
    <row r="401" spans="1:58" outlineLevel="1" x14ac:dyDescent="0.25">
      <c r="B401" s="8" t="s">
        <v>374</v>
      </c>
      <c r="C401" s="22" t="s">
        <v>28</v>
      </c>
      <c r="I401" s="8">
        <f>+'Financial Statements'!I103</f>
        <v>161.55199999999999</v>
      </c>
      <c r="J401" s="8">
        <f>+'Financial Statements'!J103</f>
        <v>188</v>
      </c>
      <c r="K401" s="8">
        <f>+'Financial Statements'!K103</f>
        <v>217.297</v>
      </c>
      <c r="L401" s="308">
        <f>K401</f>
        <v>217.297</v>
      </c>
      <c r="M401" s="8">
        <f>+'Financial Statements'!M103</f>
        <v>254.44800000000001</v>
      </c>
      <c r="N401" s="8">
        <f>+'Financial Statements'!N103</f>
        <v>307.65899999999999</v>
      </c>
      <c r="O401" s="308">
        <f>N401</f>
        <v>307.65899999999999</v>
      </c>
      <c r="P401" s="21">
        <f ca="1">+P399+P400</f>
        <v>326.556028557952</v>
      </c>
      <c r="Q401" s="21">
        <f t="shared" ref="Q401" ca="1" si="2651">+Q399+Q400</f>
        <v>339.32121211283487</v>
      </c>
      <c r="R401" s="21">
        <f t="shared" ref="R401" ca="1" si="2652">+R399+R400</f>
        <v>339.32121211283487</v>
      </c>
      <c r="S401" s="21">
        <f ca="1">+S399+S400</f>
        <v>363.77165535731518</v>
      </c>
      <c r="T401" s="21">
        <f t="shared" ref="T401" ca="1" si="2653">+T399+T400</f>
        <v>388.84734965109118</v>
      </c>
      <c r="U401" s="21">
        <f t="shared" ref="U401" ca="1" si="2654">+U399+U400</f>
        <v>388.84734965109016</v>
      </c>
      <c r="V401" s="21">
        <f ca="1">+V399+V400</f>
        <v>412.49727599349586</v>
      </c>
      <c r="W401" s="21">
        <f t="shared" ref="W401" ca="1" si="2655">+W399+W400</f>
        <v>436.10614938270601</v>
      </c>
      <c r="X401" s="21">
        <f t="shared" ref="X401" ca="1" si="2656">+X399+X400</f>
        <v>436.10614938268708</v>
      </c>
      <c r="Y401" s="21">
        <f ca="1">+Y399+Y400</f>
        <v>461.1514892259928</v>
      </c>
      <c r="Z401" s="21">
        <f t="shared" ref="Z401:AB401" ca="1" si="2657">+Z399+Z400</f>
        <v>483.73285765309623</v>
      </c>
      <c r="AA401" s="21">
        <f t="shared" ca="1" si="2657"/>
        <v>483.73285765303314</v>
      </c>
      <c r="AB401" s="21">
        <f t="shared" ca="1" si="2657"/>
        <v>505.81524752666547</v>
      </c>
      <c r="AC401" s="21">
        <f t="shared" ref="AC401:AP401" ca="1" si="2658">+AC399+AC400</f>
        <v>523.6691806202947</v>
      </c>
      <c r="AD401" s="21">
        <f t="shared" ca="1" si="2658"/>
        <v>523.6691806213538</v>
      </c>
      <c r="AE401" s="21">
        <f t="shared" ca="1" si="2658"/>
        <v>540.90138671611828</v>
      </c>
      <c r="AF401" s="21">
        <f t="shared" ca="1" si="2658"/>
        <v>555.6952109943054</v>
      </c>
      <c r="AG401" s="21">
        <f t="shared" ca="1" si="2658"/>
        <v>555.69521100616248</v>
      </c>
      <c r="AH401" s="21">
        <f t="shared" ca="1" si="2658"/>
        <v>570.62903853140722</v>
      </c>
      <c r="AI401" s="21">
        <f t="shared" ca="1" si="2658"/>
        <v>582.90375511460547</v>
      </c>
      <c r="AJ401" s="21">
        <f t="shared" ca="1" si="2658"/>
        <v>582.90375514385357</v>
      </c>
      <c r="AK401" s="21">
        <f t="shared" ca="1" si="2658"/>
        <v>595.32279302495647</v>
      </c>
      <c r="AL401" s="21">
        <f t="shared" ca="1" si="2658"/>
        <v>604.85356803960565</v>
      </c>
      <c r="AM401" s="21">
        <f t="shared" ca="1" si="2658"/>
        <v>604.85356806147161</v>
      </c>
      <c r="AN401" s="21">
        <f t="shared" ca="1" si="2658"/>
        <v>613.81756357868483</v>
      </c>
      <c r="AO401" s="21">
        <f t="shared" ca="1" si="2658"/>
        <v>619.97322355527604</v>
      </c>
      <c r="AP401" s="21">
        <f t="shared" ca="1" si="2658"/>
        <v>619.97322261139436</v>
      </c>
      <c r="AQ401" s="21">
        <f t="shared" ref="AQ401:AS401" ca="1" si="2659">+AQ399+AQ400</f>
        <v>625.79445123006963</v>
      </c>
      <c r="AR401" s="21">
        <f t="shared" ca="1" si="2659"/>
        <v>629.79765866364778</v>
      </c>
      <c r="AS401" s="21">
        <f t="shared" ca="1" si="2659"/>
        <v>629.79765571170822</v>
      </c>
      <c r="AT401" s="21">
        <f t="shared" ref="AT401:AV401" ca="1" si="2660">+AT399+AT400</f>
        <v>633.84147244824896</v>
      </c>
      <c r="AU401" s="21">
        <f t="shared" ca="1" si="2660"/>
        <v>635.97845313849223</v>
      </c>
      <c r="AV401" s="21">
        <f t="shared" ca="1" si="2660"/>
        <v>635.97845055438916</v>
      </c>
    </row>
    <row r="402" spans="1:58" outlineLevel="1" x14ac:dyDescent="0.25">
      <c r="M402" s="8"/>
    </row>
    <row r="403" spans="1:58" outlineLevel="1" x14ac:dyDescent="0.25">
      <c r="M403" s="8"/>
    </row>
    <row r="404" spans="1:58" outlineLevel="1" x14ac:dyDescent="0.25">
      <c r="A404" s="64"/>
      <c r="B404" s="67" t="s">
        <v>119</v>
      </c>
      <c r="C404" s="66"/>
      <c r="D404" s="65"/>
      <c r="E404" s="65"/>
      <c r="F404" s="65"/>
      <c r="G404" s="65"/>
      <c r="H404" s="65"/>
      <c r="I404" s="65"/>
      <c r="J404" s="65"/>
      <c r="K404" s="65"/>
      <c r="L404" s="375"/>
      <c r="M404" s="65"/>
      <c r="N404" s="65"/>
      <c r="O404" s="65"/>
      <c r="P404" s="65"/>
      <c r="Q404" s="65"/>
      <c r="R404" s="65"/>
      <c r="S404" s="65"/>
      <c r="T404" s="65"/>
      <c r="U404" s="65"/>
      <c r="V404" s="65"/>
      <c r="W404" s="65"/>
      <c r="X404" s="65"/>
      <c r="Y404" s="65"/>
      <c r="Z404" s="65"/>
      <c r="AA404" s="65"/>
      <c r="AB404" s="65"/>
      <c r="AC404" s="65"/>
      <c r="AD404" s="65"/>
      <c r="AE404" s="65"/>
      <c r="AF404" s="65"/>
      <c r="AG404" s="65"/>
      <c r="AH404" s="65"/>
      <c r="AI404" s="65"/>
      <c r="AJ404" s="65"/>
      <c r="AK404" s="65"/>
      <c r="AL404" s="65"/>
      <c r="AM404" s="65"/>
      <c r="AN404" s="65"/>
      <c r="AO404" s="65"/>
      <c r="AP404" s="65"/>
      <c r="AQ404" s="65"/>
      <c r="AR404" s="65"/>
      <c r="AS404" s="65"/>
      <c r="AT404" s="65"/>
      <c r="AU404" s="65"/>
      <c r="AV404" s="65"/>
    </row>
    <row r="405" spans="1:58" outlineLevel="1" x14ac:dyDescent="0.25">
      <c r="M405" s="8"/>
    </row>
    <row r="406" spans="1:58" outlineLevel="1" x14ac:dyDescent="0.25">
      <c r="M406" s="8"/>
    </row>
    <row r="407" spans="1:58" outlineLevel="1" x14ac:dyDescent="0.25">
      <c r="B407" s="8" t="s">
        <v>172</v>
      </c>
      <c r="C407" s="22" t="s">
        <v>28</v>
      </c>
      <c r="I407" s="19">
        <f>+'Financial Statements'!I86</f>
        <v>58.561</v>
      </c>
      <c r="J407" s="19">
        <f>+'Financial Statements'!J86</f>
        <v>57.6</v>
      </c>
      <c r="K407" s="19">
        <f>+'Financial Statements'!K86</f>
        <v>114.404</v>
      </c>
      <c r="L407" s="309">
        <f>+'Financial Statements'!L86</f>
        <v>114.404</v>
      </c>
      <c r="M407" s="19">
        <f>+'Financial Statements'!M86</f>
        <v>137.32</v>
      </c>
      <c r="N407" s="19">
        <f>+'Financial Statements'!N86</f>
        <v>162.34700000000001</v>
      </c>
      <c r="O407" s="309">
        <f>+'Financial Statements'!O86</f>
        <v>162.34700000000001</v>
      </c>
      <c r="P407" s="21">
        <f>P408*(P$89+P$104+P$128)*2</f>
        <v>180.34285390464058</v>
      </c>
      <c r="Q407" s="21">
        <f t="shared" ref="Q407" si="2661">+R407</f>
        <v>185.34779679751318</v>
      </c>
      <c r="R407" s="21">
        <f>R408*(R$89+R$104+R$128)</f>
        <v>185.34779679751318</v>
      </c>
      <c r="S407" s="21">
        <f>S408*(S$89+S$104+S$128)*2</f>
        <v>209.59638093174812</v>
      </c>
      <c r="T407" s="21">
        <f t="shared" ref="T407" si="2662">+U407</f>
        <v>219.72210901981927</v>
      </c>
      <c r="U407" s="21">
        <f>U408*(U$89+U$104+U$128)</f>
        <v>219.72210901981927</v>
      </c>
      <c r="V407" s="21">
        <f>V408*(V$89+V$104+V$128)*2</f>
        <v>246.63530155838225</v>
      </c>
      <c r="W407" s="21">
        <f t="shared" ref="W407" si="2663">+X407</f>
        <v>258.56221664455262</v>
      </c>
      <c r="X407" s="21">
        <f>X408*(X$89+X$104+X$128)</f>
        <v>258.56221664455262</v>
      </c>
      <c r="Y407" s="21">
        <f>Y408*(Y$89+Y$104+Y$128)*2</f>
        <v>289.80256433332198</v>
      </c>
      <c r="Z407" s="21">
        <f>+AA407</f>
        <v>302.9888149409062</v>
      </c>
      <c r="AA407" s="21">
        <f>AA408*(AA$89+AA$104+AA$128)</f>
        <v>302.9888149409062</v>
      </c>
      <c r="AB407" s="21">
        <f>AB408*(AB$89+AB$104+AB$128)*2</f>
        <v>335.80152388555513</v>
      </c>
      <c r="AC407" s="21">
        <f t="shared" ref="AC407" si="2664">+AD407</f>
        <v>349.52015252376526</v>
      </c>
      <c r="AD407" s="21">
        <f>AD408*(AD$89+AD$104+AD$128)</f>
        <v>349.52015252376526</v>
      </c>
      <c r="AE407" s="21">
        <f>AE408*(AE$89+AE$104+AE$128)*2</f>
        <v>382.25331317518953</v>
      </c>
      <c r="AF407" s="21">
        <f t="shared" ref="AF407" si="2665">+AG407</f>
        <v>397.29523329826975</v>
      </c>
      <c r="AG407" s="21">
        <f>AG408*(AG$89+AG$104+AG$128)</f>
        <v>397.29523329826975</v>
      </c>
      <c r="AH407" s="21">
        <f>AH408*(AH$89+AH$104+AH$128)*2</f>
        <v>432.44614097380128</v>
      </c>
      <c r="AI407" s="21">
        <f t="shared" ref="AI407" si="2666">+AJ407</f>
        <v>448.9087619724408</v>
      </c>
      <c r="AJ407" s="21">
        <f>AJ408*(AJ$89+AJ$104+AJ$128)</f>
        <v>448.9087619724408</v>
      </c>
      <c r="AK407" s="21">
        <f>AK408*(AK$89+AK$104+AK$128)*2</f>
        <v>486.64309091158935</v>
      </c>
      <c r="AL407" s="21">
        <f t="shared" ref="AL407" si="2667">+AM407</f>
        <v>504.630121696483</v>
      </c>
      <c r="AM407" s="21">
        <f>AM408*(AM$89+AM$104+AM$128)</f>
        <v>504.630121696483</v>
      </c>
      <c r="AN407" s="21">
        <f>AN408*(AN$89+AN$104+AN$128)*2</f>
        <v>534.35407618433646</v>
      </c>
      <c r="AO407" s="21">
        <f t="shared" ref="AO407:AR407" si="2668">+AP407</f>
        <v>552.64833825596725</v>
      </c>
      <c r="AP407" s="21">
        <f>AP408*(AP$89+AP$104+AP$128)</f>
        <v>552.64833825596725</v>
      </c>
      <c r="AQ407" s="21">
        <f>AQ408*(AQ$89+AQ$104+AQ$128)*2</f>
        <v>580.54496163438444</v>
      </c>
      <c r="AR407" s="21">
        <f t="shared" si="2668"/>
        <v>600.05344794211942</v>
      </c>
      <c r="AS407" s="21">
        <f>AS408*(AS$89+AS$104+AS$128)</f>
        <v>600.05344794211942</v>
      </c>
      <c r="AT407" s="21">
        <f>AT408*(AT$89+AT$104+AT$128)*2</f>
        <v>628.99964922728213</v>
      </c>
      <c r="AU407" s="21">
        <f t="shared" ref="AU407" si="2669">+AV407</f>
        <v>649.77839433695215</v>
      </c>
      <c r="AV407" s="21">
        <f>AV408*(AV$89+AV$104+AV$128)</f>
        <v>649.77839433695215</v>
      </c>
    </row>
    <row r="408" spans="1:58" outlineLevel="1" x14ac:dyDescent="0.25">
      <c r="B408" s="8" t="s">
        <v>173</v>
      </c>
      <c r="C408" s="22" t="s">
        <v>29</v>
      </c>
      <c r="J408" s="304">
        <f>J407/(J89+J104+J128)*0.5</f>
        <v>8.76979293544458E-2</v>
      </c>
      <c r="K408" s="304">
        <f>K407/(K89+K104+K128)*0.5</f>
        <v>0.16745316159250584</v>
      </c>
      <c r="L408" s="314">
        <f>L407/(L89+L104+L128)</f>
        <v>0.17075223880597015</v>
      </c>
      <c r="M408" s="304">
        <f>M407/(M89+M104+M128)*0.5</f>
        <v>0.17296932351511146</v>
      </c>
      <c r="N408" s="304">
        <f>N407/(N89+N104+N128)*0.5</f>
        <v>0.19714220487624809</v>
      </c>
      <c r="O408" s="314">
        <f>O407/(O89+O104+O128)</f>
        <v>0.20075058736243356</v>
      </c>
      <c r="P408" s="208">
        <f t="shared" ref="P408" si="2670">+O408</f>
        <v>0.20075058736243356</v>
      </c>
      <c r="Q408" s="209">
        <f>Q407/(Q$89+Q$104+Q$128)*0.5</f>
        <v>0.19547225395313325</v>
      </c>
      <c r="R408" s="208">
        <f t="shared" ref="R408" si="2671">+P408</f>
        <v>0.20075058736243356</v>
      </c>
      <c r="S408" s="208">
        <f t="shared" ref="S408" si="2672">+R408</f>
        <v>0.20075058736243356</v>
      </c>
      <c r="T408" s="209">
        <f>T407/(T$89+T$104+T$128)*0.5</f>
        <v>0.19190671096694503</v>
      </c>
      <c r="U408" s="208">
        <f t="shared" ref="U408" si="2673">+S408</f>
        <v>0.20075058736243356</v>
      </c>
      <c r="V408" s="208">
        <f t="shared" ref="V408" si="2674">+U408</f>
        <v>0.20075058736243356</v>
      </c>
      <c r="W408" s="209">
        <f>W407/(W$89+W$104+W$128)*0.5</f>
        <v>0.19189871522379931</v>
      </c>
      <c r="X408" s="208">
        <f t="shared" ref="X408" si="2675">+V408</f>
        <v>0.20075058736243356</v>
      </c>
      <c r="Y408" s="208">
        <f>+X408</f>
        <v>0.20075058736243356</v>
      </c>
      <c r="Z408" s="209">
        <f>Z407/(Z$89+Z$104+Z$128)*0.5</f>
        <v>0.19237817649572406</v>
      </c>
      <c r="AA408" s="208">
        <f>+Y408</f>
        <v>0.20075058736243356</v>
      </c>
      <c r="AB408" s="208">
        <f t="shared" ref="AB408" si="2676">+AA408</f>
        <v>0.20075058736243356</v>
      </c>
      <c r="AC408" s="209">
        <f>AC407/(AC$89+AC$104+AC$128)*0.5</f>
        <v>0.1931687351490827</v>
      </c>
      <c r="AD408" s="208">
        <f t="shared" ref="AD408" si="2677">+AB408</f>
        <v>0.20075058736243356</v>
      </c>
      <c r="AE408" s="208">
        <f t="shared" ref="AE408" si="2678">+AD408</f>
        <v>0.20075058736243356</v>
      </c>
      <c r="AF408" s="209">
        <f>AF407/(AF$89+AF$104+AF$128)*0.5</f>
        <v>0.19342727372282686</v>
      </c>
      <c r="AG408" s="208">
        <f t="shared" ref="AG408" si="2679">+AE408</f>
        <v>0.20075058736243356</v>
      </c>
      <c r="AH408" s="208">
        <f t="shared" ref="AH408" si="2680">+AG408</f>
        <v>0.20075058736243356</v>
      </c>
      <c r="AI408" s="209">
        <f>AI407/(AI$89+AI$104+AI$128)*0.5</f>
        <v>0.19364898860510862</v>
      </c>
      <c r="AJ408" s="208">
        <f t="shared" ref="AJ408" si="2681">+AH408</f>
        <v>0.20075058736243356</v>
      </c>
      <c r="AK408" s="208">
        <f t="shared" ref="AK408" si="2682">+AJ408</f>
        <v>0.20075058736243356</v>
      </c>
      <c r="AL408" s="209">
        <f>AL407/(AL$89+AL$104+AL$128)*0.5</f>
        <v>0.19384130974337907</v>
      </c>
      <c r="AM408" s="208">
        <f t="shared" ref="AM408" si="2683">+AK408</f>
        <v>0.20075058736243356</v>
      </c>
      <c r="AN408" s="208">
        <f t="shared" ref="AN408:AQ408" si="2684">+AM408</f>
        <v>0.20075058736243356</v>
      </c>
      <c r="AO408" s="209">
        <f>AO407/(AO$89+AO$104+AO$128)*0.5</f>
        <v>0.19431809510465689</v>
      </c>
      <c r="AP408" s="208">
        <f t="shared" ref="AP408" si="2685">+AN408</f>
        <v>0.20075058736243356</v>
      </c>
      <c r="AQ408" s="208">
        <f t="shared" si="2684"/>
        <v>0.20075058736243356</v>
      </c>
      <c r="AR408" s="209">
        <f>AR407/(AR$89+AR$104+AR$128)*0.5</f>
        <v>0.19442944355366881</v>
      </c>
      <c r="AS408" s="208">
        <f t="shared" ref="AS408" si="2686">+AQ408</f>
        <v>0.20075058736243356</v>
      </c>
      <c r="AT408" s="208">
        <f t="shared" ref="AT408" si="2687">+AS408</f>
        <v>0.20075058736243356</v>
      </c>
      <c r="AU408" s="209">
        <f>AU407/(AU$89+AU$104+AU$128)*0.5</f>
        <v>0.19452987172161137</v>
      </c>
      <c r="AV408" s="208">
        <f t="shared" ref="AV408" si="2688">+AT408</f>
        <v>0.20075058736243356</v>
      </c>
      <c r="BF408" s="61"/>
    </row>
    <row r="409" spans="1:58" outlineLevel="1" x14ac:dyDescent="0.25">
      <c r="B409" s="8" t="s">
        <v>145</v>
      </c>
      <c r="C409" s="22" t="s">
        <v>29</v>
      </c>
      <c r="M409" s="8"/>
      <c r="O409" s="313"/>
      <c r="P409" s="14">
        <f t="shared" ref="P409:X409" si="2689">+P407/M407-1</f>
        <v>0.31330362587125382</v>
      </c>
      <c r="Q409" s="14">
        <f t="shared" si="2689"/>
        <v>0.14167675902550192</v>
      </c>
      <c r="R409" s="14">
        <f t="shared" si="2689"/>
        <v>0.14167675902550192</v>
      </c>
      <c r="S409" s="14">
        <f t="shared" si="2689"/>
        <v>0.16221062489437954</v>
      </c>
      <c r="T409" s="14">
        <f t="shared" si="2689"/>
        <v>0.18545843444720833</v>
      </c>
      <c r="U409" s="14">
        <f t="shared" si="2689"/>
        <v>0.18545843444720833</v>
      </c>
      <c r="V409" s="14">
        <f t="shared" si="2689"/>
        <v>0.17671545883559547</v>
      </c>
      <c r="W409" s="14">
        <f t="shared" si="2689"/>
        <v>0.17676922817644125</v>
      </c>
      <c r="X409" s="14">
        <f t="shared" si="2689"/>
        <v>0.17676922817644125</v>
      </c>
      <c r="Y409" s="14">
        <f>+Y407/V407-1</f>
        <v>0.17502467206512762</v>
      </c>
      <c r="Z409" s="14">
        <f>+Z407/W407-1</f>
        <v>0.17182169488215338</v>
      </c>
      <c r="AA409" s="14">
        <f>+AA407/X407-1</f>
        <v>0.17182169488215338</v>
      </c>
      <c r="AB409" s="14">
        <f t="shared" ref="AB409:AP409" si="2690">+AB407/Y407-1</f>
        <v>0.15872516400278136</v>
      </c>
      <c r="AC409" s="14">
        <f t="shared" si="2690"/>
        <v>0.15357444000675202</v>
      </c>
      <c r="AD409" s="14">
        <f t="shared" si="2690"/>
        <v>0.15357444000675202</v>
      </c>
      <c r="AE409" s="14">
        <f t="shared" si="2690"/>
        <v>0.13833108543445949</v>
      </c>
      <c r="AF409" s="14">
        <f t="shared" si="2690"/>
        <v>0.13668762853740191</v>
      </c>
      <c r="AG409" s="14">
        <f t="shared" si="2690"/>
        <v>0.13668762853740191</v>
      </c>
      <c r="AH409" s="14">
        <f t="shared" si="2690"/>
        <v>0.13130776390578469</v>
      </c>
      <c r="AI409" s="14">
        <f t="shared" si="2690"/>
        <v>0.12991227769254943</v>
      </c>
      <c r="AJ409" s="14">
        <f t="shared" si="2690"/>
        <v>0.12991227769254943</v>
      </c>
      <c r="AK409" s="14">
        <f t="shared" si="2690"/>
        <v>0.12532647375635042</v>
      </c>
      <c r="AL409" s="14">
        <f t="shared" si="2690"/>
        <v>0.12412624667696504</v>
      </c>
      <c r="AM409" s="14">
        <f t="shared" si="2690"/>
        <v>0.12412624667696504</v>
      </c>
      <c r="AN409" s="14">
        <f t="shared" si="2690"/>
        <v>9.8041020542126489E-2</v>
      </c>
      <c r="AO409" s="14">
        <f t="shared" si="2690"/>
        <v>9.5155272138838898E-2</v>
      </c>
      <c r="AP409" s="14">
        <f t="shared" si="2690"/>
        <v>9.5155272138838898E-2</v>
      </c>
      <c r="AQ409" s="14">
        <f t="shared" ref="AQ409" si="2691">+AQ407/AN407-1</f>
        <v>8.644246859663407E-2</v>
      </c>
      <c r="AR409" s="14">
        <f t="shared" ref="AR409" si="2692">+AR407/AO407-1</f>
        <v>8.577807333276688E-2</v>
      </c>
      <c r="AS409" s="14">
        <f t="shared" ref="AS409" si="2693">+AS407/AP407-1</f>
        <v>8.577807333276688E-2</v>
      </c>
      <c r="AT409" s="14">
        <f t="shared" ref="AT409" si="2694">+AT407/AQ407-1</f>
        <v>8.3464142822780252E-2</v>
      </c>
      <c r="AU409" s="14">
        <f t="shared" ref="AU409" si="2695">+AU407/AR407-1</f>
        <v>8.2867528826580772E-2</v>
      </c>
      <c r="AV409" s="14">
        <f t="shared" ref="AV409" si="2696">+AV407/AS407-1</f>
        <v>8.2867528826580772E-2</v>
      </c>
      <c r="BF409" s="69"/>
    </row>
    <row r="410" spans="1:58" outlineLevel="1" x14ac:dyDescent="0.25">
      <c r="M410" s="8"/>
      <c r="O410" s="313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  <c r="AB410" s="14"/>
      <c r="AC410" s="14"/>
      <c r="AD410" s="14"/>
      <c r="AE410" s="14"/>
      <c r="AF410" s="14"/>
      <c r="AG410" s="14"/>
      <c r="AH410" s="14"/>
      <c r="AI410" s="14"/>
      <c r="AJ410" s="14"/>
      <c r="AK410" s="14"/>
      <c r="AL410" s="14"/>
      <c r="AM410" s="14"/>
      <c r="AN410" s="14"/>
      <c r="AO410" s="14"/>
      <c r="AP410" s="14"/>
      <c r="AQ410" s="14"/>
      <c r="AR410" s="14"/>
      <c r="AS410" s="14"/>
      <c r="AT410" s="14"/>
      <c r="AU410" s="14"/>
      <c r="AV410" s="14"/>
    </row>
    <row r="411" spans="1:58" outlineLevel="1" x14ac:dyDescent="0.25">
      <c r="B411" s="8" t="s">
        <v>224</v>
      </c>
      <c r="C411" s="22" t="s">
        <v>28</v>
      </c>
      <c r="K411" s="21">
        <f>+K407-J407</f>
        <v>56.803999999999995</v>
      </c>
      <c r="L411" s="308">
        <f>+L407-I407</f>
        <v>55.842999999999996</v>
      </c>
      <c r="M411" s="212">
        <f>+M407-L407</f>
        <v>22.915999999999997</v>
      </c>
      <c r="N411" s="21">
        <f>+N407-M407</f>
        <v>25.027000000000015</v>
      </c>
      <c r="O411" s="308">
        <f>+O407-L407</f>
        <v>47.943000000000012</v>
      </c>
      <c r="P411" s="212">
        <f>+P407-O407</f>
        <v>17.995853904640569</v>
      </c>
      <c r="Q411" s="212">
        <f>+Q407-P407</f>
        <v>5.0049428928726059</v>
      </c>
      <c r="R411" s="212">
        <f>+R407-O407</f>
        <v>23.000796797513175</v>
      </c>
      <c r="S411" s="212">
        <f>+S407-R407</f>
        <v>24.248584134234932</v>
      </c>
      <c r="T411" s="212">
        <f>+T407-S407</f>
        <v>10.125728088071156</v>
      </c>
      <c r="U411" s="212">
        <f>+U407-R407</f>
        <v>34.374312222306088</v>
      </c>
      <c r="V411" s="212">
        <f>+V407-U407</f>
        <v>26.913192538562981</v>
      </c>
      <c r="W411" s="212">
        <f>+W407-V407</f>
        <v>11.926915086170368</v>
      </c>
      <c r="X411" s="212">
        <f>+X407-U407</f>
        <v>38.840107624733349</v>
      </c>
      <c r="Y411" s="212">
        <f t="shared" ref="Y411:Z411" si="2697">+Y407-X407</f>
        <v>31.240347688769361</v>
      </c>
      <c r="Z411" s="212">
        <f t="shared" si="2697"/>
        <v>13.186250607584213</v>
      </c>
      <c r="AA411" s="212">
        <f t="shared" ref="AA411" si="2698">+AA407-X407</f>
        <v>44.426598296353575</v>
      </c>
      <c r="AB411" s="212">
        <f t="shared" ref="AB411:AC411" si="2699">+AB407-AA407</f>
        <v>32.812708944648932</v>
      </c>
      <c r="AC411" s="212">
        <f t="shared" si="2699"/>
        <v>13.718628638210134</v>
      </c>
      <c r="AD411" s="212">
        <f t="shared" ref="AD411" si="2700">+AD407-AA407</f>
        <v>46.531337582859067</v>
      </c>
      <c r="AE411" s="212">
        <f t="shared" ref="AE411:AF411" si="2701">+AE407-AD407</f>
        <v>32.733160651424271</v>
      </c>
      <c r="AF411" s="212">
        <f t="shared" si="2701"/>
        <v>15.041920123080217</v>
      </c>
      <c r="AG411" s="212">
        <f t="shared" ref="AG411" si="2702">+AG407-AD407</f>
        <v>47.775080774504488</v>
      </c>
      <c r="AH411" s="212">
        <f t="shared" ref="AH411:AI411" si="2703">+AH407-AG407</f>
        <v>35.150907675531528</v>
      </c>
      <c r="AI411" s="212">
        <f t="shared" si="2703"/>
        <v>16.462620998639522</v>
      </c>
      <c r="AJ411" s="212">
        <f t="shared" ref="AJ411" si="2704">+AJ407-AG407</f>
        <v>51.61352867417105</v>
      </c>
      <c r="AK411" s="212">
        <f t="shared" ref="AK411:AL411" si="2705">+AK407-AJ407</f>
        <v>37.734328939148554</v>
      </c>
      <c r="AL411" s="212">
        <f t="shared" si="2705"/>
        <v>17.987030784893648</v>
      </c>
      <c r="AM411" s="212">
        <f t="shared" ref="AM411" si="2706">+AM407-AJ407</f>
        <v>55.721359724042202</v>
      </c>
      <c r="AN411" s="212">
        <f t="shared" ref="AN411:AO411" si="2707">+AN407-AM407</f>
        <v>29.723954487853462</v>
      </c>
      <c r="AO411" s="212">
        <f t="shared" si="2707"/>
        <v>18.294262071630783</v>
      </c>
      <c r="AP411" s="212">
        <f t="shared" ref="AP411" si="2708">+AP407-AM407</f>
        <v>48.018216559484244</v>
      </c>
      <c r="AQ411" s="212">
        <f t="shared" ref="AQ411:AR411" si="2709">+AQ407-AP407</f>
        <v>27.896623378417189</v>
      </c>
      <c r="AR411" s="212">
        <f t="shared" si="2709"/>
        <v>19.508486307734984</v>
      </c>
      <c r="AS411" s="212">
        <f t="shared" ref="AS411" si="2710">+AS407-AP407</f>
        <v>47.405109686152173</v>
      </c>
      <c r="AT411" s="212">
        <f t="shared" ref="AT411" si="2711">+AT407-AS407</f>
        <v>28.946201285162715</v>
      </c>
      <c r="AU411" s="212">
        <f t="shared" ref="AU411" si="2712">+AU407-AT407</f>
        <v>20.778745109670012</v>
      </c>
      <c r="AV411" s="212">
        <f t="shared" ref="AV411" si="2713">+AV407-AS407</f>
        <v>49.724946394832727</v>
      </c>
    </row>
    <row r="412" spans="1:58" outlineLevel="1" x14ac:dyDescent="0.25">
      <c r="M412" s="8"/>
    </row>
    <row r="413" spans="1:58" outlineLevel="1" x14ac:dyDescent="0.25">
      <c r="A413" s="64"/>
      <c r="B413" s="67" t="s">
        <v>178</v>
      </c>
      <c r="C413" s="66"/>
      <c r="D413" s="65"/>
      <c r="E413" s="65"/>
      <c r="F413" s="65"/>
      <c r="G413" s="65"/>
      <c r="H413" s="65"/>
      <c r="I413" s="65"/>
      <c r="J413" s="65"/>
      <c r="K413" s="65"/>
      <c r="L413" s="375"/>
      <c r="M413" s="65"/>
      <c r="N413" s="65"/>
      <c r="O413" s="65"/>
      <c r="P413" s="65"/>
      <c r="Q413" s="65"/>
      <c r="R413" s="65"/>
      <c r="S413" s="65"/>
      <c r="T413" s="65"/>
      <c r="U413" s="65"/>
      <c r="V413" s="65"/>
      <c r="W413" s="65"/>
      <c r="X413" s="65"/>
      <c r="Y413" s="65"/>
      <c r="Z413" s="65"/>
      <c r="AA413" s="65"/>
      <c r="AB413" s="65"/>
      <c r="AC413" s="65"/>
      <c r="AD413" s="65"/>
      <c r="AE413" s="65"/>
      <c r="AF413" s="65"/>
      <c r="AG413" s="65"/>
      <c r="AH413" s="65"/>
      <c r="AI413" s="65"/>
      <c r="AJ413" s="65"/>
      <c r="AK413" s="65"/>
      <c r="AL413" s="65"/>
      <c r="AM413" s="65"/>
      <c r="AN413" s="65"/>
      <c r="AO413" s="65"/>
      <c r="AP413" s="65"/>
      <c r="AQ413" s="65"/>
      <c r="AR413" s="65"/>
      <c r="AS413" s="65"/>
      <c r="AT413" s="65"/>
      <c r="AU413" s="65"/>
      <c r="AV413" s="65"/>
    </row>
    <row r="414" spans="1:58" outlineLevel="1" x14ac:dyDescent="0.25">
      <c r="M414" s="8"/>
    </row>
    <row r="415" spans="1:58" outlineLevel="1" x14ac:dyDescent="0.25">
      <c r="B415" s="8" t="s">
        <v>179</v>
      </c>
      <c r="C415" s="22" t="s">
        <v>28</v>
      </c>
      <c r="I415" s="19">
        <f>+'Financial Statements'!I76</f>
        <v>23.946999999999999</v>
      </c>
      <c r="J415" s="8">
        <f>+'Financial Statements'!J76</f>
        <v>21.2</v>
      </c>
      <c r="K415" s="21">
        <f>+'Financial Statements'!K76</f>
        <v>26.02</v>
      </c>
      <c r="L415" s="308">
        <f>+'Financial Statements'!L76</f>
        <v>26.02</v>
      </c>
      <c r="M415" s="21">
        <f>+'Financial Statements'!M76</f>
        <v>18.852</v>
      </c>
      <c r="N415" s="21">
        <f>+'Financial Statements'!N76</f>
        <v>24.702999999999999</v>
      </c>
      <c r="O415" s="308">
        <f>+'Financial Statements'!O76</f>
        <v>24.702999999999999</v>
      </c>
      <c r="P415" s="21">
        <f>P$22*(P$420/182.5)</f>
        <v>30.530917240364879</v>
      </c>
      <c r="Q415" s="21">
        <f>R415</f>
        <v>32.031819498598601</v>
      </c>
      <c r="R415" s="21">
        <f>R22*(R420/365)</f>
        <v>32.031819498598601</v>
      </c>
      <c r="S415" s="21">
        <f>S$22*(S$420/182.5)</f>
        <v>36.883901933904482</v>
      </c>
      <c r="T415" s="21">
        <f>U415</f>
        <v>38.895744149546957</v>
      </c>
      <c r="U415" s="21">
        <f>U22*(U420/365)</f>
        <v>38.895744149546957</v>
      </c>
      <c r="V415" s="21">
        <f>V$22*(V$420/182.5)</f>
        <v>45.294126577945576</v>
      </c>
      <c r="W415" s="21">
        <f>X415</f>
        <v>47.203412836564738</v>
      </c>
      <c r="X415" s="21">
        <f>X22*(X420/365)</f>
        <v>47.203412836564738</v>
      </c>
      <c r="Y415" s="21">
        <f>Y$22*(Y$420/182.5)</f>
        <v>54.113130266830744</v>
      </c>
      <c r="Z415" s="21">
        <f>AA415</f>
        <v>56.419977444363603</v>
      </c>
      <c r="AA415" s="21">
        <f>AA22*(AA420/365)</f>
        <v>56.419977444363603</v>
      </c>
      <c r="AB415" s="21">
        <f>AB$22*(AB$420/182.5)</f>
        <v>63.225509814440656</v>
      </c>
      <c r="AC415" s="21">
        <f t="shared" ref="AC415" si="2714">AD415</f>
        <v>65.97747284998313</v>
      </c>
      <c r="AD415" s="21">
        <f>AD22*(AD420/365)</f>
        <v>65.97747284998313</v>
      </c>
      <c r="AE415" s="21">
        <f>AE$22*(AE$420/182.5)</f>
        <v>72.76550688912053</v>
      </c>
      <c r="AF415" s="21">
        <f t="shared" ref="AF415" si="2715">AG415</f>
        <v>75.794037096858204</v>
      </c>
      <c r="AG415" s="21">
        <f>AG22*(AG420/365)</f>
        <v>75.794037096858204</v>
      </c>
      <c r="AH415" s="21">
        <f>AH$22*(AH$420/182.5)</f>
        <v>83.110670396548954</v>
      </c>
      <c r="AI415" s="21">
        <f t="shared" ref="AI415" si="2716">AJ415</f>
        <v>86.436875408849914</v>
      </c>
      <c r="AJ415" s="21">
        <f>AJ22*(AJ420/365)</f>
        <v>86.436875408849914</v>
      </c>
      <c r="AK415" s="21">
        <f>AK$22*(AK$420/182.5)</f>
        <v>94.317340372443894</v>
      </c>
      <c r="AL415" s="21">
        <f t="shared" ref="AL415" si="2717">AM415</f>
        <v>97.963705395531207</v>
      </c>
      <c r="AM415" s="21">
        <f>AM22*(AM420/365)</f>
        <v>97.963705395531207</v>
      </c>
      <c r="AN415" s="21">
        <f>AN$22*(AN$420/182.5)</f>
        <v>104.21261206518017</v>
      </c>
      <c r="AO415" s="21">
        <f t="shared" ref="AO415" si="2718">AP415</f>
        <v>107.91415082310263</v>
      </c>
      <c r="AP415" s="21">
        <f>AP22*(AP420/365)</f>
        <v>107.91415082310263</v>
      </c>
      <c r="AQ415" s="21">
        <f>AQ$22*(AQ$420/182.5)</f>
        <v>113.77843794096968</v>
      </c>
      <c r="AR415" s="21">
        <f t="shared" ref="AR415" si="2719">AS415</f>
        <v>117.73457108364806</v>
      </c>
      <c r="AS415" s="21">
        <f>AS22*(AS420/365)</f>
        <v>117.73457108364806</v>
      </c>
      <c r="AT415" s="21">
        <f>AT$22*(AT$420/182.5)</f>
        <v>123.7611082942141</v>
      </c>
      <c r="AU415" s="21">
        <f t="shared" ref="AU415" si="2720">AV415</f>
        <v>127.9817998029153</v>
      </c>
      <c r="AV415" s="21">
        <f>AV22*(AV420/365)</f>
        <v>127.9817998029153</v>
      </c>
    </row>
    <row r="416" spans="1:58" outlineLevel="1" x14ac:dyDescent="0.25">
      <c r="B416" s="8" t="s">
        <v>111</v>
      </c>
      <c r="C416" s="22" t="s">
        <v>28</v>
      </c>
      <c r="I416" s="19">
        <f>+'Financial Statements'!I77</f>
        <v>2.153</v>
      </c>
      <c r="J416" s="8">
        <f>+'Financial Statements'!J77</f>
        <v>3.2</v>
      </c>
      <c r="K416" s="21">
        <f>+'Financial Statements'!K77</f>
        <v>2.8250000000000002</v>
      </c>
      <c r="L416" s="308">
        <f>+'Financial Statements'!L77</f>
        <v>2.8250000000000002</v>
      </c>
      <c r="M416" s="21">
        <f>+'Financial Statements'!M77</f>
        <v>4.2489999999999997</v>
      </c>
      <c r="N416" s="21">
        <f>+'Financial Statements'!N77</f>
        <v>3.7610000000000001</v>
      </c>
      <c r="O416" s="308">
        <f>+'Financial Statements'!O77</f>
        <v>3.7610000000000001</v>
      </c>
      <c r="P416" s="21">
        <f>-'Financial Statements'!P$18*(Assumptions!P421/182.5)</f>
        <v>4.9219472377521187</v>
      </c>
      <c r="Q416" s="21">
        <f>+R416</f>
        <v>5.2080374634380844</v>
      </c>
      <c r="R416" s="21">
        <f>-'Financial Statements'!R18*(Assumptions!R421/365)</f>
        <v>5.2080374634380844</v>
      </c>
      <c r="S416" s="21">
        <f>-'Financial Statements'!S$18*(Assumptions!S421/182.5)</f>
        <v>5.9747539188436818</v>
      </c>
      <c r="T416" s="21">
        <f>+U416</f>
        <v>6.3333733854393524</v>
      </c>
      <c r="U416" s="21">
        <f>-'Financial Statements'!U18*(Assumptions!U421/365)</f>
        <v>6.3333733854393524</v>
      </c>
      <c r="V416" s="21">
        <f>-'Financial Statements'!V$18*(Assumptions!V421/182.5)</f>
        <v>7.2975734567679611</v>
      </c>
      <c r="W416" s="21">
        <f>+X416</f>
        <v>7.6933389145825881</v>
      </c>
      <c r="X416" s="21">
        <f>-'Financial Statements'!X18*(Assumptions!X421/365)</f>
        <v>7.6933389145825881</v>
      </c>
      <c r="Y416" s="21">
        <f>-'Financial Statements'!Y$18*(Assumptions!Y421/182.5)</f>
        <v>8.6105065212408132</v>
      </c>
      <c r="Z416" s="21">
        <f>+AA416</f>
        <v>9.0525026559885546</v>
      </c>
      <c r="AA416" s="21">
        <f>-'Financial Statements'!AA18*(Assumptions!AA421/365)</f>
        <v>9.0525026559885546</v>
      </c>
      <c r="AB416" s="21">
        <f>-'Financial Statements'!AB$18*(Assumptions!AB421/182.5)</f>
        <v>9.9961998374840313</v>
      </c>
      <c r="AC416" s="21">
        <f t="shared" ref="AC416" si="2721">+AD416</f>
        <v>10.459894569223934</v>
      </c>
      <c r="AD416" s="21">
        <f>-'Financial Statements'!AD18*(Assumptions!AD421/365)</f>
        <v>10.459894569223934</v>
      </c>
      <c r="AE416" s="21">
        <f>-'Financial Statements'!AE$18*(Assumptions!AE421/182.5)</f>
        <v>11.453192699153044</v>
      </c>
      <c r="AF416" s="21">
        <f t="shared" ref="AF416" si="2722">+AG416</f>
        <v>11.967887672268184</v>
      </c>
      <c r="AG416" s="21">
        <f>-'Financial Statements'!AG18*(Assumptions!AG421/365)</f>
        <v>11.967887672268184</v>
      </c>
      <c r="AH416" s="21">
        <f>-'Financial Statements'!AH$18*(Assumptions!AH421/182.5)</f>
        <v>13.030935202490877</v>
      </c>
      <c r="AI416" s="21">
        <f t="shared" ref="AI416" si="2723">+AJ416</f>
        <v>13.600609324650128</v>
      </c>
      <c r="AJ416" s="21">
        <f>-'Financial Statements'!AJ18*(Assumptions!AJ421/365)</f>
        <v>13.600609324650128</v>
      </c>
      <c r="AK416" s="21">
        <f>-'Financial Statements'!AK$18*(Assumptions!AK421/182.5)</f>
        <v>14.737852580311873</v>
      </c>
      <c r="AL416" s="21">
        <f t="shared" ref="AL416" si="2724">+AM416</f>
        <v>15.366748703865731</v>
      </c>
      <c r="AM416" s="21">
        <f>-'Financial Statements'!AM18*(Assumptions!AM421/365)</f>
        <v>15.366748703865731</v>
      </c>
      <c r="AN416" s="21">
        <f>-'Financial Statements'!AN$18*(Assumptions!AN421/182.5)</f>
        <v>16.253180980211113</v>
      </c>
      <c r="AO416" s="21">
        <f t="shared" ref="AO416" si="2725">+AP416</f>
        <v>16.899458720694057</v>
      </c>
      <c r="AP416" s="21">
        <f>-'Financial Statements'!AP18*(Assumptions!AP421/365)</f>
        <v>16.899458720694057</v>
      </c>
      <c r="AQ416" s="21">
        <f>-'Financial Statements'!AQ$18*(Assumptions!AQ421/182.5)</f>
        <v>17.718952830965353</v>
      </c>
      <c r="AR416" s="21">
        <f t="shared" ref="AR416" si="2726">+AS416</f>
        <v>18.412689479450183</v>
      </c>
      <c r="AS416" s="21">
        <f>-'Financial Statements'!AS18*(Assumptions!AS421/365)</f>
        <v>18.412689479450183</v>
      </c>
      <c r="AT416" s="21">
        <f>-'Financial Statements'!AT$18*(Assumptions!AT421/182.5)</f>
        <v>19.258424251482538</v>
      </c>
      <c r="AU416" s="21">
        <f t="shared" ref="AU416:AU417" si="2727">+AV416</f>
        <v>20.001899301326841</v>
      </c>
      <c r="AV416" s="21">
        <f>-'Financial Statements'!AV18*(Assumptions!AV421/365)</f>
        <v>20.001899301326841</v>
      </c>
    </row>
    <row r="417" spans="1:55" outlineLevel="1" x14ac:dyDescent="0.25">
      <c r="B417" s="8" t="s">
        <v>180</v>
      </c>
      <c r="C417" s="22" t="s">
        <v>28</v>
      </c>
      <c r="I417" s="19">
        <f>+'Financial Statements'!I93</f>
        <v>32.634999999999998</v>
      </c>
      <c r="J417" s="8">
        <f>+'Financial Statements'!J93</f>
        <v>22</v>
      </c>
      <c r="K417" s="21">
        <f>+'Financial Statements'!K93</f>
        <v>39.387</v>
      </c>
      <c r="L417" s="308">
        <f>+'Financial Statements'!L93</f>
        <v>39.387</v>
      </c>
      <c r="M417" s="21">
        <f>+'Financial Statements'!M93</f>
        <v>30.198</v>
      </c>
      <c r="N417" s="21">
        <f>+'Financial Statements'!N93</f>
        <v>40.439</v>
      </c>
      <c r="O417" s="308">
        <f>+'Financial Statements'!O93</f>
        <v>40.439</v>
      </c>
      <c r="P417" s="21">
        <f>-'Financial Statements'!P$18*(P422/182.5)</f>
        <v>52.921729419691019</v>
      </c>
      <c r="Q417" s="21">
        <f>+R417</f>
        <v>55.997826903475861</v>
      </c>
      <c r="R417" s="21">
        <f>-'Financial Statements'!R$18*(R422/365)</f>
        <v>55.997826903475861</v>
      </c>
      <c r="S417" s="21">
        <f>-'Financial Statements'!S$18*(S422/182.5)</f>
        <v>64.241710641882378</v>
      </c>
      <c r="T417" s="21">
        <f>+U417</f>
        <v>68.09765656309014</v>
      </c>
      <c r="U417" s="21">
        <f>-'Financial Statements'!U$18*(U422/365)</f>
        <v>68.09765656309014</v>
      </c>
      <c r="V417" s="21">
        <f>-'Financial Statements'!V$18*(V422/182.5)</f>
        <v>78.464922365923854</v>
      </c>
      <c r="W417" s="21">
        <f>+X417</f>
        <v>82.720269174901702</v>
      </c>
      <c r="X417" s="21">
        <f>-'Financial Statements'!X$18*(X422/365)</f>
        <v>82.720269174901702</v>
      </c>
      <c r="Y417" s="21">
        <f>-'Financial Statements'!Y$18*(Y422/182.5)</f>
        <v>92.581832813734977</v>
      </c>
      <c r="Z417" s="21">
        <f>+AA417</f>
        <v>97.334260809763677</v>
      </c>
      <c r="AA417" s="21">
        <f>-'Financial Statements'!AA$18*(AA422/365)</f>
        <v>97.334260809763677</v>
      </c>
      <c r="AB417" s="21">
        <f>-'Financial Statements'!AB$18*(AB422/182.5)</f>
        <v>107.48107557245859</v>
      </c>
      <c r="AC417" s="21">
        <f t="shared" ref="AC417" si="2728">+AD417</f>
        <v>112.46681108344767</v>
      </c>
      <c r="AD417" s="21">
        <f>-'Financial Statements'!AD$18*(AD422/365)</f>
        <v>112.46681108344767</v>
      </c>
      <c r="AE417" s="21">
        <f>-'Financial Statements'!AE$18*(AE422/182.5)</f>
        <v>123.14694484473544</v>
      </c>
      <c r="AF417" s="21">
        <f t="shared" ref="AF417" si="2729">+AG417</f>
        <v>128.68104482288038</v>
      </c>
      <c r="AG417" s="21">
        <f>-'Financial Statements'!AG$18*(AG422/365)</f>
        <v>128.68104482288038</v>
      </c>
      <c r="AH417" s="21">
        <f>-'Financial Statements'!AH$18*(AH422/182.5)</f>
        <v>140.11113763720516</v>
      </c>
      <c r="AI417" s="21">
        <f t="shared" ref="AI417" si="2730">+AJ417</f>
        <v>146.23638406794112</v>
      </c>
      <c r="AJ417" s="21">
        <f>-'Financial Statements'!AJ$18*(AJ422/365)</f>
        <v>146.23638406794112</v>
      </c>
      <c r="AK417" s="21">
        <f>-'Financial Statements'!AK$18*(AK422/182.5)</f>
        <v>158.46424368392232</v>
      </c>
      <c r="AL417" s="21">
        <f t="shared" ref="AL417" si="2731">+AM417</f>
        <v>165.22625653699185</v>
      </c>
      <c r="AM417" s="21">
        <f>-'Financial Statements'!AM$18*(AM422/365)</f>
        <v>165.22625653699185</v>
      </c>
      <c r="AN417" s="21">
        <f>-'Financial Statements'!AN$18*(AN422/182.5)</f>
        <v>174.7573479550006</v>
      </c>
      <c r="AO417" s="21">
        <f t="shared" ref="AO417" si="2732">+AP417</f>
        <v>181.70625131777371</v>
      </c>
      <c r="AP417" s="21">
        <f>-'Financial Statements'!AP$18*(AP422/365)</f>
        <v>181.70625131777371</v>
      </c>
      <c r="AQ417" s="21">
        <f>-'Financial Statements'!AQ$18*(AQ422/182.5)</f>
        <v>190.51761061723158</v>
      </c>
      <c r="AR417" s="21">
        <f t="shared" ref="AR417" si="2733">+AS417</f>
        <v>197.97680134525021</v>
      </c>
      <c r="AS417" s="21">
        <f>-'Financial Statements'!AS$18*(AS422/365)</f>
        <v>197.97680134525021</v>
      </c>
      <c r="AT417" s="21">
        <f>-'Financial Statements'!AT$18*(AT422/182.5)</f>
        <v>207.07030531925082</v>
      </c>
      <c r="AU417" s="21">
        <f t="shared" si="2727"/>
        <v>215.06429296632706</v>
      </c>
      <c r="AV417" s="21">
        <f>-'Financial Statements'!AV$18*(AV422/365)</f>
        <v>215.06429296632706</v>
      </c>
    </row>
    <row r="418" spans="1:55" s="62" customFormat="1" outlineLevel="1" x14ac:dyDescent="0.25">
      <c r="B418" s="70" t="s">
        <v>181</v>
      </c>
      <c r="C418" s="153" t="s">
        <v>28</v>
      </c>
      <c r="D418" s="70"/>
      <c r="E418" s="70"/>
      <c r="F418" s="70"/>
      <c r="G418" s="70"/>
      <c r="H418" s="70"/>
      <c r="I418" s="338">
        <f t="shared" ref="I418:O418" si="2734">+I415+I416-I417</f>
        <v>-6.5350000000000001</v>
      </c>
      <c r="J418" s="70">
        <f t="shared" si="2734"/>
        <v>2.3999999999999986</v>
      </c>
      <c r="K418" s="71">
        <f t="shared" si="2734"/>
        <v>-10.542000000000002</v>
      </c>
      <c r="L418" s="390">
        <f t="shared" si="2734"/>
        <v>-10.542000000000002</v>
      </c>
      <c r="M418" s="71">
        <f t="shared" si="2734"/>
        <v>-7.0970000000000013</v>
      </c>
      <c r="N418" s="71">
        <f t="shared" si="2734"/>
        <v>-11.975000000000001</v>
      </c>
      <c r="O418" s="390">
        <f t="shared" si="2734"/>
        <v>-11.975000000000001</v>
      </c>
      <c r="P418" s="71">
        <f t="shared" ref="P418:X418" si="2735">+P415+P416-P417</f>
        <v>-17.468864941574019</v>
      </c>
      <c r="Q418" s="71">
        <f t="shared" si="2735"/>
        <v>-18.757969941439178</v>
      </c>
      <c r="R418" s="71">
        <f t="shared" si="2735"/>
        <v>-18.757969941439178</v>
      </c>
      <c r="S418" s="71">
        <f t="shared" si="2735"/>
        <v>-21.383054789134214</v>
      </c>
      <c r="T418" s="71">
        <f t="shared" si="2735"/>
        <v>-22.868539028103832</v>
      </c>
      <c r="U418" s="71">
        <f t="shared" si="2735"/>
        <v>-22.868539028103832</v>
      </c>
      <c r="V418" s="71">
        <f t="shared" si="2735"/>
        <v>-25.873222331210314</v>
      </c>
      <c r="W418" s="71">
        <f t="shared" si="2735"/>
        <v>-27.823517423754375</v>
      </c>
      <c r="X418" s="71">
        <f t="shared" si="2735"/>
        <v>-27.823517423754375</v>
      </c>
      <c r="Y418" s="71">
        <f t="shared" ref="Y418:AA418" si="2736">+Y415+Y416-Y417</f>
        <v>-29.858196025663418</v>
      </c>
      <c r="Z418" s="71">
        <f t="shared" si="2736"/>
        <v>-31.861780709411519</v>
      </c>
      <c r="AA418" s="71">
        <f t="shared" si="2736"/>
        <v>-31.861780709411519</v>
      </c>
      <c r="AB418" s="71">
        <f t="shared" ref="AB418:AP418" si="2737">+AB415+AB416-AB417</f>
        <v>-34.259365920533909</v>
      </c>
      <c r="AC418" s="71">
        <f t="shared" si="2737"/>
        <v>-36.029443664240603</v>
      </c>
      <c r="AD418" s="71">
        <f t="shared" si="2737"/>
        <v>-36.029443664240603</v>
      </c>
      <c r="AE418" s="71">
        <f t="shared" si="2737"/>
        <v>-38.928245256461864</v>
      </c>
      <c r="AF418" s="71">
        <f t="shared" si="2737"/>
        <v>-40.919120053754</v>
      </c>
      <c r="AG418" s="71">
        <f t="shared" si="2737"/>
        <v>-40.919120053754</v>
      </c>
      <c r="AH418" s="71">
        <f t="shared" si="2737"/>
        <v>-43.969532038165326</v>
      </c>
      <c r="AI418" s="71">
        <f t="shared" si="2737"/>
        <v>-46.19889933444108</v>
      </c>
      <c r="AJ418" s="71">
        <f t="shared" si="2737"/>
        <v>-46.19889933444108</v>
      </c>
      <c r="AK418" s="71">
        <f t="shared" si="2737"/>
        <v>-49.409050731166559</v>
      </c>
      <c r="AL418" s="71">
        <f t="shared" si="2737"/>
        <v>-51.895802437594909</v>
      </c>
      <c r="AM418" s="71">
        <f t="shared" si="2737"/>
        <v>-51.895802437594909</v>
      </c>
      <c r="AN418" s="71">
        <f t="shared" si="2737"/>
        <v>-54.291554909609317</v>
      </c>
      <c r="AO418" s="71">
        <f t="shared" si="2737"/>
        <v>-56.892641773977019</v>
      </c>
      <c r="AP418" s="71">
        <f t="shared" si="2737"/>
        <v>-56.892641773977019</v>
      </c>
      <c r="AQ418" s="71">
        <f t="shared" ref="AQ418:AS418" si="2738">+AQ415+AQ416-AQ417</f>
        <v>-59.020219845296538</v>
      </c>
      <c r="AR418" s="71">
        <f t="shared" si="2738"/>
        <v>-61.829540782151952</v>
      </c>
      <c r="AS418" s="71">
        <f t="shared" si="2738"/>
        <v>-61.829540782151952</v>
      </c>
      <c r="AT418" s="71">
        <f t="shared" ref="AT418:AV418" si="2739">+AT415+AT416-AT417</f>
        <v>-64.050772773554201</v>
      </c>
      <c r="AU418" s="71">
        <f t="shared" si="2739"/>
        <v>-67.080593862084925</v>
      </c>
      <c r="AV418" s="71">
        <f t="shared" si="2739"/>
        <v>-67.080593862084925</v>
      </c>
      <c r="AX418"/>
      <c r="AY418"/>
      <c r="AZ418"/>
      <c r="BA418"/>
      <c r="BB418"/>
      <c r="BC418"/>
    </row>
    <row r="419" spans="1:55" outlineLevel="1" x14ac:dyDescent="0.25">
      <c r="M419" s="21"/>
    </row>
    <row r="420" spans="1:55" outlineLevel="1" x14ac:dyDescent="0.25">
      <c r="B420" s="8" t="s">
        <v>182</v>
      </c>
      <c r="C420" s="22" t="s">
        <v>274</v>
      </c>
      <c r="J420" s="21">
        <f>J415/(J22/182.5)</f>
        <v>22.965376830433726</v>
      </c>
      <c r="K420" s="21">
        <f>K415/(K22/182.5)</f>
        <v>27.333191352197641</v>
      </c>
      <c r="L420" s="308">
        <f>L415/(L22/365)</f>
        <v>27.753409525924667</v>
      </c>
      <c r="M420" s="21">
        <f>M415/(M22/182.5)</f>
        <v>16.188788978134131</v>
      </c>
      <c r="N420" s="21">
        <f>N415/(N22/182.5)</f>
        <v>20.147194862536193</v>
      </c>
      <c r="O420" s="308">
        <f>O415/(O22/365)</f>
        <v>20.666470314537776</v>
      </c>
      <c r="P420" s="211">
        <f t="shared" ref="P420:X420" si="2740">+O420</f>
        <v>20.666470314537776</v>
      </c>
      <c r="Q420" s="211">
        <f t="shared" si="2740"/>
        <v>20.666470314537776</v>
      </c>
      <c r="R420" s="211">
        <f t="shared" si="2740"/>
        <v>20.666470314537776</v>
      </c>
      <c r="S420" s="211">
        <f t="shared" si="2740"/>
        <v>20.666470314537776</v>
      </c>
      <c r="T420" s="211">
        <f t="shared" si="2740"/>
        <v>20.666470314537776</v>
      </c>
      <c r="U420" s="211">
        <f t="shared" si="2740"/>
        <v>20.666470314537776</v>
      </c>
      <c r="V420" s="211">
        <f t="shared" si="2740"/>
        <v>20.666470314537776</v>
      </c>
      <c r="W420" s="211">
        <f t="shared" si="2740"/>
        <v>20.666470314537776</v>
      </c>
      <c r="X420" s="211">
        <f t="shared" si="2740"/>
        <v>20.666470314537776</v>
      </c>
      <c r="Y420" s="211">
        <f t="shared" ref="Y420:Y422" si="2741">+X420</f>
        <v>20.666470314537776</v>
      </c>
      <c r="Z420" s="211">
        <f t="shared" ref="Z420:Z422" si="2742">+Y420</f>
        <v>20.666470314537776</v>
      </c>
      <c r="AA420" s="211">
        <f t="shared" ref="AA420:AA422" si="2743">+Z420</f>
        <v>20.666470314537776</v>
      </c>
      <c r="AB420" s="211">
        <f t="shared" ref="AB420:AB422" si="2744">+AA420</f>
        <v>20.666470314537776</v>
      </c>
      <c r="AC420" s="211">
        <f t="shared" ref="AC420:AC422" si="2745">+AB420</f>
        <v>20.666470314537776</v>
      </c>
      <c r="AD420" s="211">
        <f t="shared" ref="AD420:AD422" si="2746">+AC420</f>
        <v>20.666470314537776</v>
      </c>
      <c r="AE420" s="211">
        <f t="shared" ref="AE420:AE422" si="2747">+AD420</f>
        <v>20.666470314537776</v>
      </c>
      <c r="AF420" s="211">
        <f t="shared" ref="AF420:AF422" si="2748">+AE420</f>
        <v>20.666470314537776</v>
      </c>
      <c r="AG420" s="211">
        <f t="shared" ref="AG420:AG422" si="2749">+AF420</f>
        <v>20.666470314537776</v>
      </c>
      <c r="AH420" s="211">
        <f t="shared" ref="AH420:AH422" si="2750">+AG420</f>
        <v>20.666470314537776</v>
      </c>
      <c r="AI420" s="211">
        <f t="shared" ref="AI420:AI422" si="2751">+AH420</f>
        <v>20.666470314537776</v>
      </c>
      <c r="AJ420" s="211">
        <f t="shared" ref="AJ420:AJ422" si="2752">+AI420</f>
        <v>20.666470314537776</v>
      </c>
      <c r="AK420" s="211">
        <f t="shared" ref="AK420:AK422" si="2753">+AJ420</f>
        <v>20.666470314537776</v>
      </c>
      <c r="AL420" s="211">
        <f t="shared" ref="AL420:AL422" si="2754">+AK420</f>
        <v>20.666470314537776</v>
      </c>
      <c r="AM420" s="211">
        <f t="shared" ref="AM420:AM422" si="2755">+AL420</f>
        <v>20.666470314537776</v>
      </c>
      <c r="AN420" s="211">
        <f t="shared" ref="AN420:AN422" si="2756">+AM420</f>
        <v>20.666470314537776</v>
      </c>
      <c r="AO420" s="211">
        <f t="shared" ref="AO420:AO422" si="2757">+AN420</f>
        <v>20.666470314537776</v>
      </c>
      <c r="AP420" s="211">
        <f t="shared" ref="AP420:AP422" si="2758">+AO420</f>
        <v>20.666470314537776</v>
      </c>
      <c r="AQ420" s="211">
        <f t="shared" ref="AQ420:AQ422" si="2759">+AP420</f>
        <v>20.666470314537776</v>
      </c>
      <c r="AR420" s="211">
        <f t="shared" ref="AR420:AR422" si="2760">+AQ420</f>
        <v>20.666470314537776</v>
      </c>
      <c r="AS420" s="211">
        <f t="shared" ref="AS420:AS422" si="2761">+AR420</f>
        <v>20.666470314537776</v>
      </c>
      <c r="AT420" s="211">
        <f t="shared" ref="AT420:AT422" si="2762">+AS420</f>
        <v>20.666470314537776</v>
      </c>
      <c r="AU420" s="211">
        <f t="shared" ref="AU420:AU422" si="2763">+AT420</f>
        <v>20.666470314537776</v>
      </c>
      <c r="AV420" s="211">
        <f t="shared" ref="AV420:AV422" si="2764">+AU420</f>
        <v>20.666470314537776</v>
      </c>
    </row>
    <row r="421" spans="1:55" outlineLevel="1" x14ac:dyDescent="0.25">
      <c r="B421" s="8" t="s">
        <v>183</v>
      </c>
      <c r="C421" s="22" t="s">
        <v>274</v>
      </c>
      <c r="J421" s="19">
        <f>J416/-'Financial Statements'!J18*182.5</f>
        <v>13.518518518518517</v>
      </c>
      <c r="K421" s="19">
        <f>K416/-'Financial Statements'!K18*182.5</f>
        <v>11.617000901306897</v>
      </c>
      <c r="L421" s="309">
        <f>L416/-'Financial Statements'!L18*365</f>
        <v>11.77352135190683</v>
      </c>
      <c r="M421" s="19">
        <f>M416/-'Financial Statements'!M18*182.5</f>
        <v>14.080777541718872</v>
      </c>
      <c r="N421" s="19">
        <f>N416/-'Financial Statements'!N18*182.5</f>
        <v>11.657905463933286</v>
      </c>
      <c r="O421" s="309">
        <f>O416/-'Financial Statements'!O18*365</f>
        <v>12.047293502299295</v>
      </c>
      <c r="P421" s="211">
        <f t="shared" ref="P421:X421" si="2765">+O421</f>
        <v>12.047293502299295</v>
      </c>
      <c r="Q421" s="211">
        <f t="shared" si="2765"/>
        <v>12.047293502299295</v>
      </c>
      <c r="R421" s="211">
        <f t="shared" si="2765"/>
        <v>12.047293502299295</v>
      </c>
      <c r="S421" s="211">
        <f t="shared" si="2765"/>
        <v>12.047293502299295</v>
      </c>
      <c r="T421" s="211">
        <f t="shared" si="2765"/>
        <v>12.047293502299295</v>
      </c>
      <c r="U421" s="211">
        <f t="shared" si="2765"/>
        <v>12.047293502299295</v>
      </c>
      <c r="V421" s="211">
        <f t="shared" si="2765"/>
        <v>12.047293502299295</v>
      </c>
      <c r="W421" s="211">
        <f t="shared" si="2765"/>
        <v>12.047293502299295</v>
      </c>
      <c r="X421" s="211">
        <f t="shared" si="2765"/>
        <v>12.047293502299295</v>
      </c>
      <c r="Y421" s="211">
        <f t="shared" si="2741"/>
        <v>12.047293502299295</v>
      </c>
      <c r="Z421" s="211">
        <f t="shared" si="2742"/>
        <v>12.047293502299295</v>
      </c>
      <c r="AA421" s="211">
        <f t="shared" si="2743"/>
        <v>12.047293502299295</v>
      </c>
      <c r="AB421" s="211">
        <f t="shared" si="2744"/>
        <v>12.047293502299295</v>
      </c>
      <c r="AC421" s="211">
        <f t="shared" si="2745"/>
        <v>12.047293502299295</v>
      </c>
      <c r="AD421" s="211">
        <f t="shared" si="2746"/>
        <v>12.047293502299295</v>
      </c>
      <c r="AE421" s="211">
        <f t="shared" si="2747"/>
        <v>12.047293502299295</v>
      </c>
      <c r="AF421" s="211">
        <f t="shared" si="2748"/>
        <v>12.047293502299295</v>
      </c>
      <c r="AG421" s="211">
        <f t="shared" si="2749"/>
        <v>12.047293502299295</v>
      </c>
      <c r="AH421" s="211">
        <f t="shared" si="2750"/>
        <v>12.047293502299295</v>
      </c>
      <c r="AI421" s="211">
        <f t="shared" si="2751"/>
        <v>12.047293502299295</v>
      </c>
      <c r="AJ421" s="211">
        <f t="shared" si="2752"/>
        <v>12.047293502299295</v>
      </c>
      <c r="AK421" s="211">
        <f t="shared" si="2753"/>
        <v>12.047293502299295</v>
      </c>
      <c r="AL421" s="211">
        <f t="shared" si="2754"/>
        <v>12.047293502299295</v>
      </c>
      <c r="AM421" s="211">
        <f t="shared" si="2755"/>
        <v>12.047293502299295</v>
      </c>
      <c r="AN421" s="211">
        <f t="shared" si="2756"/>
        <v>12.047293502299295</v>
      </c>
      <c r="AO421" s="211">
        <f t="shared" si="2757"/>
        <v>12.047293502299295</v>
      </c>
      <c r="AP421" s="211">
        <f t="shared" si="2758"/>
        <v>12.047293502299295</v>
      </c>
      <c r="AQ421" s="211">
        <f t="shared" si="2759"/>
        <v>12.047293502299295</v>
      </c>
      <c r="AR421" s="211">
        <f t="shared" si="2760"/>
        <v>12.047293502299295</v>
      </c>
      <c r="AS421" s="211">
        <f t="shared" si="2761"/>
        <v>12.047293502299295</v>
      </c>
      <c r="AT421" s="211">
        <f t="shared" si="2762"/>
        <v>12.047293502299295</v>
      </c>
      <c r="AU421" s="211">
        <f t="shared" si="2763"/>
        <v>12.047293502299295</v>
      </c>
      <c r="AV421" s="211">
        <f t="shared" si="2764"/>
        <v>12.047293502299295</v>
      </c>
    </row>
    <row r="422" spans="1:55" outlineLevel="1" x14ac:dyDescent="0.25">
      <c r="B422" s="8" t="s">
        <v>184</v>
      </c>
      <c r="C422" s="22" t="s">
        <v>274</v>
      </c>
      <c r="J422" s="21">
        <f>J417/-'Financial Statements'!J18*182.5</f>
        <v>92.939814814814795</v>
      </c>
      <c r="K422" s="21">
        <f>K417/-'Financial Statements'!K18*182.5</f>
        <v>161.96772194682293</v>
      </c>
      <c r="L422" s="308">
        <f>L417/-'Financial Statements'!L18*365</f>
        <v>164.14997716373603</v>
      </c>
      <c r="M422" s="21">
        <f>M417/-'Financial Statements'!M18*182.5</f>
        <v>100.07326905267746</v>
      </c>
      <c r="N422" s="21">
        <f>N417/-'Financial Statements'!N18*182.5</f>
        <v>125.34805611698967</v>
      </c>
      <c r="O422" s="308">
        <f>O417/-'Financial Statements'!O18*365</f>
        <v>129.53483167760734</v>
      </c>
      <c r="P422" s="211">
        <f t="shared" ref="P422:X422" si="2766">+O422</f>
        <v>129.53483167760734</v>
      </c>
      <c r="Q422" s="211">
        <f t="shared" si="2766"/>
        <v>129.53483167760734</v>
      </c>
      <c r="R422" s="211">
        <f t="shared" si="2766"/>
        <v>129.53483167760734</v>
      </c>
      <c r="S422" s="211">
        <f t="shared" si="2766"/>
        <v>129.53483167760734</v>
      </c>
      <c r="T422" s="211">
        <f t="shared" si="2766"/>
        <v>129.53483167760734</v>
      </c>
      <c r="U422" s="211">
        <f t="shared" si="2766"/>
        <v>129.53483167760734</v>
      </c>
      <c r="V422" s="211">
        <f t="shared" si="2766"/>
        <v>129.53483167760734</v>
      </c>
      <c r="W422" s="211">
        <f t="shared" si="2766"/>
        <v>129.53483167760734</v>
      </c>
      <c r="X422" s="211">
        <f t="shared" si="2766"/>
        <v>129.53483167760734</v>
      </c>
      <c r="Y422" s="211">
        <f t="shared" si="2741"/>
        <v>129.53483167760734</v>
      </c>
      <c r="Z422" s="211">
        <f t="shared" si="2742"/>
        <v>129.53483167760734</v>
      </c>
      <c r="AA422" s="211">
        <f t="shared" si="2743"/>
        <v>129.53483167760734</v>
      </c>
      <c r="AB422" s="211">
        <f t="shared" si="2744"/>
        <v>129.53483167760734</v>
      </c>
      <c r="AC422" s="211">
        <f t="shared" si="2745"/>
        <v>129.53483167760734</v>
      </c>
      <c r="AD422" s="211">
        <f t="shared" si="2746"/>
        <v>129.53483167760734</v>
      </c>
      <c r="AE422" s="211">
        <f t="shared" si="2747"/>
        <v>129.53483167760734</v>
      </c>
      <c r="AF422" s="211">
        <f t="shared" si="2748"/>
        <v>129.53483167760734</v>
      </c>
      <c r="AG422" s="211">
        <f t="shared" si="2749"/>
        <v>129.53483167760734</v>
      </c>
      <c r="AH422" s="211">
        <f t="shared" si="2750"/>
        <v>129.53483167760734</v>
      </c>
      <c r="AI422" s="211">
        <f t="shared" si="2751"/>
        <v>129.53483167760734</v>
      </c>
      <c r="AJ422" s="211">
        <f t="shared" si="2752"/>
        <v>129.53483167760734</v>
      </c>
      <c r="AK422" s="211">
        <f t="shared" si="2753"/>
        <v>129.53483167760734</v>
      </c>
      <c r="AL422" s="211">
        <f t="shared" si="2754"/>
        <v>129.53483167760734</v>
      </c>
      <c r="AM422" s="211">
        <f t="shared" si="2755"/>
        <v>129.53483167760734</v>
      </c>
      <c r="AN422" s="211">
        <f t="shared" si="2756"/>
        <v>129.53483167760734</v>
      </c>
      <c r="AO422" s="211">
        <f t="shared" si="2757"/>
        <v>129.53483167760734</v>
      </c>
      <c r="AP422" s="211">
        <f t="shared" si="2758"/>
        <v>129.53483167760734</v>
      </c>
      <c r="AQ422" s="211">
        <f t="shared" si="2759"/>
        <v>129.53483167760734</v>
      </c>
      <c r="AR422" s="211">
        <f t="shared" si="2760"/>
        <v>129.53483167760734</v>
      </c>
      <c r="AS422" s="211">
        <f t="shared" si="2761"/>
        <v>129.53483167760734</v>
      </c>
      <c r="AT422" s="211">
        <f t="shared" si="2762"/>
        <v>129.53483167760734</v>
      </c>
      <c r="AU422" s="211">
        <f t="shared" si="2763"/>
        <v>129.53483167760734</v>
      </c>
      <c r="AV422" s="211">
        <f t="shared" si="2764"/>
        <v>129.53483167760734</v>
      </c>
    </row>
    <row r="423" spans="1:55" outlineLevel="1" x14ac:dyDescent="0.25">
      <c r="M423" s="8"/>
    </row>
    <row r="424" spans="1:55" outlineLevel="1" x14ac:dyDescent="0.25">
      <c r="A424" t="s">
        <v>357</v>
      </c>
      <c r="B424" s="12" t="s">
        <v>185</v>
      </c>
      <c r="C424" s="22" t="s">
        <v>28</v>
      </c>
      <c r="I424" s="8">
        <f>+'Financial Statements'!I126</f>
        <v>3.1</v>
      </c>
      <c r="J424" s="8">
        <f>+'Financial Statements'!J126</f>
        <v>-9.4</v>
      </c>
      <c r="K424" s="19">
        <f>+'Financial Statements'!K126</f>
        <v>19.941000000000003</v>
      </c>
      <c r="L424" s="309">
        <f>+'Financial Statements'!L126</f>
        <v>10.541000000000002</v>
      </c>
      <c r="M424" s="8">
        <f>+'Financial Statements'!M126</f>
        <v>-4.0789999999999997</v>
      </c>
      <c r="N424" s="19">
        <f>+'Financial Statements'!N126</f>
        <v>14.813000000000008</v>
      </c>
      <c r="O424" s="309">
        <f>+'Financial Statements'!O126</f>
        <v>10.734000000000009</v>
      </c>
      <c r="P424" s="19">
        <f t="shared" ref="P424:Q424" si="2767">-(P418-O418)</f>
        <v>5.4938649415740173</v>
      </c>
      <c r="Q424" s="19">
        <f t="shared" si="2767"/>
        <v>1.2891049998651596</v>
      </c>
      <c r="R424" s="19">
        <f t="shared" ref="R424" si="2768">-(R418-O418)</f>
        <v>6.7829699414391769</v>
      </c>
      <c r="S424" s="19">
        <f t="shared" ref="S424:T424" si="2769">-(S418-R418)</f>
        <v>2.6250848476950353</v>
      </c>
      <c r="T424" s="19">
        <f t="shared" si="2769"/>
        <v>1.4854842389696188</v>
      </c>
      <c r="U424" s="19">
        <f t="shared" ref="U424" si="2770">-(U418-R418)</f>
        <v>4.110569086664654</v>
      </c>
      <c r="V424" s="19">
        <f t="shared" ref="V424:W424" si="2771">-(V418-U418)</f>
        <v>3.0046833031064821</v>
      </c>
      <c r="W424" s="19">
        <f t="shared" si="2771"/>
        <v>1.9502950925440601</v>
      </c>
      <c r="X424" s="19">
        <f t="shared" ref="X424" si="2772">-(X418-U418)</f>
        <v>4.9549783956505422</v>
      </c>
      <c r="Y424" s="19">
        <f t="shared" ref="Y424" si="2773">-(Y418-X418)</f>
        <v>2.034678601909043</v>
      </c>
      <c r="Z424" s="19">
        <f t="shared" ref="Z424" si="2774">-(Z418-Y418)</f>
        <v>2.0035846837481017</v>
      </c>
      <c r="AA424" s="19">
        <f t="shared" ref="AA424" si="2775">-(AA418-X418)</f>
        <v>4.0382632856571448</v>
      </c>
      <c r="AB424" s="19">
        <f t="shared" ref="AB424" si="2776">-(AB418-AA418)</f>
        <v>2.3975852111223901</v>
      </c>
      <c r="AC424" s="19">
        <f t="shared" ref="AC424" si="2777">-(AC418-AB418)</f>
        <v>1.7700777437066932</v>
      </c>
      <c r="AD424" s="19">
        <f t="shared" ref="AD424" si="2778">-(AD418-AA418)</f>
        <v>4.1676629548290833</v>
      </c>
      <c r="AE424" s="19">
        <f t="shared" ref="AE424" si="2779">-(AE418-AD418)</f>
        <v>2.8988015922212611</v>
      </c>
      <c r="AF424" s="19">
        <f t="shared" ref="AF424" si="2780">-(AF418-AE418)</f>
        <v>1.9908747972921361</v>
      </c>
      <c r="AG424" s="19">
        <f t="shared" ref="AG424" si="2781">-(AG418-AD418)</f>
        <v>4.8896763895133972</v>
      </c>
      <c r="AH424" s="19">
        <f t="shared" ref="AH424" si="2782">-(AH418-AG418)</f>
        <v>3.0504119844113262</v>
      </c>
      <c r="AI424" s="19">
        <f t="shared" ref="AI424" si="2783">-(AI418-AH418)</f>
        <v>2.229367296275754</v>
      </c>
      <c r="AJ424" s="19">
        <f t="shared" ref="AJ424" si="2784">-(AJ418-AG418)</f>
        <v>5.2797792806870802</v>
      </c>
      <c r="AK424" s="19">
        <f t="shared" ref="AK424" si="2785">-(AK418-AJ418)</f>
        <v>3.2101513967254789</v>
      </c>
      <c r="AL424" s="19">
        <f t="shared" ref="AL424" si="2786">-(AL418-AK418)</f>
        <v>2.4867517064283504</v>
      </c>
      <c r="AM424" s="19">
        <f t="shared" ref="AM424" si="2787">-(AM418-AJ418)</f>
        <v>5.6969031031538293</v>
      </c>
      <c r="AN424" s="19">
        <f t="shared" ref="AN424" si="2788">-(AN418-AM418)</f>
        <v>2.3957524720144079</v>
      </c>
      <c r="AO424" s="19">
        <f t="shared" ref="AO424" si="2789">-(AO418-AN418)</f>
        <v>2.6010868643677014</v>
      </c>
      <c r="AP424" s="19">
        <f t="shared" ref="AP424" si="2790">-(AP418-AM418)</f>
        <v>4.9968393363821093</v>
      </c>
      <c r="AQ424" s="19">
        <f t="shared" ref="AQ424" si="2791">-(AQ418-AP418)</f>
        <v>2.1275780713195189</v>
      </c>
      <c r="AR424" s="19">
        <f t="shared" ref="AR424" si="2792">-(AR418-AQ418)</f>
        <v>2.8093209368554142</v>
      </c>
      <c r="AS424" s="19">
        <f t="shared" ref="AS424" si="2793">-(AS418-AP418)</f>
        <v>4.9368990081749331</v>
      </c>
      <c r="AT424" s="19">
        <f t="shared" ref="AT424" si="2794">-(AT418-AS418)</f>
        <v>2.2212319914022487</v>
      </c>
      <c r="AU424" s="19">
        <f t="shared" ref="AU424" si="2795">-(AU418-AT418)</f>
        <v>3.0298210885307242</v>
      </c>
      <c r="AV424" s="19">
        <f t="shared" ref="AV424" si="2796">-(AV418-AS418)</f>
        <v>5.2510530799329729</v>
      </c>
    </row>
    <row r="425" spans="1:55" outlineLevel="1" x14ac:dyDescent="0.25">
      <c r="M425" s="8"/>
    </row>
    <row r="426" spans="1:55" ht="15.75" x14ac:dyDescent="0.25">
      <c r="A426" s="49" t="s">
        <v>23</v>
      </c>
      <c r="B426" s="50" t="s">
        <v>186</v>
      </c>
      <c r="C426" s="2"/>
      <c r="D426" s="2"/>
      <c r="E426" s="2"/>
      <c r="F426" s="158"/>
      <c r="G426" s="86"/>
      <c r="H426" s="86"/>
      <c r="I426" s="86"/>
      <c r="J426" s="86"/>
      <c r="K426" s="86"/>
      <c r="L426" s="371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  <c r="AP426" s="86"/>
      <c r="AQ426" s="86"/>
      <c r="AR426" s="86"/>
      <c r="AS426" s="86"/>
      <c r="AT426" s="86"/>
      <c r="AU426" s="86"/>
      <c r="AV426" s="86"/>
    </row>
    <row r="427" spans="1:55" outlineLevel="1" x14ac:dyDescent="0.25">
      <c r="M427" s="8"/>
    </row>
    <row r="428" spans="1:55" outlineLevel="1" x14ac:dyDescent="0.25">
      <c r="A428" s="64"/>
      <c r="B428" s="67" t="s">
        <v>132</v>
      </c>
      <c r="C428" s="66"/>
      <c r="D428" s="65"/>
      <c r="E428" s="65"/>
      <c r="F428" s="65"/>
      <c r="G428" s="65"/>
      <c r="H428" s="65"/>
      <c r="I428" s="65"/>
      <c r="J428" s="65"/>
      <c r="K428" s="65"/>
      <c r="L428" s="375"/>
      <c r="M428" s="65"/>
      <c r="N428" s="65"/>
      <c r="O428" s="65"/>
      <c r="P428" s="65"/>
      <c r="Q428" s="65"/>
      <c r="R428" s="65"/>
      <c r="S428" s="65"/>
      <c r="T428" s="65"/>
      <c r="U428" s="65"/>
      <c r="V428" s="65"/>
      <c r="W428" s="65"/>
      <c r="X428" s="65"/>
      <c r="Y428" s="65"/>
      <c r="Z428" s="65"/>
      <c r="AA428" s="65"/>
      <c r="AB428" s="65"/>
      <c r="AC428" s="65"/>
      <c r="AD428" s="65"/>
      <c r="AE428" s="65"/>
      <c r="AF428" s="65"/>
      <c r="AG428" s="65"/>
      <c r="AH428" s="65"/>
      <c r="AI428" s="65"/>
      <c r="AJ428" s="65"/>
      <c r="AK428" s="65"/>
      <c r="AL428" s="65"/>
      <c r="AM428" s="65"/>
      <c r="AN428" s="65"/>
      <c r="AO428" s="65"/>
      <c r="AP428" s="65"/>
      <c r="AQ428" s="65"/>
      <c r="AR428" s="65"/>
      <c r="AS428" s="65"/>
      <c r="AT428" s="65"/>
      <c r="AU428" s="65"/>
      <c r="AV428" s="65"/>
    </row>
    <row r="429" spans="1:55" outlineLevel="1" x14ac:dyDescent="0.25">
      <c r="M429" s="8"/>
    </row>
    <row r="430" spans="1:55" outlineLevel="1" x14ac:dyDescent="0.25">
      <c r="B430" s="12" t="s">
        <v>194</v>
      </c>
      <c r="M430" s="8"/>
    </row>
    <row r="431" spans="1:55" outlineLevel="1" x14ac:dyDescent="0.25">
      <c r="B431" s="8" t="s">
        <v>195</v>
      </c>
      <c r="C431" s="22" t="s">
        <v>28</v>
      </c>
      <c r="J431" s="8">
        <f>+I433</f>
        <v>0</v>
      </c>
      <c r="K431" s="8">
        <f>+J433</f>
        <v>0</v>
      </c>
      <c r="L431" s="313">
        <f>+I433</f>
        <v>0</v>
      </c>
      <c r="M431" s="8">
        <f ca="1">+L433</f>
        <v>0</v>
      </c>
      <c r="N431" s="313">
        <f ca="1">+K433</f>
        <v>0</v>
      </c>
      <c r="O431" s="8">
        <f ca="1">+L433</f>
        <v>0</v>
      </c>
      <c r="P431" s="8">
        <f t="shared" ref="P431:Q431" ca="1" si="2797">+O433</f>
        <v>0</v>
      </c>
      <c r="Q431" s="8">
        <f t="shared" ca="1" si="2797"/>
        <v>0</v>
      </c>
      <c r="R431" s="8">
        <f t="shared" ref="R431" ca="1" si="2798">+O433</f>
        <v>0</v>
      </c>
      <c r="S431" s="8">
        <f t="shared" ref="S431:T431" ca="1" si="2799">+R433</f>
        <v>0</v>
      </c>
      <c r="T431" s="8">
        <f t="shared" ca="1" si="2799"/>
        <v>0</v>
      </c>
      <c r="U431" s="8">
        <f t="shared" ref="U431" ca="1" si="2800">+R433</f>
        <v>0</v>
      </c>
      <c r="V431" s="8">
        <f t="shared" ref="V431:W431" ca="1" si="2801">+U433</f>
        <v>0</v>
      </c>
      <c r="W431" s="8">
        <f t="shared" ca="1" si="2801"/>
        <v>0</v>
      </c>
      <c r="X431" s="8">
        <f t="shared" ref="X431" ca="1" si="2802">+U433</f>
        <v>0</v>
      </c>
      <c r="Y431" s="8">
        <f t="shared" ref="Y431" ca="1" si="2803">+X433</f>
        <v>0</v>
      </c>
      <c r="Z431" s="8">
        <f t="shared" ref="Z431" ca="1" si="2804">+Y433</f>
        <v>0</v>
      </c>
      <c r="AA431" s="8">
        <f t="shared" ref="AA431" ca="1" si="2805">+X433</f>
        <v>0</v>
      </c>
      <c r="AB431" s="8">
        <f t="shared" ref="AB431" ca="1" si="2806">+AA433</f>
        <v>0</v>
      </c>
      <c r="AC431" s="8">
        <f t="shared" ref="AC431" ca="1" si="2807">+AB433</f>
        <v>0</v>
      </c>
      <c r="AD431" s="8">
        <f t="shared" ref="AD431" ca="1" si="2808">+AA433</f>
        <v>0</v>
      </c>
      <c r="AE431" s="8">
        <f t="shared" ref="AE431" ca="1" si="2809">+AD433</f>
        <v>0</v>
      </c>
      <c r="AF431" s="8">
        <f t="shared" ref="AF431" ca="1" si="2810">+AE433</f>
        <v>0</v>
      </c>
      <c r="AG431" s="8">
        <f t="shared" ref="AG431" ca="1" si="2811">+AD433</f>
        <v>0</v>
      </c>
      <c r="AH431" s="8">
        <f t="shared" ref="AH431" ca="1" si="2812">+AG433</f>
        <v>0</v>
      </c>
      <c r="AI431" s="8">
        <f t="shared" ref="AI431" ca="1" si="2813">+AH433</f>
        <v>0</v>
      </c>
      <c r="AJ431" s="8">
        <f t="shared" ref="AJ431" ca="1" si="2814">+AG433</f>
        <v>0</v>
      </c>
      <c r="AK431" s="8">
        <f t="shared" ref="AK431" ca="1" si="2815">+AJ433</f>
        <v>0</v>
      </c>
      <c r="AL431" s="8">
        <f t="shared" ref="AL431" ca="1" si="2816">+AK433</f>
        <v>0</v>
      </c>
      <c r="AM431" s="8">
        <f t="shared" ref="AM431" ca="1" si="2817">+AJ433</f>
        <v>0</v>
      </c>
      <c r="AN431" s="8">
        <f t="shared" ref="AN431" ca="1" si="2818">+AM433</f>
        <v>0</v>
      </c>
      <c r="AO431" s="8">
        <f t="shared" ref="AO431" ca="1" si="2819">+AN433</f>
        <v>0</v>
      </c>
      <c r="AP431" s="8">
        <f t="shared" ref="AP431" ca="1" si="2820">+AM433</f>
        <v>0</v>
      </c>
      <c r="AQ431" s="8">
        <f t="shared" ref="AQ431" ca="1" si="2821">+AP433</f>
        <v>0</v>
      </c>
      <c r="AR431" s="8">
        <f t="shared" ref="AR431" ca="1" si="2822">+AQ433</f>
        <v>0</v>
      </c>
      <c r="AS431" s="8">
        <f t="shared" ref="AS431" ca="1" si="2823">+AP433</f>
        <v>0</v>
      </c>
      <c r="AT431" s="8">
        <f t="shared" ref="AT431" ca="1" si="2824">+AS433</f>
        <v>0</v>
      </c>
      <c r="AU431" s="8">
        <f t="shared" ref="AU431" ca="1" si="2825">+AT433</f>
        <v>0</v>
      </c>
      <c r="AV431" s="8">
        <f t="shared" ref="AV431" ca="1" si="2826">+AS433</f>
        <v>0</v>
      </c>
    </row>
    <row r="432" spans="1:55" outlineLevel="1" x14ac:dyDescent="0.25">
      <c r="B432" s="8" t="s">
        <v>190</v>
      </c>
      <c r="C432" s="22" t="s">
        <v>28</v>
      </c>
      <c r="J432" s="8">
        <f>+J433-J431</f>
        <v>0</v>
      </c>
      <c r="K432" s="8">
        <f t="shared" ref="K432:L432" ca="1" si="2827">+K433-K431</f>
        <v>0</v>
      </c>
      <c r="L432" s="313">
        <f t="shared" ca="1" si="2827"/>
        <v>0</v>
      </c>
      <c r="M432" s="8">
        <f t="shared" ref="M432:N432" ca="1" si="2828">+M433-M431</f>
        <v>0</v>
      </c>
      <c r="N432" s="313">
        <f t="shared" ca="1" si="2828"/>
        <v>0</v>
      </c>
      <c r="O432" s="207">
        <f ca="1">+M432+N432</f>
        <v>0</v>
      </c>
      <c r="P432" s="207">
        <v>0</v>
      </c>
      <c r="Q432" s="207">
        <v>0</v>
      </c>
      <c r="R432" s="207">
        <f t="shared" ref="R432" si="2829">+P432+Q432</f>
        <v>0</v>
      </c>
      <c r="S432" s="207">
        <v>0</v>
      </c>
      <c r="T432" s="207">
        <v>0</v>
      </c>
      <c r="U432" s="207">
        <f t="shared" ref="U432" si="2830">+S432+T432</f>
        <v>0</v>
      </c>
      <c r="V432" s="207">
        <v>0</v>
      </c>
      <c r="W432" s="207">
        <v>0</v>
      </c>
      <c r="X432" s="207">
        <f t="shared" ref="X432" si="2831">+V432+W432</f>
        <v>0</v>
      </c>
      <c r="Y432" s="207">
        <v>0</v>
      </c>
      <c r="Z432" s="207">
        <v>0</v>
      </c>
      <c r="AA432" s="207">
        <f t="shared" ref="AA432" si="2832">+Y432+Z432</f>
        <v>0</v>
      </c>
      <c r="AB432" s="207">
        <v>0</v>
      </c>
      <c r="AC432" s="207">
        <v>0</v>
      </c>
      <c r="AD432" s="207">
        <f t="shared" ref="AD432" si="2833">+AB432+AC432</f>
        <v>0</v>
      </c>
      <c r="AE432" s="207">
        <v>0</v>
      </c>
      <c r="AF432" s="207">
        <v>0</v>
      </c>
      <c r="AG432" s="207">
        <f t="shared" ref="AG432" si="2834">+AE432+AF432</f>
        <v>0</v>
      </c>
      <c r="AH432" s="207">
        <v>0</v>
      </c>
      <c r="AI432" s="207">
        <v>0</v>
      </c>
      <c r="AJ432" s="207">
        <f t="shared" ref="AJ432" si="2835">+AH432+AI432</f>
        <v>0</v>
      </c>
      <c r="AK432" s="207">
        <v>0</v>
      </c>
      <c r="AL432" s="207">
        <v>0</v>
      </c>
      <c r="AM432" s="207">
        <f t="shared" ref="AM432" si="2836">+AK432+AL432</f>
        <v>0</v>
      </c>
      <c r="AN432" s="207">
        <v>0</v>
      </c>
      <c r="AO432" s="207">
        <v>0</v>
      </c>
      <c r="AP432" s="207">
        <f t="shared" ref="AP432" si="2837">+AN432+AO432</f>
        <v>0</v>
      </c>
      <c r="AQ432" s="207">
        <v>0</v>
      </c>
      <c r="AR432" s="207">
        <v>0</v>
      </c>
      <c r="AS432" s="207">
        <f t="shared" ref="AS432" si="2838">+AQ432+AR432</f>
        <v>0</v>
      </c>
      <c r="AT432" s="207">
        <v>0</v>
      </c>
      <c r="AU432" s="207">
        <v>0</v>
      </c>
      <c r="AV432" s="207">
        <f t="shared" ref="AV432" si="2839">+AT432+AU432</f>
        <v>0</v>
      </c>
    </row>
    <row r="433" spans="2:55" s="62" customFormat="1" outlineLevel="1" x14ac:dyDescent="0.25">
      <c r="B433" s="12" t="s">
        <v>196</v>
      </c>
      <c r="C433" s="22" t="s">
        <v>28</v>
      </c>
      <c r="D433" s="12"/>
      <c r="E433" s="12"/>
      <c r="F433" s="12"/>
      <c r="G433" s="12"/>
      <c r="H433" s="12"/>
      <c r="I433" s="12">
        <v>0</v>
      </c>
      <c r="J433" s="12">
        <v>0</v>
      </c>
      <c r="K433" s="12">
        <f ca="1">+K431+K432</f>
        <v>0</v>
      </c>
      <c r="L433" s="391">
        <f t="shared" ref="L433:N433" ca="1" si="2840">+L431+L432</f>
        <v>0</v>
      </c>
      <c r="M433" s="12">
        <f ca="1">+M431+M432</f>
        <v>0</v>
      </c>
      <c r="N433" s="391">
        <f t="shared" ca="1" si="2840"/>
        <v>0</v>
      </c>
      <c r="O433" s="12">
        <f t="shared" ref="O433" ca="1" si="2841">+O431+O432</f>
        <v>0</v>
      </c>
      <c r="P433" s="12">
        <f t="shared" ref="P433" ca="1" si="2842">+P431+P432</f>
        <v>0</v>
      </c>
      <c r="Q433" s="12">
        <f t="shared" ref="Q433" ca="1" si="2843">+Q431+Q432</f>
        <v>0</v>
      </c>
      <c r="R433" s="12">
        <f t="shared" ref="R433" ca="1" si="2844">+R431+R432</f>
        <v>0</v>
      </c>
      <c r="S433" s="12">
        <f t="shared" ref="S433" ca="1" si="2845">+S431+S432</f>
        <v>0</v>
      </c>
      <c r="T433" s="12">
        <f t="shared" ref="T433" ca="1" si="2846">+T431+T432</f>
        <v>0</v>
      </c>
      <c r="U433" s="12">
        <f t="shared" ref="U433" ca="1" si="2847">+U431+U432</f>
        <v>0</v>
      </c>
      <c r="V433" s="12">
        <f t="shared" ref="V433" ca="1" si="2848">+V431+V432</f>
        <v>0</v>
      </c>
      <c r="W433" s="12">
        <f t="shared" ref="W433" ca="1" si="2849">+W431+W432</f>
        <v>0</v>
      </c>
      <c r="X433" s="12">
        <f t="shared" ref="X433:Z433" ca="1" si="2850">+X431+X432</f>
        <v>0</v>
      </c>
      <c r="Y433" s="12">
        <f t="shared" ca="1" si="2850"/>
        <v>0</v>
      </c>
      <c r="Z433" s="12">
        <f t="shared" ca="1" si="2850"/>
        <v>0</v>
      </c>
      <c r="AA433" s="12">
        <f t="shared" ref="AA433:AC433" ca="1" si="2851">+AA431+AA432</f>
        <v>0</v>
      </c>
      <c r="AB433" s="12">
        <f t="shared" ca="1" si="2851"/>
        <v>0</v>
      </c>
      <c r="AC433" s="12">
        <f t="shared" ca="1" si="2851"/>
        <v>0</v>
      </c>
      <c r="AD433" s="12">
        <f t="shared" ref="AD433:AP433" ca="1" si="2852">+AD431+AD432</f>
        <v>0</v>
      </c>
      <c r="AE433" s="12">
        <f t="shared" ca="1" si="2852"/>
        <v>0</v>
      </c>
      <c r="AF433" s="12">
        <f t="shared" ca="1" si="2852"/>
        <v>0</v>
      </c>
      <c r="AG433" s="12">
        <f t="shared" ca="1" si="2852"/>
        <v>0</v>
      </c>
      <c r="AH433" s="12">
        <f t="shared" ca="1" si="2852"/>
        <v>0</v>
      </c>
      <c r="AI433" s="12">
        <f t="shared" ca="1" si="2852"/>
        <v>0</v>
      </c>
      <c r="AJ433" s="12">
        <f t="shared" ca="1" si="2852"/>
        <v>0</v>
      </c>
      <c r="AK433" s="12">
        <f t="shared" ca="1" si="2852"/>
        <v>0</v>
      </c>
      <c r="AL433" s="12">
        <f t="shared" ca="1" si="2852"/>
        <v>0</v>
      </c>
      <c r="AM433" s="12">
        <f t="shared" ca="1" si="2852"/>
        <v>0</v>
      </c>
      <c r="AN433" s="12">
        <f t="shared" ca="1" si="2852"/>
        <v>0</v>
      </c>
      <c r="AO433" s="12">
        <f t="shared" ca="1" si="2852"/>
        <v>0</v>
      </c>
      <c r="AP433" s="12">
        <f t="shared" ca="1" si="2852"/>
        <v>0</v>
      </c>
      <c r="AQ433" s="12">
        <f t="shared" ref="AQ433:AV433" ca="1" si="2853">+AQ431+AQ432</f>
        <v>0</v>
      </c>
      <c r="AR433" s="12">
        <f t="shared" ca="1" si="2853"/>
        <v>0</v>
      </c>
      <c r="AS433" s="12">
        <f t="shared" ca="1" si="2853"/>
        <v>0</v>
      </c>
      <c r="AT433" s="12">
        <f t="shared" ca="1" si="2853"/>
        <v>0</v>
      </c>
      <c r="AU433" s="12">
        <f t="shared" ca="1" si="2853"/>
        <v>0</v>
      </c>
      <c r="AV433" s="12">
        <f t="shared" ca="1" si="2853"/>
        <v>0</v>
      </c>
      <c r="AX433"/>
      <c r="AY433"/>
      <c r="AZ433"/>
      <c r="BA433"/>
      <c r="BB433"/>
      <c r="BC433"/>
    </row>
    <row r="434" spans="2:55" outlineLevel="1" x14ac:dyDescent="0.25">
      <c r="M434" s="8"/>
      <c r="N434" s="313"/>
    </row>
    <row r="435" spans="2:55" outlineLevel="1" x14ac:dyDescent="0.25">
      <c r="B435" s="12" t="s">
        <v>197</v>
      </c>
      <c r="M435" s="8"/>
      <c r="N435" s="313"/>
    </row>
    <row r="436" spans="2:55" outlineLevel="1" x14ac:dyDescent="0.25">
      <c r="B436" s="8" t="s">
        <v>195</v>
      </c>
      <c r="C436" s="22" t="s">
        <v>28</v>
      </c>
      <c r="J436" s="8">
        <f>+I438</f>
        <v>3</v>
      </c>
      <c r="K436" s="8">
        <f>+J438</f>
        <v>3</v>
      </c>
      <c r="L436" s="313">
        <f>+I438</f>
        <v>3</v>
      </c>
      <c r="M436" s="8">
        <f>+L438</f>
        <v>0</v>
      </c>
      <c r="N436" s="313">
        <f>+K438</f>
        <v>0</v>
      </c>
      <c r="O436" s="8">
        <f>+L438</f>
        <v>0</v>
      </c>
      <c r="P436" s="8">
        <f t="shared" ref="P436:Q436" si="2854">+O438</f>
        <v>0</v>
      </c>
      <c r="Q436" s="8">
        <f t="shared" si="2854"/>
        <v>0</v>
      </c>
      <c r="R436" s="8">
        <f t="shared" ref="R436" si="2855">+O438</f>
        <v>0</v>
      </c>
      <c r="S436" s="8">
        <f t="shared" ref="S436:T436" si="2856">+R438</f>
        <v>0</v>
      </c>
      <c r="T436" s="8">
        <f t="shared" si="2856"/>
        <v>0</v>
      </c>
      <c r="U436" s="8">
        <f t="shared" ref="U436" si="2857">+R438</f>
        <v>0</v>
      </c>
      <c r="V436" s="8">
        <f t="shared" ref="V436:W436" si="2858">+U438</f>
        <v>0</v>
      </c>
      <c r="W436" s="8">
        <f t="shared" si="2858"/>
        <v>0</v>
      </c>
      <c r="X436" s="8">
        <f t="shared" ref="X436" si="2859">+U438</f>
        <v>0</v>
      </c>
      <c r="Y436" s="8">
        <f t="shared" ref="Y436" si="2860">+X438</f>
        <v>0</v>
      </c>
      <c r="Z436" s="8">
        <f t="shared" ref="Z436" si="2861">+Y438</f>
        <v>0</v>
      </c>
      <c r="AA436" s="8">
        <f t="shared" ref="AA436" si="2862">+X438</f>
        <v>0</v>
      </c>
      <c r="AB436" s="8">
        <f t="shared" ref="AB436" si="2863">+AA438</f>
        <v>0</v>
      </c>
      <c r="AC436" s="8">
        <f t="shared" ref="AC436" si="2864">+AB438</f>
        <v>0</v>
      </c>
      <c r="AD436" s="8">
        <f t="shared" ref="AD436" si="2865">+AA438</f>
        <v>0</v>
      </c>
      <c r="AE436" s="8">
        <f t="shared" ref="AE436" si="2866">+AD438</f>
        <v>0</v>
      </c>
      <c r="AF436" s="8">
        <f t="shared" ref="AF436" si="2867">+AE438</f>
        <v>0</v>
      </c>
      <c r="AG436" s="8">
        <f t="shared" ref="AG436" si="2868">+AD438</f>
        <v>0</v>
      </c>
      <c r="AH436" s="8">
        <f t="shared" ref="AH436" si="2869">+AG438</f>
        <v>0</v>
      </c>
      <c r="AI436" s="8">
        <f t="shared" ref="AI436" si="2870">+AH438</f>
        <v>0</v>
      </c>
      <c r="AJ436" s="8">
        <f t="shared" ref="AJ436" si="2871">+AG438</f>
        <v>0</v>
      </c>
      <c r="AK436" s="8">
        <f t="shared" ref="AK436" si="2872">+AJ438</f>
        <v>0</v>
      </c>
      <c r="AL436" s="8">
        <f t="shared" ref="AL436" si="2873">+AK438</f>
        <v>0</v>
      </c>
      <c r="AM436" s="8">
        <f t="shared" ref="AM436" si="2874">+AJ438</f>
        <v>0</v>
      </c>
      <c r="AN436" s="8">
        <f t="shared" ref="AN436" si="2875">+AM438</f>
        <v>0</v>
      </c>
      <c r="AO436" s="8">
        <f t="shared" ref="AO436" si="2876">+AN438</f>
        <v>0</v>
      </c>
      <c r="AP436" s="8">
        <f t="shared" ref="AP436" si="2877">+AM438</f>
        <v>0</v>
      </c>
      <c r="AQ436" s="8">
        <f t="shared" ref="AQ436" si="2878">+AP438</f>
        <v>0</v>
      </c>
      <c r="AR436" s="8">
        <f t="shared" ref="AR436" si="2879">+AQ438</f>
        <v>0</v>
      </c>
      <c r="AS436" s="8">
        <f t="shared" ref="AS436" si="2880">+AP438</f>
        <v>0</v>
      </c>
      <c r="AT436" s="8">
        <f t="shared" ref="AT436" si="2881">+AS438</f>
        <v>0</v>
      </c>
      <c r="AU436" s="8">
        <f t="shared" ref="AU436" si="2882">+AT438</f>
        <v>0</v>
      </c>
      <c r="AV436" s="8">
        <f t="shared" ref="AV436" si="2883">+AS438</f>
        <v>0</v>
      </c>
    </row>
    <row r="437" spans="2:55" outlineLevel="1" x14ac:dyDescent="0.25">
      <c r="B437" s="8" t="s">
        <v>190</v>
      </c>
      <c r="C437" s="22" t="s">
        <v>28</v>
      </c>
      <c r="J437" s="8">
        <f>+J438-J436</f>
        <v>0</v>
      </c>
      <c r="K437" s="8">
        <f t="shared" ref="K437:L437" si="2884">+K438-K436</f>
        <v>-3</v>
      </c>
      <c r="L437" s="313">
        <f t="shared" si="2884"/>
        <v>-3</v>
      </c>
      <c r="M437" s="8">
        <f t="shared" ref="M437:N437" si="2885">+M438-M436</f>
        <v>0</v>
      </c>
      <c r="N437" s="313">
        <f t="shared" si="2885"/>
        <v>0</v>
      </c>
      <c r="O437" s="207">
        <f>+M437+N437</f>
        <v>0</v>
      </c>
      <c r="P437" s="207">
        <v>0</v>
      </c>
      <c r="Q437" s="207">
        <v>0</v>
      </c>
      <c r="R437" s="207">
        <f t="shared" ref="R437" si="2886">+P437+Q437</f>
        <v>0</v>
      </c>
      <c r="S437" s="207">
        <v>0</v>
      </c>
      <c r="T437" s="207">
        <v>0</v>
      </c>
      <c r="U437" s="207">
        <f t="shared" ref="U437" si="2887">+S437+T437</f>
        <v>0</v>
      </c>
      <c r="V437" s="207">
        <v>0</v>
      </c>
      <c r="W437" s="207">
        <v>0</v>
      </c>
      <c r="X437" s="207">
        <f t="shared" ref="X437" si="2888">+V437+W437</f>
        <v>0</v>
      </c>
      <c r="Y437" s="207">
        <v>0</v>
      </c>
      <c r="Z437" s="207">
        <v>0</v>
      </c>
      <c r="AA437" s="207">
        <f t="shared" ref="AA437" si="2889">+Y437+Z437</f>
        <v>0</v>
      </c>
      <c r="AB437" s="207">
        <v>0</v>
      </c>
      <c r="AC437" s="207">
        <v>0</v>
      </c>
      <c r="AD437" s="207">
        <f t="shared" ref="AD437" si="2890">+AB437+AC437</f>
        <v>0</v>
      </c>
      <c r="AE437" s="207">
        <v>0</v>
      </c>
      <c r="AF437" s="207">
        <v>0</v>
      </c>
      <c r="AG437" s="207">
        <f t="shared" ref="AG437" si="2891">+AE437+AF437</f>
        <v>0</v>
      </c>
      <c r="AH437" s="207">
        <v>0</v>
      </c>
      <c r="AI437" s="207">
        <v>0</v>
      </c>
      <c r="AJ437" s="207">
        <f t="shared" ref="AJ437" si="2892">+AH437+AI437</f>
        <v>0</v>
      </c>
      <c r="AK437" s="207">
        <v>0</v>
      </c>
      <c r="AL437" s="207">
        <v>0</v>
      </c>
      <c r="AM437" s="207">
        <f t="shared" ref="AM437" si="2893">+AK437+AL437</f>
        <v>0</v>
      </c>
      <c r="AN437" s="207">
        <v>0</v>
      </c>
      <c r="AO437" s="207">
        <v>0</v>
      </c>
      <c r="AP437" s="207">
        <f t="shared" ref="AP437" si="2894">+AN437+AO437</f>
        <v>0</v>
      </c>
      <c r="AQ437" s="207">
        <v>0</v>
      </c>
      <c r="AR437" s="207">
        <v>0</v>
      </c>
      <c r="AS437" s="207">
        <f t="shared" ref="AS437" si="2895">+AQ437+AR437</f>
        <v>0</v>
      </c>
      <c r="AT437" s="207">
        <v>0</v>
      </c>
      <c r="AU437" s="207">
        <v>0</v>
      </c>
      <c r="AV437" s="207">
        <f t="shared" ref="AV437" si="2896">+AT437+AU437</f>
        <v>0</v>
      </c>
    </row>
    <row r="438" spans="2:55" s="62" customFormat="1" outlineLevel="1" x14ac:dyDescent="0.25">
      <c r="B438" s="12" t="s">
        <v>196</v>
      </c>
      <c r="C438" s="22" t="s">
        <v>28</v>
      </c>
      <c r="D438" s="12"/>
      <c r="E438" s="12"/>
      <c r="F438" s="12"/>
      <c r="G438" s="12"/>
      <c r="H438" s="12"/>
      <c r="I438" s="12">
        <f>+'Financial Statements'!I102</f>
        <v>3</v>
      </c>
      <c r="J438" s="12">
        <f>+'Financial Statements'!J102</f>
        <v>3</v>
      </c>
      <c r="K438" s="12">
        <f>+'Financial Statements'!K102</f>
        <v>0</v>
      </c>
      <c r="L438" s="391">
        <f>+'Financial Statements'!L102</f>
        <v>0</v>
      </c>
      <c r="M438" s="12">
        <f>+'Financial Statements'!M102</f>
        <v>0</v>
      </c>
      <c r="N438" s="391">
        <f>+'Financial Statements'!N102</f>
        <v>0</v>
      </c>
      <c r="O438" s="12">
        <f t="shared" ref="O438" si="2897">+O436+O437</f>
        <v>0</v>
      </c>
      <c r="P438" s="12">
        <f t="shared" ref="P438" si="2898">+P436+P437</f>
        <v>0</v>
      </c>
      <c r="Q438" s="12">
        <f t="shared" ref="Q438" si="2899">+Q436+Q437</f>
        <v>0</v>
      </c>
      <c r="R438" s="12">
        <f t="shared" ref="R438" si="2900">+R436+R437</f>
        <v>0</v>
      </c>
      <c r="S438" s="12">
        <f t="shared" ref="S438" si="2901">+S436+S437</f>
        <v>0</v>
      </c>
      <c r="T438" s="12">
        <f t="shared" ref="T438" si="2902">+T436+T437</f>
        <v>0</v>
      </c>
      <c r="U438" s="12">
        <f t="shared" ref="U438" si="2903">+U436+U437</f>
        <v>0</v>
      </c>
      <c r="V438" s="12">
        <f t="shared" ref="V438" si="2904">+V436+V437</f>
        <v>0</v>
      </c>
      <c r="W438" s="12">
        <f t="shared" ref="W438" si="2905">+W436+W437</f>
        <v>0</v>
      </c>
      <c r="X438" s="12">
        <f t="shared" ref="X438:Z438" si="2906">+X436+X437</f>
        <v>0</v>
      </c>
      <c r="Y438" s="12">
        <f t="shared" si="2906"/>
        <v>0</v>
      </c>
      <c r="Z438" s="12">
        <f t="shared" si="2906"/>
        <v>0</v>
      </c>
      <c r="AA438" s="12">
        <f t="shared" ref="AA438:AC438" si="2907">+AA436+AA437</f>
        <v>0</v>
      </c>
      <c r="AB438" s="12">
        <f t="shared" si="2907"/>
        <v>0</v>
      </c>
      <c r="AC438" s="12">
        <f t="shared" si="2907"/>
        <v>0</v>
      </c>
      <c r="AD438" s="12">
        <f t="shared" ref="AD438:AP438" si="2908">+AD436+AD437</f>
        <v>0</v>
      </c>
      <c r="AE438" s="12">
        <f t="shared" si="2908"/>
        <v>0</v>
      </c>
      <c r="AF438" s="12">
        <f t="shared" si="2908"/>
        <v>0</v>
      </c>
      <c r="AG438" s="12">
        <f t="shared" si="2908"/>
        <v>0</v>
      </c>
      <c r="AH438" s="12">
        <f t="shared" si="2908"/>
        <v>0</v>
      </c>
      <c r="AI438" s="12">
        <f t="shared" si="2908"/>
        <v>0</v>
      </c>
      <c r="AJ438" s="12">
        <f t="shared" si="2908"/>
        <v>0</v>
      </c>
      <c r="AK438" s="12">
        <f t="shared" si="2908"/>
        <v>0</v>
      </c>
      <c r="AL438" s="12">
        <f t="shared" si="2908"/>
        <v>0</v>
      </c>
      <c r="AM438" s="12">
        <f t="shared" si="2908"/>
        <v>0</v>
      </c>
      <c r="AN438" s="12">
        <f t="shared" si="2908"/>
        <v>0</v>
      </c>
      <c r="AO438" s="12">
        <f t="shared" si="2908"/>
        <v>0</v>
      </c>
      <c r="AP438" s="12">
        <f t="shared" si="2908"/>
        <v>0</v>
      </c>
      <c r="AQ438" s="12">
        <f t="shared" ref="AQ438:AV438" si="2909">+AQ436+AQ437</f>
        <v>0</v>
      </c>
      <c r="AR438" s="12">
        <f t="shared" si="2909"/>
        <v>0</v>
      </c>
      <c r="AS438" s="12">
        <f t="shared" si="2909"/>
        <v>0</v>
      </c>
      <c r="AT438" s="12">
        <f t="shared" si="2909"/>
        <v>0</v>
      </c>
      <c r="AU438" s="12">
        <f t="shared" si="2909"/>
        <v>0</v>
      </c>
      <c r="AV438" s="12">
        <f t="shared" si="2909"/>
        <v>0</v>
      </c>
      <c r="AX438"/>
      <c r="AY438"/>
      <c r="AZ438"/>
      <c r="BA438"/>
      <c r="BB438"/>
      <c r="BC438"/>
    </row>
    <row r="439" spans="2:55" outlineLevel="1" x14ac:dyDescent="0.25">
      <c r="M439" s="8"/>
      <c r="N439" s="313"/>
    </row>
    <row r="440" spans="2:55" s="62" customFormat="1" outlineLevel="1" x14ac:dyDescent="0.25">
      <c r="B440" s="12" t="s">
        <v>198</v>
      </c>
      <c r="C440" s="56"/>
      <c r="D440" s="12"/>
      <c r="E440" s="12"/>
      <c r="F440" s="12"/>
      <c r="G440" s="12"/>
      <c r="H440" s="12"/>
      <c r="I440" s="12">
        <f t="shared" ref="I440:N440" si="2910">+I438+I433</f>
        <v>3</v>
      </c>
      <c r="J440" s="12">
        <f t="shared" si="2910"/>
        <v>3</v>
      </c>
      <c r="K440" s="12">
        <f t="shared" ca="1" si="2910"/>
        <v>0</v>
      </c>
      <c r="L440" s="391">
        <f t="shared" ca="1" si="2910"/>
        <v>0</v>
      </c>
      <c r="M440" s="12">
        <f t="shared" ca="1" si="2910"/>
        <v>0</v>
      </c>
      <c r="N440" s="391">
        <f t="shared" ca="1" si="2910"/>
        <v>0</v>
      </c>
      <c r="O440" s="12">
        <f t="shared" ref="O440:AA440" ca="1" si="2911">+O438+O433</f>
        <v>0</v>
      </c>
      <c r="P440" s="12">
        <f t="shared" ca="1" si="2911"/>
        <v>0</v>
      </c>
      <c r="Q440" s="12">
        <f t="shared" ca="1" si="2911"/>
        <v>0</v>
      </c>
      <c r="R440" s="12">
        <f t="shared" ca="1" si="2911"/>
        <v>0</v>
      </c>
      <c r="S440" s="12">
        <f t="shared" ca="1" si="2911"/>
        <v>0</v>
      </c>
      <c r="T440" s="12">
        <f t="shared" ca="1" si="2911"/>
        <v>0</v>
      </c>
      <c r="U440" s="12">
        <f t="shared" ca="1" si="2911"/>
        <v>0</v>
      </c>
      <c r="V440" s="12">
        <f t="shared" ca="1" si="2911"/>
        <v>0</v>
      </c>
      <c r="W440" s="12">
        <f t="shared" ca="1" si="2911"/>
        <v>0</v>
      </c>
      <c r="X440" s="12">
        <f t="shared" ca="1" si="2911"/>
        <v>0</v>
      </c>
      <c r="Y440" s="12">
        <f t="shared" ca="1" si="2911"/>
        <v>0</v>
      </c>
      <c r="Z440" s="12">
        <f t="shared" ca="1" si="2911"/>
        <v>0</v>
      </c>
      <c r="AA440" s="12">
        <f t="shared" ca="1" si="2911"/>
        <v>0</v>
      </c>
      <c r="AB440" s="12">
        <f t="shared" ref="AB440:AP440" ca="1" si="2912">+AB438+AB433</f>
        <v>0</v>
      </c>
      <c r="AC440" s="12">
        <f t="shared" ca="1" si="2912"/>
        <v>0</v>
      </c>
      <c r="AD440" s="12">
        <f t="shared" ca="1" si="2912"/>
        <v>0</v>
      </c>
      <c r="AE440" s="12">
        <f t="shared" ca="1" si="2912"/>
        <v>0</v>
      </c>
      <c r="AF440" s="12">
        <f t="shared" ca="1" si="2912"/>
        <v>0</v>
      </c>
      <c r="AG440" s="12">
        <f t="shared" ca="1" si="2912"/>
        <v>0</v>
      </c>
      <c r="AH440" s="12">
        <f t="shared" ca="1" si="2912"/>
        <v>0</v>
      </c>
      <c r="AI440" s="12">
        <f t="shared" ca="1" si="2912"/>
        <v>0</v>
      </c>
      <c r="AJ440" s="12">
        <f t="shared" ca="1" si="2912"/>
        <v>0</v>
      </c>
      <c r="AK440" s="12">
        <f t="shared" ca="1" si="2912"/>
        <v>0</v>
      </c>
      <c r="AL440" s="12">
        <f t="shared" ca="1" si="2912"/>
        <v>0</v>
      </c>
      <c r="AM440" s="12">
        <f t="shared" ca="1" si="2912"/>
        <v>0</v>
      </c>
      <c r="AN440" s="12">
        <f t="shared" ca="1" si="2912"/>
        <v>0</v>
      </c>
      <c r="AO440" s="12">
        <f t="shared" ca="1" si="2912"/>
        <v>0</v>
      </c>
      <c r="AP440" s="12">
        <f t="shared" ca="1" si="2912"/>
        <v>0</v>
      </c>
      <c r="AQ440" s="12">
        <f t="shared" ref="AQ440:AV440" ca="1" si="2913">+AQ438+AQ433</f>
        <v>0</v>
      </c>
      <c r="AR440" s="12">
        <f t="shared" ca="1" si="2913"/>
        <v>0</v>
      </c>
      <c r="AS440" s="12">
        <f t="shared" ca="1" si="2913"/>
        <v>0</v>
      </c>
      <c r="AT440" s="12">
        <f t="shared" ca="1" si="2913"/>
        <v>0</v>
      </c>
      <c r="AU440" s="12">
        <f t="shared" ca="1" si="2913"/>
        <v>0</v>
      </c>
      <c r="AV440" s="12">
        <f t="shared" ca="1" si="2913"/>
        <v>0</v>
      </c>
      <c r="AX440"/>
      <c r="AY440"/>
      <c r="AZ440"/>
      <c r="BA440"/>
      <c r="BB440"/>
      <c r="BC440"/>
    </row>
    <row r="441" spans="2:55" outlineLevel="1" x14ac:dyDescent="0.25">
      <c r="M441" s="8"/>
      <c r="N441" s="313"/>
    </row>
    <row r="442" spans="2:55" s="62" customFormat="1" outlineLevel="1" x14ac:dyDescent="0.25">
      <c r="B442" s="12" t="s">
        <v>200</v>
      </c>
      <c r="C442" s="22" t="s">
        <v>28</v>
      </c>
      <c r="D442" s="12"/>
      <c r="E442" s="12"/>
      <c r="F442" s="12"/>
      <c r="G442" s="12"/>
      <c r="H442" s="12"/>
      <c r="I442" s="12"/>
      <c r="J442" s="12"/>
      <c r="K442" s="12">
        <f ca="1">(K440+J440)*0.5</f>
        <v>1.5</v>
      </c>
      <c r="L442" s="391">
        <f ca="1">(L440+I440)*0.5</f>
        <v>1.5</v>
      </c>
      <c r="M442" s="12">
        <f ca="1">(M440+L440)*0.5</f>
        <v>0</v>
      </c>
      <c r="N442" s="391">
        <f ca="1">(N440+K440)*0.5</f>
        <v>0</v>
      </c>
      <c r="O442" s="12">
        <f ca="1">(O440+L440)*0.5</f>
        <v>0</v>
      </c>
      <c r="P442" s="12">
        <f t="shared" ref="P442:Q442" ca="1" si="2914">(P440+O440)*0.5</f>
        <v>0</v>
      </c>
      <c r="Q442" s="12">
        <f t="shared" ca="1" si="2914"/>
        <v>0</v>
      </c>
      <c r="R442" s="12">
        <f t="shared" ref="R442" ca="1" si="2915">(R440+O440)*0.5</f>
        <v>0</v>
      </c>
      <c r="S442" s="12">
        <f t="shared" ref="S442:T442" ca="1" si="2916">(S440+R440)*0.5</f>
        <v>0</v>
      </c>
      <c r="T442" s="12">
        <f t="shared" ca="1" si="2916"/>
        <v>0</v>
      </c>
      <c r="U442" s="12">
        <f t="shared" ref="U442" ca="1" si="2917">(U440+R440)*0.5</f>
        <v>0</v>
      </c>
      <c r="V442" s="12">
        <f t="shared" ref="V442:W442" ca="1" si="2918">(V440+U440)*0.5</f>
        <v>0</v>
      </c>
      <c r="W442" s="12">
        <f t="shared" ca="1" si="2918"/>
        <v>0</v>
      </c>
      <c r="X442" s="12">
        <f t="shared" ref="X442" ca="1" si="2919">(X440+U440)*0.5</f>
        <v>0</v>
      </c>
      <c r="Y442" s="12">
        <f t="shared" ref="Y442" ca="1" si="2920">(Y440+X440)*0.5</f>
        <v>0</v>
      </c>
      <c r="Z442" s="12">
        <f t="shared" ref="Z442" ca="1" si="2921">(Z440+Y440)*0.5</f>
        <v>0</v>
      </c>
      <c r="AA442" s="12">
        <f t="shared" ref="AA442" ca="1" si="2922">(AA440+X440)*0.5</f>
        <v>0</v>
      </c>
      <c r="AB442" s="12">
        <f t="shared" ref="AB442" ca="1" si="2923">(AB440+AA440)*0.5</f>
        <v>0</v>
      </c>
      <c r="AC442" s="12">
        <f t="shared" ref="AC442" ca="1" si="2924">(AC440+AB440)*0.5</f>
        <v>0</v>
      </c>
      <c r="AD442" s="12">
        <f t="shared" ref="AD442" ca="1" si="2925">(AD440+AA440)*0.5</f>
        <v>0</v>
      </c>
      <c r="AE442" s="12">
        <f t="shared" ref="AE442" ca="1" si="2926">(AE440+AD440)*0.5</f>
        <v>0</v>
      </c>
      <c r="AF442" s="12">
        <f t="shared" ref="AF442" ca="1" si="2927">(AF440+AE440)*0.5</f>
        <v>0</v>
      </c>
      <c r="AG442" s="12">
        <f t="shared" ref="AG442" ca="1" si="2928">(AG440+AD440)*0.5</f>
        <v>0</v>
      </c>
      <c r="AH442" s="12">
        <f t="shared" ref="AH442" ca="1" si="2929">(AH440+AG440)*0.5</f>
        <v>0</v>
      </c>
      <c r="AI442" s="12">
        <f t="shared" ref="AI442" ca="1" si="2930">(AI440+AH440)*0.5</f>
        <v>0</v>
      </c>
      <c r="AJ442" s="12">
        <f t="shared" ref="AJ442" ca="1" si="2931">(AJ440+AG440)*0.5</f>
        <v>0</v>
      </c>
      <c r="AK442" s="12">
        <f t="shared" ref="AK442" ca="1" si="2932">(AK440+AJ440)*0.5</f>
        <v>0</v>
      </c>
      <c r="AL442" s="12">
        <f t="shared" ref="AL442" ca="1" si="2933">(AL440+AK440)*0.5</f>
        <v>0</v>
      </c>
      <c r="AM442" s="12">
        <f t="shared" ref="AM442" ca="1" si="2934">(AM440+AJ440)*0.5</f>
        <v>0</v>
      </c>
      <c r="AN442" s="12">
        <f t="shared" ref="AN442" ca="1" si="2935">(AN440+AM440)*0.5</f>
        <v>0</v>
      </c>
      <c r="AO442" s="12">
        <f t="shared" ref="AO442" ca="1" si="2936">(AO440+AN440)*0.5</f>
        <v>0</v>
      </c>
      <c r="AP442" s="12">
        <f t="shared" ref="AP442" ca="1" si="2937">(AP440+AM440)*0.5</f>
        <v>0</v>
      </c>
      <c r="AQ442" s="12">
        <f t="shared" ref="AQ442" ca="1" si="2938">(AQ440+AP440)*0.5</f>
        <v>0</v>
      </c>
      <c r="AR442" s="12">
        <f t="shared" ref="AR442" ca="1" si="2939">(AR440+AQ440)*0.5</f>
        <v>0</v>
      </c>
      <c r="AS442" s="12">
        <f t="shared" ref="AS442" ca="1" si="2940">(AS440+AP440)*0.5</f>
        <v>0</v>
      </c>
      <c r="AT442" s="12">
        <f t="shared" ref="AT442" ca="1" si="2941">(AT440+AS440)*0.5</f>
        <v>0</v>
      </c>
      <c r="AU442" s="12">
        <f t="shared" ref="AU442" ca="1" si="2942">(AU440+AT440)*0.5</f>
        <v>0</v>
      </c>
      <c r="AV442" s="12">
        <f t="shared" ref="AV442" ca="1" si="2943">(AV440+AS440)*0.5</f>
        <v>0</v>
      </c>
      <c r="AX442"/>
      <c r="AY442"/>
      <c r="AZ442"/>
      <c r="BA442"/>
      <c r="BB442"/>
      <c r="BC442"/>
    </row>
    <row r="443" spans="2:55" outlineLevel="1" x14ac:dyDescent="0.25">
      <c r="B443" s="72" t="s">
        <v>213</v>
      </c>
      <c r="C443" s="22" t="s">
        <v>28</v>
      </c>
      <c r="K443" s="163">
        <v>1.5</v>
      </c>
      <c r="L443" s="341">
        <v>1.5</v>
      </c>
      <c r="M443" s="8">
        <v>0</v>
      </c>
      <c r="N443" s="8">
        <v>0</v>
      </c>
      <c r="O443" s="8">
        <v>0</v>
      </c>
      <c r="P443" s="8">
        <v>0</v>
      </c>
      <c r="Q443" s="8">
        <v>0</v>
      </c>
      <c r="R443" s="8">
        <v>0</v>
      </c>
      <c r="S443" s="8">
        <v>0</v>
      </c>
      <c r="T443" s="8">
        <v>0</v>
      </c>
      <c r="U443" s="8">
        <v>0</v>
      </c>
      <c r="V443" s="8">
        <v>0</v>
      </c>
      <c r="W443" s="8">
        <v>0</v>
      </c>
      <c r="X443" s="8">
        <v>0</v>
      </c>
      <c r="Y443" s="8">
        <v>0</v>
      </c>
      <c r="Z443" s="8">
        <v>0</v>
      </c>
      <c r="AA443" s="8">
        <v>0</v>
      </c>
      <c r="AB443" s="8">
        <v>0</v>
      </c>
      <c r="AC443" s="8">
        <v>0</v>
      </c>
      <c r="AD443" s="8">
        <v>0</v>
      </c>
      <c r="AE443" s="8">
        <v>0</v>
      </c>
      <c r="AF443" s="8">
        <v>0</v>
      </c>
      <c r="AG443" s="8">
        <v>0</v>
      </c>
      <c r="AH443" s="8">
        <v>0</v>
      </c>
      <c r="AI443" s="8">
        <v>0</v>
      </c>
      <c r="AJ443" s="8">
        <v>0</v>
      </c>
      <c r="AK443" s="8">
        <v>0</v>
      </c>
      <c r="AL443" s="8">
        <v>0</v>
      </c>
      <c r="AM443" s="8">
        <v>0</v>
      </c>
      <c r="AN443" s="8">
        <v>0</v>
      </c>
      <c r="AO443" s="8">
        <v>0</v>
      </c>
      <c r="AP443" s="8">
        <v>0</v>
      </c>
      <c r="AQ443" s="8">
        <v>0</v>
      </c>
      <c r="AR443" s="8">
        <v>0</v>
      </c>
      <c r="AS443" s="8">
        <v>0</v>
      </c>
      <c r="AT443" s="8">
        <v>0</v>
      </c>
      <c r="AU443" s="8">
        <v>0</v>
      </c>
      <c r="AV443" s="8">
        <v>0</v>
      </c>
    </row>
    <row r="444" spans="2:55" outlineLevel="1" x14ac:dyDescent="0.25">
      <c r="M444" s="8"/>
    </row>
    <row r="445" spans="2:55" outlineLevel="1" x14ac:dyDescent="0.25">
      <c r="B445" s="8" t="s">
        <v>202</v>
      </c>
      <c r="C445" s="22" t="s">
        <v>28</v>
      </c>
      <c r="F445" s="45">
        <v>-0.2</v>
      </c>
      <c r="I445" s="45">
        <v>-0.3</v>
      </c>
      <c r="J445" s="8">
        <f>0.5*L445</f>
        <v>-0.16500000000000001</v>
      </c>
      <c r="K445" s="181">
        <f>+L445-J445</f>
        <v>-0.16500000000000001</v>
      </c>
      <c r="L445" s="354">
        <v>-0.33</v>
      </c>
      <c r="M445" s="441">
        <v>-6.6000000000000003E-2</v>
      </c>
      <c r="N445" s="470">
        <f>O445-M445</f>
        <v>-6.5000000000000002E-2</v>
      </c>
      <c r="O445" s="471">
        <v>-0.13100000000000001</v>
      </c>
      <c r="P445" s="268">
        <f t="shared" ref="P445:V445" ca="1" si="2944">+(P446*0.5)*P442</f>
        <v>0</v>
      </c>
      <c r="Q445" s="268">
        <f t="shared" ref="Q445" ca="1" si="2945">R445-P445</f>
        <v>0</v>
      </c>
      <c r="R445" s="268">
        <f t="shared" ref="R445" ca="1" si="2946">+(R446)*R442</f>
        <v>0</v>
      </c>
      <c r="S445" s="268">
        <f t="shared" ca="1" si="2944"/>
        <v>0</v>
      </c>
      <c r="T445" s="268">
        <f t="shared" ref="T445" ca="1" si="2947">U445-S445</f>
        <v>0</v>
      </c>
      <c r="U445" s="268">
        <f t="shared" ref="U445" ca="1" si="2948">+(U446)*U442</f>
        <v>0</v>
      </c>
      <c r="V445" s="268">
        <f t="shared" ca="1" si="2944"/>
        <v>0</v>
      </c>
      <c r="W445" s="268">
        <f t="shared" ref="W445" ca="1" si="2949">X445-V445</f>
        <v>0</v>
      </c>
      <c r="X445" s="268">
        <f t="shared" ref="X445" ca="1" si="2950">+(X446)*X442</f>
        <v>0</v>
      </c>
      <c r="Y445" s="268">
        <f t="shared" ref="Y445" ca="1" si="2951">+(Y446*0.5)*Y442</f>
        <v>0</v>
      </c>
      <c r="Z445" s="268">
        <f t="shared" ref="Z445" ca="1" si="2952">AA445-Y445</f>
        <v>0</v>
      </c>
      <c r="AA445" s="268">
        <f t="shared" ref="AA445" ca="1" si="2953">+(AA446)*AA442</f>
        <v>0</v>
      </c>
      <c r="AB445" s="268">
        <f t="shared" ref="AB445:AN445" ca="1" si="2954">+(AB446*0.5)*AB442</f>
        <v>0</v>
      </c>
      <c r="AC445" s="268">
        <f t="shared" ref="AC445" ca="1" si="2955">AD445-AB445</f>
        <v>0</v>
      </c>
      <c r="AD445" s="268">
        <f t="shared" ref="AD445:AP445" ca="1" si="2956">+(AD446)*AD442</f>
        <v>0</v>
      </c>
      <c r="AE445" s="268">
        <f t="shared" ca="1" si="2954"/>
        <v>0</v>
      </c>
      <c r="AF445" s="268">
        <f t="shared" ref="AF445" ca="1" si="2957">AG445-AE445</f>
        <v>0</v>
      </c>
      <c r="AG445" s="268">
        <f t="shared" ca="1" si="2956"/>
        <v>0</v>
      </c>
      <c r="AH445" s="268">
        <f t="shared" ca="1" si="2954"/>
        <v>0</v>
      </c>
      <c r="AI445" s="268">
        <f t="shared" ref="AI445" ca="1" si="2958">AJ445-AH445</f>
        <v>0</v>
      </c>
      <c r="AJ445" s="268">
        <f t="shared" ca="1" si="2956"/>
        <v>0</v>
      </c>
      <c r="AK445" s="268">
        <f t="shared" ca="1" si="2954"/>
        <v>0</v>
      </c>
      <c r="AL445" s="268">
        <f t="shared" ref="AL445" ca="1" si="2959">AM445-AK445</f>
        <v>0</v>
      </c>
      <c r="AM445" s="268">
        <f t="shared" ca="1" si="2956"/>
        <v>0</v>
      </c>
      <c r="AN445" s="268">
        <f t="shared" ca="1" si="2954"/>
        <v>0</v>
      </c>
      <c r="AO445" s="268">
        <f t="shared" ref="AO445" ca="1" si="2960">AP445-AN445</f>
        <v>0</v>
      </c>
      <c r="AP445" s="268">
        <f t="shared" ca="1" si="2956"/>
        <v>0</v>
      </c>
      <c r="AQ445" s="268">
        <f t="shared" ref="AQ445" ca="1" si="2961">+(AQ446*0.5)*AQ442</f>
        <v>0</v>
      </c>
      <c r="AR445" s="268">
        <f t="shared" ref="AR445" ca="1" si="2962">AS445-AQ445</f>
        <v>0</v>
      </c>
      <c r="AS445" s="268">
        <f t="shared" ref="AS445" ca="1" si="2963">+(AS446)*AS442</f>
        <v>0</v>
      </c>
      <c r="AT445" s="268">
        <f t="shared" ref="AT445" ca="1" si="2964">+(AT446*0.5)*AT442</f>
        <v>0</v>
      </c>
      <c r="AU445" s="268">
        <f t="shared" ref="AU445" ca="1" si="2965">AV445-AT445</f>
        <v>0</v>
      </c>
      <c r="AV445" s="268">
        <f t="shared" ref="AV445" ca="1" si="2966">+(AV446)*AV442</f>
        <v>0</v>
      </c>
    </row>
    <row r="446" spans="2:55" outlineLevel="1" x14ac:dyDescent="0.25">
      <c r="B446" s="8" t="s">
        <v>203</v>
      </c>
      <c r="C446" s="22" t="s">
        <v>29</v>
      </c>
      <c r="K446" s="203"/>
      <c r="L446" s="392"/>
      <c r="M446" s="419"/>
      <c r="N446" s="203"/>
      <c r="O446" s="392"/>
      <c r="P446" s="208">
        <f t="shared" ref="P446" si="2967">+R446</f>
        <v>0.05</v>
      </c>
      <c r="Q446" s="209" t="str">
        <f ca="1">IFERROR(+Q445/Q442*2,"na")</f>
        <v>na</v>
      </c>
      <c r="R446" s="208">
        <v>0.05</v>
      </c>
      <c r="S446" s="208">
        <f t="shared" ref="S446" si="2968">+U446</f>
        <v>0.05</v>
      </c>
      <c r="T446" s="209" t="str">
        <f ca="1">IFERROR(+T445/T442*2,"na")</f>
        <v>na</v>
      </c>
      <c r="U446" s="208">
        <v>0.05</v>
      </c>
      <c r="V446" s="208">
        <f t="shared" ref="V446" si="2969">+X446</f>
        <v>0.05</v>
      </c>
      <c r="W446" s="209" t="str">
        <f ca="1">IFERROR(+W445/W442*2,"na")</f>
        <v>na</v>
      </c>
      <c r="X446" s="208">
        <v>0.05</v>
      </c>
      <c r="Y446" s="208">
        <v>0.05</v>
      </c>
      <c r="Z446" s="209" t="str">
        <f ca="1">IFERROR(+Z445/Z442*2,"na")</f>
        <v>na</v>
      </c>
      <c r="AA446" s="208">
        <v>0.05</v>
      </c>
      <c r="AB446" s="208">
        <v>0.05</v>
      </c>
      <c r="AC446" s="209" t="str">
        <f ca="1">IFERROR(+AC445/AC442*2,"na")</f>
        <v>na</v>
      </c>
      <c r="AD446" s="208">
        <v>0.05</v>
      </c>
      <c r="AE446" s="208">
        <v>0.05</v>
      </c>
      <c r="AF446" s="209" t="str">
        <f ca="1">IFERROR(+AF445/AF442*2,"na")</f>
        <v>na</v>
      </c>
      <c r="AG446" s="208">
        <v>0.05</v>
      </c>
      <c r="AH446" s="208">
        <v>0.05</v>
      </c>
      <c r="AI446" s="209" t="str">
        <f ca="1">IFERROR(+AI445/AI442*2,"na")</f>
        <v>na</v>
      </c>
      <c r="AJ446" s="208">
        <v>0.05</v>
      </c>
      <c r="AK446" s="208">
        <v>0.05</v>
      </c>
      <c r="AL446" s="209" t="str">
        <f ca="1">IFERROR(+AL445/AL442*2,"na")</f>
        <v>na</v>
      </c>
      <c r="AM446" s="208">
        <v>0.05</v>
      </c>
      <c r="AN446" s="208">
        <v>0.05</v>
      </c>
      <c r="AO446" s="209" t="str">
        <f ca="1">IFERROR(+AO445/AO442*2,"na")</f>
        <v>na</v>
      </c>
      <c r="AP446" s="208">
        <v>0.05</v>
      </c>
      <c r="AQ446" s="208">
        <v>0.05</v>
      </c>
      <c r="AR446" s="209" t="str">
        <f ca="1">IFERROR(+AR445/AR442*2,"na")</f>
        <v>na</v>
      </c>
      <c r="AS446" s="208">
        <v>0.05</v>
      </c>
      <c r="AT446" s="208">
        <v>0.05</v>
      </c>
      <c r="AU446" s="209" t="str">
        <f ca="1">IFERROR(+AU445/AU442*2,"na")</f>
        <v>na</v>
      </c>
      <c r="AV446" s="208">
        <v>0.05</v>
      </c>
    </row>
    <row r="447" spans="2:55" outlineLevel="1" x14ac:dyDescent="0.25">
      <c r="M447" s="8"/>
    </row>
    <row r="448" spans="2:55" outlineLevel="1" x14ac:dyDescent="0.25">
      <c r="M448" s="8"/>
    </row>
    <row r="449" spans="1:49" outlineLevel="1" x14ac:dyDescent="0.25">
      <c r="M449" s="8"/>
    </row>
    <row r="450" spans="1:49" outlineLevel="1" x14ac:dyDescent="0.25">
      <c r="B450" s="12" t="s">
        <v>201</v>
      </c>
      <c r="C450" s="22" t="s">
        <v>28</v>
      </c>
      <c r="I450" s="21">
        <f>+'Financial Statements'!I75</f>
        <v>36.503999999999998</v>
      </c>
      <c r="J450" s="21">
        <f>+'Financial Statements'!J75</f>
        <v>279.7</v>
      </c>
      <c r="K450" s="21">
        <f>+'Financial Statements'!K75</f>
        <v>294.48</v>
      </c>
      <c r="L450" s="308">
        <f>+'Financial Statements'!L75</f>
        <v>294.48</v>
      </c>
      <c r="M450" s="21">
        <f>+'Financial Statements'!M75</f>
        <v>274.49299999999999</v>
      </c>
      <c r="N450" s="21">
        <f>+'Financial Statements'!N75</f>
        <v>281.74299999999999</v>
      </c>
      <c r="O450" s="21">
        <f>+'Financial Statements'!O75</f>
        <v>281.74299999999999</v>
      </c>
      <c r="P450" s="21">
        <f ca="1">+'Financial Statements'!P75</f>
        <v>279.59941204363133</v>
      </c>
      <c r="Q450" s="21">
        <f ca="1">+'Financial Statements'!Q75</f>
        <v>269.57803351407364</v>
      </c>
      <c r="R450" s="21">
        <f ca="1">+'Financial Statements'!R75</f>
        <v>269.57803351407364</v>
      </c>
      <c r="S450" s="21">
        <f ca="1">+'Financial Statements'!S75</f>
        <v>257.02244026568923</v>
      </c>
      <c r="T450" s="21">
        <f ca="1">+'Financial Statements'!T75</f>
        <v>242.88345875289414</v>
      </c>
      <c r="U450" s="21">
        <f ca="1">+'Financial Statements'!U75</f>
        <v>242.88345875289414</v>
      </c>
      <c r="V450" s="21">
        <f ca="1">+'Financial Statements'!V75</f>
        <v>238.02950673489681</v>
      </c>
      <c r="W450" s="21">
        <f ca="1">+'Financial Statements'!W75</f>
        <v>233.9267120884567</v>
      </c>
      <c r="X450" s="21">
        <f ca="1">+'Financial Statements'!X75</f>
        <v>233.9267120884567</v>
      </c>
      <c r="Y450" s="21">
        <f ca="1">+'Financial Statements'!Y75</f>
        <v>230.70455229839098</v>
      </c>
      <c r="Z450" s="21">
        <f ca="1">+'Financial Statements'!Z75</f>
        <v>229.80971387405557</v>
      </c>
      <c r="AA450" s="21">
        <f ca="1">+'Financial Statements'!AA75</f>
        <v>229.80971387405557</v>
      </c>
      <c r="AB450" s="21">
        <f ca="1">+'Financial Statements'!AB75</f>
        <v>231.74871509436227</v>
      </c>
      <c r="AC450" s="21">
        <f ca="1">+'Financial Statements'!AC75</f>
        <v>236.91066360781673</v>
      </c>
      <c r="AD450" s="21">
        <f ca="1">+'Financial Statements'!AD75</f>
        <v>236.91066360781673</v>
      </c>
      <c r="AE450" s="21">
        <f ca="1">+'Financial Statements'!AE75</f>
        <v>242.57804629509366</v>
      </c>
      <c r="AF450" s="21">
        <f ca="1">+'Financial Statements'!AF75</f>
        <v>251.67311088888908</v>
      </c>
      <c r="AG450" s="21">
        <f ca="1">+'Financial Statements'!AG75</f>
        <v>251.67311088888908</v>
      </c>
      <c r="AH450" s="21">
        <f ca="1">+'Financial Statements'!AH75</f>
        <v>261.31640844466313</v>
      </c>
      <c r="AI450" s="21">
        <f ca="1">+'Financial Statements'!AI75</f>
        <v>274.99607371055538</v>
      </c>
      <c r="AJ450" s="21">
        <f ca="1">+'Financial Statements'!AJ75</f>
        <v>274.99607371055538</v>
      </c>
      <c r="AK450" s="21">
        <f ca="1">+'Financial Statements'!AK75</f>
        <v>289.2691652244219</v>
      </c>
      <c r="AL450" s="21">
        <f ca="1">+'Financial Statements'!AL75</f>
        <v>308.23696655096103</v>
      </c>
      <c r="AM450" s="21">
        <f ca="1">+'Financial Statements'!AM75</f>
        <v>308.23696655096103</v>
      </c>
      <c r="AN450" s="21">
        <f ca="1">+'Financial Statements'!AN75</f>
        <v>328.00906687146193</v>
      </c>
      <c r="AO450" s="21">
        <f ca="1">+'Financial Statements'!AO75</f>
        <v>353.64244393130514</v>
      </c>
      <c r="AP450" s="21">
        <f ca="1">+'Financial Statements'!AP75</f>
        <v>353.64244393130514</v>
      </c>
      <c r="AQ450" s="21">
        <f ca="1">+'Financial Statements'!AQ75</f>
        <v>376.46618566353652</v>
      </c>
      <c r="AR450" s="21">
        <f ca="1">+'Financial Statements'!AR75</f>
        <v>406.02425389287646</v>
      </c>
      <c r="AS450" s="21">
        <f ca="1">+'Financial Statements'!AS75</f>
        <v>406.02425389287646</v>
      </c>
      <c r="AT450" s="21">
        <f ca="1">+'Financial Statements'!AT75</f>
        <v>432.41553712269564</v>
      </c>
      <c r="AU450" s="21">
        <f ca="1">+'Financial Statements'!AU75</f>
        <v>466.06891820254361</v>
      </c>
      <c r="AV450" s="21">
        <f ca="1">+'Financial Statements'!AV75</f>
        <v>466.06891820254361</v>
      </c>
    </row>
    <row r="451" spans="1:49" outlineLevel="1" x14ac:dyDescent="0.25">
      <c r="B451" s="8" t="s">
        <v>199</v>
      </c>
      <c r="C451" s="22" t="s">
        <v>28</v>
      </c>
      <c r="J451" s="21"/>
      <c r="K451" s="21">
        <f>(K450+J450)*0.5</f>
        <v>287.09000000000003</v>
      </c>
      <c r="L451" s="393">
        <f>(L450+I450)*0.5</f>
        <v>165.49200000000002</v>
      </c>
      <c r="M451" s="21">
        <f>(M450+L450)*0.5</f>
        <v>284.48649999999998</v>
      </c>
      <c r="N451" s="21">
        <f>(N450+M450)*0.5</f>
        <v>278.11799999999999</v>
      </c>
      <c r="O451" s="21">
        <f>+(O450+L450)*0.5</f>
        <v>288.11149999999998</v>
      </c>
      <c r="P451" s="21">
        <f ca="1">(P450+O450)*0.5</f>
        <v>280.67120602181569</v>
      </c>
      <c r="Q451" s="21">
        <f ca="1">(Q450+P450)*0.5</f>
        <v>274.58872277885246</v>
      </c>
      <c r="R451" s="21">
        <f ca="1">+(R450+O450)*0.5</f>
        <v>275.66051675703682</v>
      </c>
      <c r="S451" s="21">
        <f t="shared" ref="S451:T451" ca="1" si="2970">(S450+R450)*0.5</f>
        <v>263.30023688988143</v>
      </c>
      <c r="T451" s="21">
        <f t="shared" ca="1" si="2970"/>
        <v>249.95294950929167</v>
      </c>
      <c r="U451" s="21">
        <f t="shared" ref="U451" ca="1" si="2971">+(U450+R450)*0.5</f>
        <v>256.23074613348388</v>
      </c>
      <c r="V451" s="21">
        <f t="shared" ref="V451:W451" ca="1" si="2972">(V450+U450)*0.5</f>
        <v>240.45648274389549</v>
      </c>
      <c r="W451" s="21">
        <f t="shared" ca="1" si="2972"/>
        <v>235.97810941167677</v>
      </c>
      <c r="X451" s="21">
        <f t="shared" ref="X451" ca="1" si="2973">+(X450+U450)*0.5</f>
        <v>238.40508542067542</v>
      </c>
      <c r="Y451" s="21">
        <f t="shared" ref="Y451" ca="1" si="2974">(Y450+X450)*0.5</f>
        <v>232.31563219342382</v>
      </c>
      <c r="Z451" s="21">
        <f t="shared" ref="Z451" ca="1" si="2975">(Z450+Y450)*0.5</f>
        <v>230.25713308622329</v>
      </c>
      <c r="AA451" s="21">
        <f t="shared" ref="AA451" ca="1" si="2976">+(AA450+X450)*0.5</f>
        <v>231.86821298125614</v>
      </c>
      <c r="AB451" s="21">
        <f t="shared" ref="AB451" ca="1" si="2977">(AB450+AA450)*0.5</f>
        <v>230.77921448420892</v>
      </c>
      <c r="AC451" s="21">
        <f t="shared" ref="AC451" ca="1" si="2978">(AC450+AB450)*0.5</f>
        <v>234.32968935108948</v>
      </c>
      <c r="AD451" s="21">
        <f t="shared" ref="AD451" ca="1" si="2979">+(AD450+AA450)*0.5</f>
        <v>233.36018874093617</v>
      </c>
      <c r="AE451" s="21">
        <f t="shared" ref="AE451" ca="1" si="2980">(AE450+AD450)*0.5</f>
        <v>239.74435495145519</v>
      </c>
      <c r="AF451" s="21">
        <f t="shared" ref="AF451" ca="1" si="2981">(AF450+AE450)*0.5</f>
        <v>247.12557859199137</v>
      </c>
      <c r="AG451" s="21">
        <f ca="1">+(AG450+AD450)*0.5</f>
        <v>244.29188724835291</v>
      </c>
      <c r="AH451" s="21">
        <f t="shared" ref="AH451" ca="1" si="2982">(AH450+AG450)*0.5</f>
        <v>256.49475966677608</v>
      </c>
      <c r="AI451" s="21">
        <f t="shared" ref="AI451" ca="1" si="2983">(AI450+AH450)*0.5</f>
        <v>268.15624107760925</v>
      </c>
      <c r="AJ451" s="21">
        <f ca="1">+(AJ450+AG450)*0.5</f>
        <v>263.3345922997222</v>
      </c>
      <c r="AK451" s="21">
        <f t="shared" ref="AK451" ca="1" si="2984">(AK450+AJ450)*0.5</f>
        <v>282.13261946748867</v>
      </c>
      <c r="AL451" s="21">
        <f t="shared" ref="AL451" ca="1" si="2985">(AL450+AK450)*0.5</f>
        <v>298.75306588769149</v>
      </c>
      <c r="AM451" s="21">
        <f ca="1">+(AM450+AJ450)*0.5</f>
        <v>291.6165201307582</v>
      </c>
      <c r="AN451" s="21">
        <f t="shared" ref="AN451" ca="1" si="2986">(AN450+AM450)*0.5</f>
        <v>318.12301671121145</v>
      </c>
      <c r="AO451" s="21">
        <f t="shared" ref="AO451" ca="1" si="2987">(AO450+AN450)*0.5</f>
        <v>340.8257554013835</v>
      </c>
      <c r="AP451" s="21">
        <f ca="1">+(AP450+AM450)*0.5</f>
        <v>330.93970524113308</v>
      </c>
      <c r="AQ451" s="21">
        <f t="shared" ref="AQ451" ca="1" si="2988">(AQ450+AP450)*0.5</f>
        <v>365.05431479742083</v>
      </c>
      <c r="AR451" s="21">
        <f t="shared" ref="AR451" ca="1" si="2989">(AR450+AQ450)*0.5</f>
        <v>391.24521977820649</v>
      </c>
      <c r="AS451" s="21">
        <f ca="1">+(AS450+AP450)*0.5</f>
        <v>379.8333489120908</v>
      </c>
      <c r="AT451" s="21">
        <f t="shared" ref="AT451" ca="1" si="2990">(AT450+AS450)*0.5</f>
        <v>419.21989550778608</v>
      </c>
      <c r="AU451" s="21">
        <f t="shared" ref="AU451" ca="1" si="2991">(AU450+AT450)*0.5</f>
        <v>449.2422276626196</v>
      </c>
      <c r="AV451" s="21">
        <f ca="1">+(AV450+AS450)*0.5</f>
        <v>436.04658604771004</v>
      </c>
    </row>
    <row r="452" spans="1:49" outlineLevel="1" x14ac:dyDescent="0.25">
      <c r="B452" s="72" t="s">
        <v>214</v>
      </c>
      <c r="C452" s="22" t="s">
        <v>28</v>
      </c>
      <c r="J452" s="21"/>
      <c r="K452" s="21">
        <v>276.43309606780502</v>
      </c>
      <c r="L452" s="393">
        <v>154.83509606780549</v>
      </c>
      <c r="M452" s="21">
        <v>284.48649999999998</v>
      </c>
      <c r="N452" s="21">
        <v>278.11799999999999</v>
      </c>
      <c r="O452" s="21">
        <v>288.11149999999998</v>
      </c>
      <c r="P452" s="21">
        <v>277.41418290477054</v>
      </c>
      <c r="Q452" s="21">
        <v>265.26763308457066</v>
      </c>
      <c r="R452" s="21">
        <v>269.59645017980012</v>
      </c>
      <c r="S452" s="21">
        <v>247.6909366355311</v>
      </c>
      <c r="T452" s="21">
        <v>227.32957563720115</v>
      </c>
      <c r="U452" s="21">
        <v>237.08853936127028</v>
      </c>
      <c r="V452" s="21">
        <v>210.10811887413016</v>
      </c>
      <c r="W452" s="21">
        <v>197.24712745106569</v>
      </c>
      <c r="X452" s="21">
        <v>203.86618693987586</v>
      </c>
      <c r="Y452" s="21">
        <v>184.32047477444632</v>
      </c>
      <c r="Z452" s="21">
        <v>172.12044870229926</v>
      </c>
      <c r="AA452" s="21">
        <v>178.80516944466436</v>
      </c>
      <c r="AB452" s="21">
        <v>161.58117974707469</v>
      </c>
      <c r="AC452" s="21">
        <v>153.15760461951379</v>
      </c>
      <c r="AD452" s="21">
        <v>158.18156824495645</v>
      </c>
      <c r="AE452" s="21">
        <v>145.66004821856311</v>
      </c>
      <c r="AF452" s="21">
        <v>139.19587291657757</v>
      </c>
      <c r="AG452" s="21">
        <v>143.29381781541002</v>
      </c>
      <c r="AH452" s="21">
        <v>133.70827392943636</v>
      </c>
      <c r="AI452" s="21">
        <v>129.50731438373964</v>
      </c>
      <c r="AJ452" s="21">
        <v>132.6286829677278</v>
      </c>
      <c r="AK452" s="21">
        <v>126.5320841664042</v>
      </c>
      <c r="AL452" s="21">
        <v>125.11824832015685</v>
      </c>
      <c r="AM452" s="21">
        <v>127.01388757578371</v>
      </c>
      <c r="AN452" s="21">
        <v>125.51327376684519</v>
      </c>
      <c r="AO452" s="21">
        <v>128.30810536482963</v>
      </c>
      <c r="AP452" s="21">
        <v>128.3948833275208</v>
      </c>
      <c r="AQ452" s="21">
        <v>131.70737011898532</v>
      </c>
      <c r="AR452" s="21">
        <v>136.15247428267185</v>
      </c>
      <c r="AS452" s="21">
        <v>135.63481908919175</v>
      </c>
      <c r="AT452" s="21">
        <v>141.41597091487449</v>
      </c>
      <c r="AU452" s="21">
        <v>147.76685960272749</v>
      </c>
      <c r="AV452" s="21">
        <v>146.43081194073125</v>
      </c>
    </row>
    <row r="453" spans="1:49" outlineLevel="1" x14ac:dyDescent="0.25">
      <c r="J453" s="21"/>
      <c r="M453" s="8"/>
    </row>
    <row r="454" spans="1:49" outlineLevel="1" x14ac:dyDescent="0.25">
      <c r="B454" s="8" t="s">
        <v>204</v>
      </c>
      <c r="C454" s="22" t="s">
        <v>28</v>
      </c>
      <c r="F454" s="45">
        <v>1.4</v>
      </c>
      <c r="I454" s="45">
        <v>11.2</v>
      </c>
      <c r="J454" s="8">
        <f>0.5*L454</f>
        <v>5.75</v>
      </c>
      <c r="K454" s="19">
        <f>+L454-J454</f>
        <v>5.75</v>
      </c>
      <c r="L454" s="354">
        <v>11.5</v>
      </c>
      <c r="M454" s="517">
        <f>6.632+0.061</f>
        <v>6.6929999999999996</v>
      </c>
      <c r="N454" s="420">
        <f>O454-M454</f>
        <v>5.8369999999999997</v>
      </c>
      <c r="O454" s="19">
        <v>12.53</v>
      </c>
      <c r="P454" s="136">
        <f t="shared" ref="P454" si="2992">+P455*P452*0.5</f>
        <v>6.0323862667695929</v>
      </c>
      <c r="Q454" s="136">
        <f t="shared" ref="Q454" si="2993">R454-P454</f>
        <v>5.6923922330573697</v>
      </c>
      <c r="R454" s="19">
        <f>R455*R452</f>
        <v>11.724778499826963</v>
      </c>
      <c r="S454" s="136">
        <f t="shared" ref="S454" si="2994">+S455*S452*0.5</f>
        <v>4.953818732710622</v>
      </c>
      <c r="T454" s="136">
        <f t="shared" ref="T454" si="2995">U454-S454</f>
        <v>4.5297228417401891</v>
      </c>
      <c r="U454" s="19">
        <f t="shared" ref="U454" si="2996">U455*U452</f>
        <v>9.4835415744508111</v>
      </c>
      <c r="V454" s="136">
        <f t="shared" ref="V454" si="2997">+V455*V452*0.5</f>
        <v>3.1516217831119522</v>
      </c>
      <c r="W454" s="136">
        <f t="shared" ref="W454" si="2998">X454-V454</f>
        <v>2.9643638250843236</v>
      </c>
      <c r="X454" s="19">
        <f t="shared" ref="X454" si="2999">X455*X452</f>
        <v>6.1159856081962758</v>
      </c>
      <c r="Y454" s="136">
        <f t="shared" ref="Y454" si="3000">+Y455*Y452*0.5</f>
        <v>2.7648071216166947</v>
      </c>
      <c r="Z454" s="136">
        <f t="shared" ref="Z454" si="3001">AA454-Y454</f>
        <v>2.599347961723236</v>
      </c>
      <c r="AA454" s="19">
        <f t="shared" ref="AA454" si="3002">AA455*AA452</f>
        <v>5.3641550833399307</v>
      </c>
      <c r="AB454" s="136">
        <f t="shared" ref="AB454:AQ454" si="3003">+AB455*AB452*0.5</f>
        <v>2.4237176962061202</v>
      </c>
      <c r="AC454" s="136">
        <f t="shared" ref="AC454" si="3004">AD454-AB454</f>
        <v>2.3217293511425732</v>
      </c>
      <c r="AD454" s="19">
        <f t="shared" ref="AD454:AP454" si="3005">AD455*AD452</f>
        <v>4.7454470473486934</v>
      </c>
      <c r="AE454" s="136">
        <f t="shared" si="3003"/>
        <v>2.1849007232784463</v>
      </c>
      <c r="AF454" s="136">
        <f t="shared" ref="AF454" si="3006">AG454-AE454</f>
        <v>2.113913811183854</v>
      </c>
      <c r="AG454" s="19">
        <f t="shared" si="3005"/>
        <v>4.2988145344623003</v>
      </c>
      <c r="AH454" s="136">
        <f t="shared" si="3003"/>
        <v>2.0056241089415452</v>
      </c>
      <c r="AI454" s="136">
        <f t="shared" ref="AI454" si="3007">AJ454-AH454</f>
        <v>1.9732363800902886</v>
      </c>
      <c r="AJ454" s="19">
        <f t="shared" si="3005"/>
        <v>3.9788604890318338</v>
      </c>
      <c r="AK454" s="136">
        <f t="shared" si="3003"/>
        <v>1.897981262496063</v>
      </c>
      <c r="AL454" s="136">
        <f t="shared" ref="AL454" si="3008">AM454-AK454</f>
        <v>1.9124353647774484</v>
      </c>
      <c r="AM454" s="19">
        <f t="shared" si="3005"/>
        <v>3.8104166272735114</v>
      </c>
      <c r="AN454" s="136">
        <f t="shared" si="3003"/>
        <v>1.8826991065026777</v>
      </c>
      <c r="AO454" s="136">
        <f t="shared" ref="AO454" si="3009">AP454-AN454</f>
        <v>1.9691473933229464</v>
      </c>
      <c r="AP454" s="19">
        <f t="shared" si="3005"/>
        <v>3.8518464998256241</v>
      </c>
      <c r="AQ454" s="136">
        <f t="shared" si="3003"/>
        <v>1.9756105517847797</v>
      </c>
      <c r="AR454" s="136">
        <f t="shared" ref="AR454" si="3010">AS454-AQ454</f>
        <v>2.0934340208909723</v>
      </c>
      <c r="AS454" s="19">
        <f t="shared" ref="AS454" si="3011">AS455*AS452</f>
        <v>4.069044572675752</v>
      </c>
      <c r="AT454" s="136">
        <f t="shared" ref="AT454" si="3012">+AT455*AT452*0.5</f>
        <v>2.1212395637231172</v>
      </c>
      <c r="AU454" s="136">
        <f t="shared" ref="AU454" si="3013">AV454-AT454</f>
        <v>2.2716847944988201</v>
      </c>
      <c r="AV454" s="19">
        <f t="shared" ref="AV454" si="3014">AV455*AV452</f>
        <v>4.3929243582219373</v>
      </c>
    </row>
    <row r="455" spans="1:49" outlineLevel="1" x14ac:dyDescent="0.25">
      <c r="B455" s="8" t="s">
        <v>203</v>
      </c>
      <c r="C455" s="22" t="s">
        <v>29</v>
      </c>
      <c r="K455" s="203">
        <f>+K454/K451</f>
        <v>2.0028562471698767E-2</v>
      </c>
      <c r="L455" s="394">
        <f>+L454/L451</f>
        <v>6.948976385565464E-2</v>
      </c>
      <c r="M455" s="419">
        <f>+M454/M451*2</f>
        <v>4.7053199360953861E-2</v>
      </c>
      <c r="N455" s="203">
        <f>+N454/N451</f>
        <v>2.0987494516715926E-2</v>
      </c>
      <c r="O455" s="394">
        <f>+O454/O451</f>
        <v>4.3490107128663733E-2</v>
      </c>
      <c r="P455" s="208">
        <f>+R455</f>
        <v>4.3490107128663733E-2</v>
      </c>
      <c r="Q455" s="209">
        <f ca="1">+Q454/Q450*2</f>
        <v>4.2231869999602115E-2</v>
      </c>
      <c r="R455" s="208">
        <f>+O455</f>
        <v>4.3490107128663733E-2</v>
      </c>
      <c r="S455" s="208">
        <v>0.04</v>
      </c>
      <c r="T455" s="209">
        <f ca="1">+T454/T450*2</f>
        <v>3.7299558109048989E-2</v>
      </c>
      <c r="U455" s="208">
        <v>0.04</v>
      </c>
      <c r="V455" s="208">
        <v>0.03</v>
      </c>
      <c r="W455" s="209">
        <f ca="1">+W454/W450*2</f>
        <v>2.5344380713249914E-2</v>
      </c>
      <c r="X455" s="208">
        <v>0.03</v>
      </c>
      <c r="Y455" s="208">
        <f>+V455</f>
        <v>0.03</v>
      </c>
      <c r="Z455" s="209">
        <f ca="1">+Z454/Z450*2</f>
        <v>2.262174142166834E-2</v>
      </c>
      <c r="AA455" s="208">
        <f>+X455</f>
        <v>0.03</v>
      </c>
      <c r="AB455" s="208">
        <f t="shared" ref="AB455" si="3015">+Y455</f>
        <v>0.03</v>
      </c>
      <c r="AC455" s="209">
        <f t="shared" ref="AC455" ca="1" si="3016">+AC454/AC450*2</f>
        <v>1.9600040925012791E-2</v>
      </c>
      <c r="AD455" s="208">
        <f t="shared" ref="AD455:AE455" si="3017">+AA455</f>
        <v>0.03</v>
      </c>
      <c r="AE455" s="208">
        <f t="shared" si="3017"/>
        <v>0.03</v>
      </c>
      <c r="AF455" s="209">
        <f t="shared" ref="AF455" ca="1" si="3018">+AF454/AF450*2</f>
        <v>1.6798884900478095E-2</v>
      </c>
      <c r="AG455" s="208">
        <f t="shared" ref="AG455:AH455" si="3019">+AD455</f>
        <v>0.03</v>
      </c>
      <c r="AH455" s="208">
        <f t="shared" si="3019"/>
        <v>0.03</v>
      </c>
      <c r="AI455" s="209">
        <f t="shared" ref="AI455" ca="1" si="3020">+AI454/AI450*2</f>
        <v>1.4351014932432822E-2</v>
      </c>
      <c r="AJ455" s="208">
        <f t="shared" ref="AJ455:AK455" si="3021">+AG455</f>
        <v>0.03</v>
      </c>
      <c r="AK455" s="208">
        <f t="shared" si="3021"/>
        <v>0.03</v>
      </c>
      <c r="AL455" s="209">
        <f t="shared" ref="AL455" ca="1" si="3022">+AL454/AL450*2</f>
        <v>1.2408864427760088E-2</v>
      </c>
      <c r="AM455" s="208">
        <f t="shared" ref="AM455:AN455" si="3023">+AJ455</f>
        <v>0.03</v>
      </c>
      <c r="AN455" s="208">
        <f t="shared" si="3023"/>
        <v>0.03</v>
      </c>
      <c r="AO455" s="209">
        <f t="shared" ref="AO455" ca="1" si="3024">+AO454/AO450*2</f>
        <v>1.1136374759956429E-2</v>
      </c>
      <c r="AP455" s="208">
        <f t="shared" ref="AP455:AQ455" si="3025">+AM455</f>
        <v>0.03</v>
      </c>
      <c r="AQ455" s="208">
        <f t="shared" si="3025"/>
        <v>0.03</v>
      </c>
      <c r="AR455" s="209">
        <f t="shared" ref="AR455" ca="1" si="3026">+AR454/AR450*2</f>
        <v>1.0311866844502813E-2</v>
      </c>
      <c r="AS455" s="208">
        <f t="shared" ref="AS455:AT455" si="3027">+AP455</f>
        <v>0.03</v>
      </c>
      <c r="AT455" s="208">
        <f t="shared" si="3027"/>
        <v>0.03</v>
      </c>
      <c r="AU455" s="209">
        <f t="shared" ref="AU455" ca="1" si="3028">+AU454/AU450*2</f>
        <v>9.7482784445694116E-3</v>
      </c>
      <c r="AV455" s="208">
        <f t="shared" ref="AV455" si="3029">+AS455</f>
        <v>0.03</v>
      </c>
    </row>
    <row r="456" spans="1:49" outlineLevel="1" x14ac:dyDescent="0.25">
      <c r="M456" s="8"/>
    </row>
    <row r="457" spans="1:49" outlineLevel="1" x14ac:dyDescent="0.25">
      <c r="A457" t="s">
        <v>561</v>
      </c>
      <c r="B457" s="8" t="s">
        <v>216</v>
      </c>
      <c r="C457" s="22" t="s">
        <v>28</v>
      </c>
      <c r="I457" s="21">
        <f>+I440-I450</f>
        <v>-33.503999999999998</v>
      </c>
      <c r="J457" s="21">
        <f>+J440-J450</f>
        <v>-276.7</v>
      </c>
      <c r="K457" s="21">
        <f ca="1">+K440-K450</f>
        <v>-294.48</v>
      </c>
      <c r="L457" s="308">
        <f t="shared" ref="L457:X457" ca="1" si="3030">+L440-L450</f>
        <v>-294.48</v>
      </c>
      <c r="M457" s="21">
        <f t="shared" ca="1" si="3030"/>
        <v>-274.49299999999999</v>
      </c>
      <c r="N457" s="21">
        <f ca="1">+N440-N450</f>
        <v>-281.74299999999999</v>
      </c>
      <c r="O457" s="308">
        <f t="shared" ref="O457" ca="1" si="3031">+O440-O450</f>
        <v>-281.74299999999999</v>
      </c>
      <c r="P457" s="21">
        <f ca="1">+P440-P450</f>
        <v>-279.59941204363133</v>
      </c>
      <c r="Q457" s="21">
        <f t="shared" ca="1" si="3030"/>
        <v>-269.57803351407364</v>
      </c>
      <c r="R457" s="21">
        <f t="shared" ca="1" si="3030"/>
        <v>-269.57803351407364</v>
      </c>
      <c r="S457" s="21">
        <f t="shared" ca="1" si="3030"/>
        <v>-257.02244026568923</v>
      </c>
      <c r="T457" s="21">
        <f t="shared" ca="1" si="3030"/>
        <v>-242.88345875289414</v>
      </c>
      <c r="U457" s="21">
        <f t="shared" ca="1" si="3030"/>
        <v>-242.88345875289414</v>
      </c>
      <c r="V457" s="21">
        <f t="shared" ca="1" si="3030"/>
        <v>-238.02950673489681</v>
      </c>
      <c r="W457" s="21">
        <f t="shared" ca="1" si="3030"/>
        <v>-233.9267120884567</v>
      </c>
      <c r="X457" s="21">
        <f t="shared" ca="1" si="3030"/>
        <v>-233.9267120884567</v>
      </c>
      <c r="Y457" s="21">
        <f t="shared" ref="Y457:AA457" ca="1" si="3032">+Y440-Y450</f>
        <v>-230.70455229839098</v>
      </c>
      <c r="Z457" s="21">
        <f t="shared" ca="1" si="3032"/>
        <v>-229.80971387405557</v>
      </c>
      <c r="AA457" s="21">
        <f t="shared" ca="1" si="3032"/>
        <v>-229.80971387405557</v>
      </c>
      <c r="AB457" s="21">
        <f t="shared" ref="AB457:AM457" ca="1" si="3033">+AB440-AB450</f>
        <v>-231.74871509436227</v>
      </c>
      <c r="AC457" s="21">
        <f t="shared" ca="1" si="3033"/>
        <v>-236.91066360781673</v>
      </c>
      <c r="AD457" s="21">
        <f t="shared" ca="1" si="3033"/>
        <v>-236.91066360781673</v>
      </c>
      <c r="AE457" s="21">
        <f t="shared" ca="1" si="3033"/>
        <v>-242.57804629509366</v>
      </c>
      <c r="AF457" s="21">
        <f t="shared" ca="1" si="3033"/>
        <v>-251.67311088888908</v>
      </c>
      <c r="AG457" s="21">
        <f t="shared" ca="1" si="3033"/>
        <v>-251.67311088888908</v>
      </c>
      <c r="AH457" s="21">
        <f t="shared" ca="1" si="3033"/>
        <v>-261.31640844466313</v>
      </c>
      <c r="AI457" s="21">
        <f t="shared" ca="1" si="3033"/>
        <v>-274.99607371055538</v>
      </c>
      <c r="AJ457" s="21">
        <f t="shared" ca="1" si="3033"/>
        <v>-274.99607371055538</v>
      </c>
      <c r="AK457" s="21">
        <f t="shared" ca="1" si="3033"/>
        <v>-289.2691652244219</v>
      </c>
      <c r="AL457" s="21">
        <f t="shared" ca="1" si="3033"/>
        <v>-308.23696655096103</v>
      </c>
      <c r="AM457" s="21">
        <f t="shared" ca="1" si="3033"/>
        <v>-308.23696655096103</v>
      </c>
      <c r="AN457" s="21">
        <f t="shared" ref="AN457:AS457" ca="1" si="3034">+AN440-AN450</f>
        <v>-328.00906687146193</v>
      </c>
      <c r="AO457" s="21">
        <f t="shared" ca="1" si="3034"/>
        <v>-353.64244393130514</v>
      </c>
      <c r="AP457" s="21">
        <f t="shared" ca="1" si="3034"/>
        <v>-353.64244393130514</v>
      </c>
      <c r="AQ457" s="21">
        <f t="shared" ca="1" si="3034"/>
        <v>-376.46618566353652</v>
      </c>
      <c r="AR457" s="21">
        <f t="shared" ca="1" si="3034"/>
        <v>-406.02425389287646</v>
      </c>
      <c r="AS457" s="21">
        <f t="shared" ca="1" si="3034"/>
        <v>-406.02425389287646</v>
      </c>
      <c r="AT457" s="21">
        <f t="shared" ref="AT457:AV457" ca="1" si="3035">+AT440-AT450</f>
        <v>-432.41553712269564</v>
      </c>
      <c r="AU457" s="21">
        <f t="shared" ca="1" si="3035"/>
        <v>-466.06891820254361</v>
      </c>
      <c r="AV457" s="21">
        <f t="shared" ca="1" si="3035"/>
        <v>-466.06891820254361</v>
      </c>
      <c r="AW457" s="21"/>
    </row>
    <row r="458" spans="1:49" outlineLevel="1" x14ac:dyDescent="0.25">
      <c r="B458" s="8" t="s">
        <v>217</v>
      </c>
      <c r="C458" s="22" t="s">
        <v>28</v>
      </c>
      <c r="K458" s="21">
        <f>+K443-K452</f>
        <v>-274.93309606780502</v>
      </c>
      <c r="L458" s="308">
        <f t="shared" ref="L458" si="3036">+L443-L452</f>
        <v>-153.33509606780549</v>
      </c>
      <c r="M458" s="21">
        <v>-274.49299999999999</v>
      </c>
      <c r="N458" s="21">
        <f>+N443-N452</f>
        <v>-278.11799999999999</v>
      </c>
      <c r="O458" s="308">
        <f t="shared" ref="O458" si="3037">+O443-O452</f>
        <v>-288.11149999999998</v>
      </c>
      <c r="P458" s="21">
        <v>-251.97622135960074</v>
      </c>
      <c r="Q458" s="21">
        <v>-249.17519485644053</v>
      </c>
      <c r="R458" s="21">
        <v>-249.17519485644053</v>
      </c>
      <c r="S458" s="21">
        <v>-246.99446605772172</v>
      </c>
      <c r="T458" s="21">
        <v>-250.53477729432259</v>
      </c>
      <c r="U458" s="21">
        <v>-250.53477729432259</v>
      </c>
      <c r="V458" s="21">
        <v>-268.93767834047458</v>
      </c>
      <c r="W458" s="21">
        <v>-292.339525043935</v>
      </c>
      <c r="X458" s="21">
        <v>-292.339525043935</v>
      </c>
      <c r="Y458" s="21">
        <v>-322.30401419421747</v>
      </c>
      <c r="Z458" s="21">
        <v>-361.68171168427909</v>
      </c>
      <c r="AA458" s="21">
        <v>-361.68171168427909</v>
      </c>
      <c r="AB458" s="21">
        <v>-405.62793635298397</v>
      </c>
      <c r="AC458" s="21">
        <v>-463.26029151871222</v>
      </c>
      <c r="AD458" s="21">
        <v>-463.26029151871222</v>
      </c>
      <c r="AE458" s="21">
        <v>-520.11616454712578</v>
      </c>
      <c r="AF458" s="21">
        <v>-594.35611902204789</v>
      </c>
      <c r="AG458" s="21">
        <v>-594.35611902204789</v>
      </c>
      <c r="AH458" s="21">
        <v>-667.12376019318629</v>
      </c>
      <c r="AI458" s="21">
        <v>-759.67002591849882</v>
      </c>
      <c r="AJ458" s="21">
        <v>-759.67002591849882</v>
      </c>
      <c r="AK458" s="21">
        <v>-849.56727744589784</v>
      </c>
      <c r="AL458" s="21">
        <v>-961.93771639736542</v>
      </c>
      <c r="AM458" s="21">
        <v>-961.93771639736542</v>
      </c>
      <c r="AN458" s="21">
        <v>-1068.5216105914069</v>
      </c>
      <c r="AO458" s="21">
        <v>-1199.3565206788548</v>
      </c>
      <c r="AP458" s="21">
        <v>-1199.3565206788548</v>
      </c>
      <c r="AQ458" s="21">
        <v>-1321.7822199949476</v>
      </c>
      <c r="AR458" s="21">
        <v>-1470.966219562534</v>
      </c>
      <c r="AS458" s="21">
        <v>-1470.966219562534</v>
      </c>
      <c r="AT458" s="21">
        <v>-1321.7822199949476</v>
      </c>
      <c r="AU458" s="21">
        <v>-1470.966219562534</v>
      </c>
      <c r="AV458" s="21">
        <v>-1470.966219562534</v>
      </c>
      <c r="AW458" s="21"/>
    </row>
    <row r="459" spans="1:49" outlineLevel="1" x14ac:dyDescent="0.25">
      <c r="M459" s="8"/>
    </row>
    <row r="460" spans="1:49" outlineLevel="1" x14ac:dyDescent="0.25">
      <c r="M460" s="8"/>
    </row>
    <row r="461" spans="1:49" outlineLevel="1" x14ac:dyDescent="0.25">
      <c r="M461" s="8"/>
    </row>
    <row r="462" spans="1:49" outlineLevel="1" x14ac:dyDescent="0.25">
      <c r="A462" s="64"/>
      <c r="B462" s="67" t="s">
        <v>206</v>
      </c>
      <c r="C462" s="66"/>
      <c r="D462" s="65"/>
      <c r="E462" s="65"/>
      <c r="F462" s="65"/>
      <c r="G462" s="65"/>
      <c r="H462" s="65"/>
      <c r="I462" s="65"/>
      <c r="J462" s="65"/>
      <c r="K462" s="65"/>
      <c r="L462" s="375"/>
      <c r="M462" s="65"/>
      <c r="N462" s="65"/>
      <c r="O462" s="65"/>
      <c r="P462" s="65"/>
      <c r="Q462" s="65"/>
      <c r="R462" s="65"/>
      <c r="S462" s="65"/>
      <c r="T462" s="65"/>
      <c r="U462" s="65"/>
      <c r="V462" s="65"/>
      <c r="W462" s="65"/>
      <c r="X462" s="65"/>
      <c r="Y462" s="65"/>
      <c r="Z462" s="65"/>
      <c r="AA462" s="65"/>
      <c r="AB462" s="65"/>
      <c r="AC462" s="65"/>
      <c r="AD462" s="65"/>
      <c r="AE462" s="65"/>
      <c r="AF462" s="65"/>
      <c r="AG462" s="65"/>
      <c r="AH462" s="65"/>
      <c r="AI462" s="65"/>
      <c r="AJ462" s="65"/>
      <c r="AK462" s="65"/>
      <c r="AL462" s="65"/>
      <c r="AM462" s="65"/>
      <c r="AN462" s="65"/>
      <c r="AO462" s="65"/>
      <c r="AP462" s="65"/>
      <c r="AQ462" s="65"/>
      <c r="AR462" s="65"/>
      <c r="AS462" s="65"/>
      <c r="AT462" s="65"/>
      <c r="AU462" s="65"/>
      <c r="AV462" s="65"/>
    </row>
    <row r="463" spans="1:49" outlineLevel="1" x14ac:dyDescent="0.25">
      <c r="B463" s="8" t="s">
        <v>202</v>
      </c>
      <c r="C463" s="22" t="s">
        <v>28</v>
      </c>
      <c r="F463" s="45">
        <v>-5.8</v>
      </c>
      <c r="I463" s="45">
        <v>-8.1999999999999993</v>
      </c>
      <c r="J463" s="19">
        <f>0.5*L463</f>
        <v>-6.6970000000000001</v>
      </c>
      <c r="K463" s="19">
        <f>+L463-J463</f>
        <v>-6.6970000000000001</v>
      </c>
      <c r="L463" s="354">
        <v>-13.394</v>
      </c>
      <c r="M463" s="441">
        <v>-8.6859999999999999</v>
      </c>
      <c r="N463" s="19">
        <f>+O463-M463</f>
        <v>-9.9830000000000005</v>
      </c>
      <c r="O463" s="469">
        <f>-18.771+0.102</f>
        <v>-18.669</v>
      </c>
      <c r="P463" s="19">
        <f ca="1">+R463*0.5</f>
        <v>-10.295144476408165</v>
      </c>
      <c r="Q463" s="19">
        <f ca="1">+R463-P463</f>
        <v>-10.295144476408165</v>
      </c>
      <c r="R463" s="52">
        <f ca="1">R464*'Financial Statements'!R103</f>
        <v>-20.590288952816319</v>
      </c>
      <c r="S463" s="19">
        <f t="shared" ref="S463" ca="1" si="3038">+U463*0.5</f>
        <v>-11.797787762809438</v>
      </c>
      <c r="T463" s="19">
        <f t="shared" ref="T463" ca="1" si="3039">+U463-S463</f>
        <v>-11.797787762809438</v>
      </c>
      <c r="U463" s="52">
        <f ca="1">U464*'Financial Statements'!U103</f>
        <v>-23.595575525618578</v>
      </c>
      <c r="V463" s="19">
        <f t="shared" ref="V463" ca="1" si="3040">+X463*0.5</f>
        <v>-13.231639092023554</v>
      </c>
      <c r="W463" s="19">
        <f t="shared" ref="W463" ca="1" si="3041">+X463-V463</f>
        <v>-13.231639092023554</v>
      </c>
      <c r="X463" s="52">
        <f ca="1">X464*'Financial Statements'!X103</f>
        <v>-26.4632781840489</v>
      </c>
      <c r="Y463" s="19">
        <f t="shared" ref="Y463" ca="1" si="3042">+AA463*0.5</f>
        <v>-14.67665291686628</v>
      </c>
      <c r="Z463" s="19">
        <f t="shared" ref="Z463" ca="1" si="3043">+AA463-Y463</f>
        <v>-14.67665291686628</v>
      </c>
      <c r="AA463" s="52">
        <f ca="1">AA464*'Financial Statements'!AA103</f>
        <v>-29.353305833802402</v>
      </c>
      <c r="AB463" s="19">
        <f t="shared" ref="AB463" ca="1" si="3044">+AD463*0.5</f>
        <v>-15.888337303303098</v>
      </c>
      <c r="AC463" s="19">
        <f t="shared" ref="AC463" ca="1" si="3045">+AD463-AB463</f>
        <v>-15.888337303303098</v>
      </c>
      <c r="AD463" s="52">
        <f ca="1">AD464*'Financial Statements'!AD103</f>
        <v>-31.776674607009308</v>
      </c>
      <c r="AE463" s="19">
        <f t="shared" ref="AE463" ca="1" si="3046">+AG463*0.5</f>
        <v>-16.860020174236187</v>
      </c>
      <c r="AF463" s="19">
        <f t="shared" ref="AF463" ca="1" si="3047">+AG463-AE463</f>
        <v>-16.860020174236187</v>
      </c>
      <c r="AG463" s="52">
        <f ca="1">AG464*'Financial Statements'!AG103</f>
        <v>-33.720040348932542</v>
      </c>
      <c r="AH463" s="19">
        <f t="shared" ref="AH463" ca="1" si="3048">+AJ463*0.5</f>
        <v>-17.685538546262528</v>
      </c>
      <c r="AI463" s="19">
        <f t="shared" ref="AI463" ca="1" si="3049">+AJ463-AH463</f>
        <v>-17.685538546262528</v>
      </c>
      <c r="AJ463" s="52">
        <f ca="1">AJ464*'Financial Statements'!AJ103</f>
        <v>-35.371077081761094</v>
      </c>
      <c r="AK463" s="19">
        <f t="shared" ref="AK463" ca="1" si="3050">+AM463*0.5</f>
        <v>-18.351504894119245</v>
      </c>
      <c r="AL463" s="19">
        <f t="shared" ref="AL463" ca="1" si="3051">+AM463-AK463</f>
        <v>-18.351504894119245</v>
      </c>
      <c r="AM463" s="52">
        <f ca="1">AM464*'Financial Statements'!AM103</f>
        <v>-36.703009726974969</v>
      </c>
      <c r="AN463" s="19">
        <f t="shared" ref="AN463" ca="1" si="3052">+AP463*0.5</f>
        <v>-18.810241488062815</v>
      </c>
      <c r="AO463" s="19">
        <f t="shared" ref="AO463" ca="1" si="3053">+AP463-AN463</f>
        <v>-18.810241488062815</v>
      </c>
      <c r="AP463" s="52">
        <f ca="1">AP464*'Financial Statements'!AP103</f>
        <v>-37.620482896363193</v>
      </c>
      <c r="AQ463" s="19">
        <f t="shared" ref="AQ463" ca="1" si="3054">+AS463*0.5</f>
        <v>-19.108318922778224</v>
      </c>
      <c r="AR463" s="19">
        <f t="shared" ref="AR463" ca="1" si="3055">+AS463-AQ463</f>
        <v>-19.108318922778224</v>
      </c>
      <c r="AS463" s="52">
        <f ca="1">AS464*'Financial Statements'!AS103</f>
        <v>-38.21663768012683</v>
      </c>
      <c r="AT463" s="19">
        <f t="shared" ref="AT463" ca="1" si="3056">+AV463*0.5</f>
        <v>-19.295845704852823</v>
      </c>
      <c r="AU463" s="19">
        <f t="shared" ref="AU463" ca="1" si="3057">+AV463-AT463</f>
        <v>-19.295845704852823</v>
      </c>
      <c r="AV463" s="52">
        <f ca="1">AV464*'Financial Statements'!AV103</f>
        <v>-38.591693577867652</v>
      </c>
    </row>
    <row r="464" spans="1:49" outlineLevel="1" x14ac:dyDescent="0.25">
      <c r="B464" s="8" t="s">
        <v>212</v>
      </c>
      <c r="C464" s="22" t="s">
        <v>29</v>
      </c>
      <c r="J464" s="303">
        <f>J463/'Financial Statements'!J$103</f>
        <v>-3.5622340425531918E-2</v>
      </c>
      <c r="K464" s="303">
        <f>K463/'Financial Statements'!K$103</f>
        <v>-3.0819569529261796E-2</v>
      </c>
      <c r="L464" s="310">
        <f>L463/'Financial Statements'!L$103</f>
        <v>-6.1639139058523591E-2</v>
      </c>
      <c r="M464" s="324">
        <f>M463/'Financial Statements'!M$103</f>
        <v>-3.4136640885367539E-2</v>
      </c>
      <c r="N464" s="303">
        <f>N463/'Financial Statements'!N$103</f>
        <v>-3.2448262524418271E-2</v>
      </c>
      <c r="O464" s="358">
        <f>O463/'Financial Statements'!O$103</f>
        <v>-6.0680818698624128E-2</v>
      </c>
      <c r="P464" s="209">
        <f ca="1">P463/'Financial Statements'!P103</f>
        <v>-3.1526426022115667E-2</v>
      </c>
      <c r="Q464" s="209">
        <f ca="1">Q463/'Financial Statements'!Q103</f>
        <v>-3.0340409349312081E-2</v>
      </c>
      <c r="R464" s="208">
        <f>+O464</f>
        <v>-6.0680818698624128E-2</v>
      </c>
      <c r="S464" s="209">
        <f ca="1">S463/'Financial Statements'!S103</f>
        <v>-3.243185000552342E-2</v>
      </c>
      <c r="T464" s="209">
        <f ca="1">T463/'Financial Statements'!T103</f>
        <v>-3.0340409349312449E-2</v>
      </c>
      <c r="U464" s="208">
        <f>+R464</f>
        <v>-6.0680818698624128E-2</v>
      </c>
      <c r="V464" s="209">
        <f ca="1">V463/'Financial Statements'!V103</f>
        <v>-3.2076912653919147E-2</v>
      </c>
      <c r="W464" s="209">
        <f ca="1">W463/'Financial Statements'!W103</f>
        <v>-3.0340409349310014E-2</v>
      </c>
      <c r="X464" s="208">
        <f t="shared" ref="X464" si="3058">+U464</f>
        <v>-6.0680818698624128E-2</v>
      </c>
      <c r="Y464" s="209">
        <f ca="1">Y463/'Financial Statements'!Y103</f>
        <v>-3.1826098927920411E-2</v>
      </c>
      <c r="Z464" s="209">
        <f ca="1">Z463/'Financial Statements'!Z103</f>
        <v>-3.0340409349239872E-2</v>
      </c>
      <c r="AA464" s="208">
        <f t="shared" ref="AA464" si="3059">+X464</f>
        <v>-6.0680818698624128E-2</v>
      </c>
      <c r="AB464" s="209">
        <f ca="1">AB463/'Financial Statements'!AB103</f>
        <v>-3.1411345112720764E-2</v>
      </c>
      <c r="AC464" s="209">
        <f ca="1">AC463/'Financial Statements'!AC103</f>
        <v>-3.0340409348927171E-2</v>
      </c>
      <c r="AD464" s="208">
        <f t="shared" ref="AD464" si="3060">+AA464</f>
        <v>-6.0680818698624128E-2</v>
      </c>
      <c r="AE464" s="209">
        <f ca="1">AE463/'Financial Statements'!AE103</f>
        <v>-3.117022915575263E-2</v>
      </c>
      <c r="AF464" s="209">
        <f ca="1">AF463/'Financial Statements'!AF103</f>
        <v>-3.0340409348898017E-2</v>
      </c>
      <c r="AG464" s="208">
        <f t="shared" ref="AG464" si="3061">+AD464</f>
        <v>-6.0680818698624128E-2</v>
      </c>
      <c r="AH464" s="209">
        <f ca="1">AH463/'Financial Statements'!AH103</f>
        <v>-3.0993057403256582E-2</v>
      </c>
      <c r="AI464" s="209">
        <f ca="1">AI463/'Financial Statements'!AI103</f>
        <v>-3.0340409358545116E-2</v>
      </c>
      <c r="AJ464" s="208">
        <f t="shared" ref="AJ464" si="3062">+AG464</f>
        <v>-6.0680818698624128E-2</v>
      </c>
      <c r="AK464" s="209">
        <f ca="1">AK463/'Financial Statements'!AK103</f>
        <v>-3.0826141901178609E-2</v>
      </c>
      <c r="AL464" s="209">
        <f ca="1">AL463/'Financial Statements'!AL103</f>
        <v>-3.0340409399955328E-2</v>
      </c>
      <c r="AM464" s="208">
        <f t="shared" ref="AM464" si="3063">+AJ464</f>
        <v>-6.0680818698624128E-2</v>
      </c>
      <c r="AN464" s="209">
        <f ca="1">AN463/'Financial Statements'!AN103</f>
        <v>-3.0644677792323539E-2</v>
      </c>
      <c r="AO464" s="209">
        <f ca="1">AO463/'Financial Statements'!AO103</f>
        <v>-3.0340409413639385E-2</v>
      </c>
      <c r="AP464" s="208">
        <f t="shared" ref="AP464" si="3064">+AM464</f>
        <v>-6.0680818698624128E-2</v>
      </c>
      <c r="AQ464" s="209">
        <f ca="1">AQ463/'Financial Statements'!AQ103</f>
        <v>-3.0534497062226544E-2</v>
      </c>
      <c r="AR464" s="209">
        <f ca="1">AR463/'Financial Statements'!AR103</f>
        <v>-3.0340409480647597E-2</v>
      </c>
      <c r="AS464" s="208">
        <f t="shared" ref="AS464" si="3065">+AP464</f>
        <v>-6.0680818698624128E-2</v>
      </c>
      <c r="AT464" s="209">
        <f ca="1">AT463/'Financial Statements'!AT103</f>
        <v>-3.0442699736346442E-2</v>
      </c>
      <c r="AU464" s="209">
        <f ca="1">AU463/'Financial Statements'!AU103</f>
        <v>-3.0340407644724451E-2</v>
      </c>
      <c r="AV464" s="208">
        <f t="shared" ref="AV464" si="3066">+AS464</f>
        <v>-6.0680818698624128E-2</v>
      </c>
    </row>
    <row r="465" spans="1:55" outlineLevel="1" x14ac:dyDescent="0.25">
      <c r="M465" s="8"/>
    </row>
    <row r="466" spans="1:55" outlineLevel="1" x14ac:dyDescent="0.25">
      <c r="B466" s="8" t="s">
        <v>207</v>
      </c>
      <c r="C466" s="22" t="s">
        <v>28</v>
      </c>
      <c r="F466" s="45">
        <v>3</v>
      </c>
      <c r="I466" s="45">
        <v>1.2</v>
      </c>
      <c r="J466" s="19">
        <f>0.5*L466</f>
        <v>2.4205000000000001</v>
      </c>
      <c r="K466" s="19">
        <f>+L466-J466</f>
        <v>2.4205000000000001</v>
      </c>
      <c r="L466" s="354">
        <v>4.8410000000000002</v>
      </c>
      <c r="M466" s="441">
        <v>4.7519999999999998</v>
      </c>
      <c r="N466" s="19">
        <f>+O466-M466</f>
        <v>5.29</v>
      </c>
      <c r="O466" s="469">
        <v>10.042</v>
      </c>
      <c r="P466" s="19">
        <f>0.5*R466</f>
        <v>5.5604339039253956</v>
      </c>
      <c r="Q466" s="19">
        <f>+R466-P466</f>
        <v>5.5604339039253956</v>
      </c>
      <c r="R466" s="52">
        <f>R467*R407</f>
        <v>11.120867807850791</v>
      </c>
      <c r="S466" s="19">
        <f t="shared" ref="S466" si="3067">0.5*U466</f>
        <v>6.5916632705945775</v>
      </c>
      <c r="T466" s="19">
        <f t="shared" ref="T466" si="3068">+U466-S466</f>
        <v>6.5916632705945775</v>
      </c>
      <c r="U466" s="52">
        <f t="shared" ref="U466" si="3069">U467*U407</f>
        <v>13.183326541189155</v>
      </c>
      <c r="V466" s="19">
        <f t="shared" ref="V466" si="3070">0.5*X466</f>
        <v>7.7568664993365779</v>
      </c>
      <c r="W466" s="19">
        <f t="shared" ref="W466" si="3071">+X466-V466</f>
        <v>7.7568664993365779</v>
      </c>
      <c r="X466" s="52">
        <f t="shared" ref="X466" si="3072">X467*X407</f>
        <v>15.513732998673156</v>
      </c>
      <c r="Y466" s="19">
        <f t="shared" ref="Y466" si="3073">0.5*AA466</f>
        <v>9.089664448227186</v>
      </c>
      <c r="Z466" s="19">
        <f t="shared" ref="Z466" si="3074">+AA466-Y466</f>
        <v>9.089664448227186</v>
      </c>
      <c r="AA466" s="52">
        <f t="shared" ref="AA466" si="3075">AA467*AA407</f>
        <v>18.179328896454372</v>
      </c>
      <c r="AB466" s="19">
        <f t="shared" ref="AB466" si="3076">0.5*AD466</f>
        <v>10.485604575712957</v>
      </c>
      <c r="AC466" s="19">
        <f t="shared" ref="AC466" si="3077">+AD466-AB466</f>
        <v>10.485604575712957</v>
      </c>
      <c r="AD466" s="52">
        <f t="shared" ref="AD466" si="3078">AD467*AD407</f>
        <v>20.971209151425914</v>
      </c>
      <c r="AE466" s="19">
        <f t="shared" ref="AE466" si="3079">0.5*AG466</f>
        <v>11.918856998948092</v>
      </c>
      <c r="AF466" s="19">
        <f t="shared" ref="AF466" si="3080">+AG466-AE466</f>
        <v>11.918856998948092</v>
      </c>
      <c r="AG466" s="52">
        <f t="shared" ref="AG466" si="3081">AG467*AG407</f>
        <v>23.837713997896184</v>
      </c>
      <c r="AH466" s="19">
        <f t="shared" ref="AH466" si="3082">0.5*AJ466</f>
        <v>13.467262859173223</v>
      </c>
      <c r="AI466" s="19">
        <f t="shared" ref="AI466" si="3083">+AJ466-AH466</f>
        <v>13.467262859173223</v>
      </c>
      <c r="AJ466" s="52">
        <f t="shared" ref="AJ466" si="3084">AJ467*AJ407</f>
        <v>26.934525718346446</v>
      </c>
      <c r="AK466" s="19">
        <f t="shared" ref="AK466" si="3085">0.5*AM466</f>
        <v>15.138903650894489</v>
      </c>
      <c r="AL466" s="19">
        <f t="shared" ref="AL466" si="3086">+AM466-AK466</f>
        <v>15.138903650894489</v>
      </c>
      <c r="AM466" s="52">
        <f t="shared" ref="AM466" si="3087">AM467*AM407</f>
        <v>30.277807301788979</v>
      </c>
      <c r="AN466" s="19">
        <f t="shared" ref="AN466" si="3088">0.5*AP466</f>
        <v>16.579450147679015</v>
      </c>
      <c r="AO466" s="19">
        <f t="shared" ref="AO466" si="3089">+AP466-AN466</f>
        <v>16.579450147679015</v>
      </c>
      <c r="AP466" s="52">
        <f t="shared" ref="AP466" si="3090">AP467*AP407</f>
        <v>33.158900295358031</v>
      </c>
      <c r="AQ466" s="19">
        <f t="shared" ref="AQ466" si="3091">0.5*AS466</f>
        <v>18.001603438263583</v>
      </c>
      <c r="AR466" s="19">
        <f t="shared" ref="AR466" si="3092">+AS466-AQ466</f>
        <v>18.001603438263583</v>
      </c>
      <c r="AS466" s="52">
        <f t="shared" ref="AS466" si="3093">AS467*AS407</f>
        <v>36.003206876527166</v>
      </c>
      <c r="AT466" s="19">
        <f t="shared" ref="AT466" si="3094">0.5*AV466</f>
        <v>19.493351830108562</v>
      </c>
      <c r="AU466" s="19">
        <f t="shared" ref="AU466" si="3095">+AV466-AT466</f>
        <v>19.493351830108562</v>
      </c>
      <c r="AV466" s="52">
        <f t="shared" ref="AV466" si="3096">AV467*AV407</f>
        <v>38.986703660217124</v>
      </c>
    </row>
    <row r="467" spans="1:55" outlineLevel="1" x14ac:dyDescent="0.25">
      <c r="B467" s="8" t="s">
        <v>225</v>
      </c>
      <c r="C467" s="22" t="s">
        <v>29</v>
      </c>
      <c r="J467" s="303">
        <f>J466/J$407*2</f>
        <v>8.4045138888888885E-2</v>
      </c>
      <c r="K467" s="303">
        <f>K466/K$407*2</f>
        <v>4.2314954022586629E-2</v>
      </c>
      <c r="L467" s="310">
        <f>L466/L$407</f>
        <v>4.2314954022586629E-2</v>
      </c>
      <c r="M467" s="324">
        <f>M466/M$407*2</f>
        <v>6.9210602971162244E-2</v>
      </c>
      <c r="N467" s="303">
        <f>N466/N$407*2</f>
        <v>6.516905147615909E-2</v>
      </c>
      <c r="O467" s="310">
        <f>O466/O$407</f>
        <v>6.185516209107652E-2</v>
      </c>
      <c r="P467" s="209">
        <f ca="1">P466/'Financial Statements'!P$103</f>
        <v>1.7027503453174248E-2</v>
      </c>
      <c r="Q467" s="209">
        <f ca="1">Q466/'Financial Statements'!Q$103</f>
        <v>1.6386932810072533E-2</v>
      </c>
      <c r="R467" s="208">
        <v>0.06</v>
      </c>
      <c r="S467" s="209">
        <f ca="1">S466/'Financial Statements'!S$103</f>
        <v>1.8120332284052999E-2</v>
      </c>
      <c r="T467" s="209">
        <f ca="1">T466/'Financial Statements'!T$103</f>
        <v>1.6951801977071856E-2</v>
      </c>
      <c r="U467" s="208">
        <v>0.06</v>
      </c>
      <c r="V467" s="209">
        <f ca="1">V466/'Financial Statements'!V$103</f>
        <v>1.8804649026236308E-2</v>
      </c>
      <c r="W467" s="209">
        <f ca="1">W466/'Financial Statements'!W$103</f>
        <v>1.7786647838641197E-2</v>
      </c>
      <c r="X467" s="208">
        <f t="shared" ref="X467" si="3097">+U467</f>
        <v>0.06</v>
      </c>
      <c r="Y467" s="209">
        <f ca="1">Y466/'Financial Statements'!Y$103</f>
        <v>1.9710799293920188E-2</v>
      </c>
      <c r="Z467" s="209">
        <f ca="1">Z466/'Financial Statements'!Z$103</f>
        <v>1.8790669900595434E-2</v>
      </c>
      <c r="AA467" s="208">
        <f t="shared" ref="AA467" si="3098">+X467</f>
        <v>0.06</v>
      </c>
      <c r="AB467" s="209">
        <f ca="1">AB466/'Financial Statements'!AB$103</f>
        <v>2.0730107735991359E-2</v>
      </c>
      <c r="AC467" s="209">
        <f ca="1">AC466/'Financial Statements'!AC$103</f>
        <v>2.0023337182801117E-2</v>
      </c>
      <c r="AD467" s="208">
        <f t="shared" ref="AD467" si="3099">+AA467</f>
        <v>0.06</v>
      </c>
      <c r="AE467" s="209">
        <f ca="1">AE466/'Financial Statements'!AE$103</f>
        <v>2.2035175527225542E-2</v>
      </c>
      <c r="AF467" s="209">
        <f ca="1">AF466/'Financial Statements'!AF$103</f>
        <v>2.1448550866603334E-2</v>
      </c>
      <c r="AG467" s="208">
        <f t="shared" ref="AG467" si="3100">+AD467</f>
        <v>0.06</v>
      </c>
      <c r="AH467" s="209">
        <f ca="1">AH466/'Financial Statements'!AH$103</f>
        <v>2.3600731737248009E-2</v>
      </c>
      <c r="AI467" s="209">
        <f ca="1">AI466/'Financial Statements'!AI$103</f>
        <v>2.3103750390049384E-2</v>
      </c>
      <c r="AJ467" s="208">
        <f t="shared" ref="AJ467" si="3101">+AG467</f>
        <v>0.06</v>
      </c>
      <c r="AK467" s="209">
        <f ca="1">AK466/'Financial Statements'!AK$103</f>
        <v>2.5429739678749209E-2</v>
      </c>
      <c r="AL467" s="209">
        <f ca="1">AL466/'Financial Statements'!AL$103</f>
        <v>2.5029039159715282E-2</v>
      </c>
      <c r="AM467" s="208">
        <f t="shared" ref="AM467" si="3102">+AJ467</f>
        <v>0.06</v>
      </c>
      <c r="AN467" s="209">
        <f ca="1">AN466/'Financial Statements'!AN$103</f>
        <v>2.7010387297363637E-2</v>
      </c>
      <c r="AO467" s="209">
        <f ca="1">AO466/'Financial Statements'!AO$103</f>
        <v>2.6742203477442432E-2</v>
      </c>
      <c r="AP467" s="208">
        <f t="shared" ref="AP467" si="3103">+AM467</f>
        <v>0.06</v>
      </c>
      <c r="AQ467" s="209">
        <f ca="1">AQ466/'Financial Statements'!AQ$103</f>
        <v>2.8766000270478438E-2</v>
      </c>
      <c r="AR467" s="209">
        <f ca="1">AR466/'Financial Statements'!AR$103</f>
        <v>2.8583153852120256E-2</v>
      </c>
      <c r="AS467" s="208">
        <f t="shared" ref="AS467" si="3104">+AP467</f>
        <v>0.06</v>
      </c>
      <c r="AT467" s="209">
        <f ca="1">AT466/'Financial Statements'!AT$103</f>
        <v>3.0754301505930323E-2</v>
      </c>
      <c r="AU467" s="209">
        <f ca="1">AU466/'Financial Statements'!AU$103</f>
        <v>3.0650962385068484E-2</v>
      </c>
      <c r="AV467" s="208">
        <f t="shared" ref="AV467" si="3105">+AS467</f>
        <v>0.06</v>
      </c>
    </row>
    <row r="468" spans="1:55" outlineLevel="1" x14ac:dyDescent="0.25">
      <c r="L468" s="358"/>
      <c r="M468" s="8"/>
      <c r="O468" s="18"/>
    </row>
    <row r="469" spans="1:55" s="62" customFormat="1" outlineLevel="1" x14ac:dyDescent="0.25">
      <c r="A469" t="s">
        <v>298</v>
      </c>
      <c r="B469" s="12" t="s">
        <v>208</v>
      </c>
      <c r="C469" s="22" t="s">
        <v>28</v>
      </c>
      <c r="D469" s="12"/>
      <c r="E469" s="12"/>
      <c r="F469" s="52">
        <f>+F463+F466</f>
        <v>-2.8</v>
      </c>
      <c r="G469" s="12"/>
      <c r="H469" s="12"/>
      <c r="I469" s="52">
        <f>+I463+I466</f>
        <v>-6.9999999999999991</v>
      </c>
      <c r="J469" s="52">
        <f t="shared" ref="J469:L469" si="3106">+J463+J466</f>
        <v>-4.2765000000000004</v>
      </c>
      <c r="K469" s="52">
        <f t="shared" si="3106"/>
        <v>-4.2765000000000004</v>
      </c>
      <c r="L469" s="312">
        <f t="shared" si="3106"/>
        <v>-8.5530000000000008</v>
      </c>
      <c r="M469" s="52">
        <f t="shared" ref="M469" si="3107">+M463+M466</f>
        <v>-3.9340000000000002</v>
      </c>
      <c r="N469" s="52">
        <f>+N463+N466</f>
        <v>-4.6930000000000005</v>
      </c>
      <c r="O469" s="52">
        <f>+O463+O466</f>
        <v>-8.6270000000000007</v>
      </c>
      <c r="P469" s="52">
        <f ca="1">+P463+P466</f>
        <v>-4.7347105724827694</v>
      </c>
      <c r="Q469" s="52">
        <f t="shared" ref="Q469:AS469" ca="1" si="3108">+Q463+Q466</f>
        <v>-4.7347105724827694</v>
      </c>
      <c r="R469" s="52">
        <f ca="1">+R463+R466</f>
        <v>-9.4694211449655281</v>
      </c>
      <c r="S469" s="52">
        <f t="shared" ca="1" si="3108"/>
        <v>-5.2061244922148608</v>
      </c>
      <c r="T469" s="52">
        <f t="shared" ca="1" si="3108"/>
        <v>-5.2061244922148608</v>
      </c>
      <c r="U469" s="52">
        <f ca="1">+U463+U466</f>
        <v>-10.412248984429423</v>
      </c>
      <c r="V469" s="52">
        <f t="shared" ca="1" si="3108"/>
        <v>-5.4747725926869766</v>
      </c>
      <c r="W469" s="52">
        <f t="shared" ca="1" si="3108"/>
        <v>-5.4747725926869766</v>
      </c>
      <c r="X469" s="52">
        <f t="shared" ca="1" si="3108"/>
        <v>-10.949545185375744</v>
      </c>
      <c r="Y469" s="52">
        <f t="shared" ca="1" si="3108"/>
        <v>-5.5869884686390936</v>
      </c>
      <c r="Z469" s="52">
        <f t="shared" ca="1" si="3108"/>
        <v>-5.5869884686390936</v>
      </c>
      <c r="AA469" s="52">
        <f t="shared" ca="1" si="3108"/>
        <v>-11.17397693734803</v>
      </c>
      <c r="AB469" s="52">
        <f t="shared" ca="1" si="3108"/>
        <v>-5.4027327275901413</v>
      </c>
      <c r="AC469" s="52">
        <f t="shared" ca="1" si="3108"/>
        <v>-5.4027327275901413</v>
      </c>
      <c r="AD469" s="52">
        <f t="shared" ca="1" si="3108"/>
        <v>-10.805465455583395</v>
      </c>
      <c r="AE469" s="52">
        <f t="shared" ca="1" si="3108"/>
        <v>-4.9411631752880947</v>
      </c>
      <c r="AF469" s="52">
        <f t="shared" ca="1" si="3108"/>
        <v>-4.9411631752880947</v>
      </c>
      <c r="AG469" s="52">
        <f t="shared" ca="1" si="3108"/>
        <v>-9.8823263510363581</v>
      </c>
      <c r="AH469" s="52">
        <f t="shared" ca="1" si="3108"/>
        <v>-4.2182756870893048</v>
      </c>
      <c r="AI469" s="52">
        <f t="shared" ca="1" si="3108"/>
        <v>-4.2182756870893048</v>
      </c>
      <c r="AJ469" s="52">
        <f t="shared" ca="1" si="3108"/>
        <v>-8.4365513634146474</v>
      </c>
      <c r="AK469" s="52">
        <f t="shared" ca="1" si="3108"/>
        <v>-3.2126012432247553</v>
      </c>
      <c r="AL469" s="52">
        <f t="shared" ca="1" si="3108"/>
        <v>-3.2126012432247553</v>
      </c>
      <c r="AM469" s="52">
        <f t="shared" ca="1" si="3108"/>
        <v>-6.4252024251859901</v>
      </c>
      <c r="AN469" s="52">
        <f t="shared" ca="1" si="3108"/>
        <v>-2.2307913403837993</v>
      </c>
      <c r="AO469" s="52">
        <f t="shared" ca="1" si="3108"/>
        <v>-2.2307913403837993</v>
      </c>
      <c r="AP469" s="52">
        <f t="shared" ca="1" si="3108"/>
        <v>-4.461582601005162</v>
      </c>
      <c r="AQ469" s="52">
        <f t="shared" ca="1" si="3108"/>
        <v>-1.1067154845146412</v>
      </c>
      <c r="AR469" s="52">
        <f t="shared" ca="1" si="3108"/>
        <v>-1.1067154845146412</v>
      </c>
      <c r="AS469" s="52">
        <f t="shared" ca="1" si="3108"/>
        <v>-2.2134308035996639</v>
      </c>
      <c r="AT469" s="52">
        <f t="shared" ref="AT469:AV469" ca="1" si="3109">+AT463+AT466</f>
        <v>0.19750612525573885</v>
      </c>
      <c r="AU469" s="52">
        <f t="shared" ca="1" si="3109"/>
        <v>0.19750612525573885</v>
      </c>
      <c r="AV469" s="52">
        <f t="shared" ca="1" si="3109"/>
        <v>0.39501008234947221</v>
      </c>
      <c r="AX469"/>
      <c r="AY469"/>
      <c r="AZ469"/>
      <c r="BA469"/>
      <c r="BB469"/>
      <c r="BC469"/>
    </row>
    <row r="470" spans="1:55" outlineLevel="1" x14ac:dyDescent="0.25">
      <c r="M470" s="8"/>
    </row>
    <row r="471" spans="1:55" outlineLevel="1" x14ac:dyDescent="0.25">
      <c r="A471" s="64"/>
      <c r="B471" s="67" t="s">
        <v>215</v>
      </c>
      <c r="C471" s="66"/>
      <c r="D471" s="65"/>
      <c r="E471" s="65"/>
      <c r="F471" s="65"/>
      <c r="G471" s="65"/>
      <c r="H471" s="65"/>
      <c r="I471" s="65"/>
      <c r="J471" s="65"/>
      <c r="K471" s="65"/>
      <c r="L471" s="375"/>
      <c r="M471" s="65"/>
      <c r="N471" s="65"/>
      <c r="O471" s="65"/>
      <c r="P471" s="65"/>
      <c r="Q471" s="65"/>
      <c r="R471" s="65"/>
      <c r="S471" s="65"/>
      <c r="T471" s="65"/>
      <c r="U471" s="65"/>
      <c r="V471" s="65"/>
      <c r="W471" s="65"/>
      <c r="X471" s="65"/>
      <c r="Y471" s="65"/>
      <c r="Z471" s="65"/>
      <c r="AA471" s="65"/>
      <c r="AB471" s="65"/>
      <c r="AC471" s="65"/>
      <c r="AD471" s="65"/>
      <c r="AE471" s="65"/>
      <c r="AF471" s="65"/>
      <c r="AG471" s="65"/>
      <c r="AH471" s="65"/>
      <c r="AI471" s="65"/>
      <c r="AJ471" s="65"/>
      <c r="AK471" s="65"/>
      <c r="AL471" s="65"/>
      <c r="AM471" s="65"/>
      <c r="AN471" s="65"/>
      <c r="AO471" s="65"/>
      <c r="AP471" s="65"/>
      <c r="AQ471" s="65"/>
      <c r="AR471" s="65"/>
      <c r="AS471" s="65"/>
      <c r="AT471" s="65"/>
      <c r="AU471" s="65"/>
      <c r="AV471" s="65"/>
    </row>
    <row r="472" spans="1:55" outlineLevel="1" x14ac:dyDescent="0.25">
      <c r="B472" s="8" t="s">
        <v>209</v>
      </c>
      <c r="C472" s="22" t="s">
        <v>28</v>
      </c>
      <c r="F472" s="19">
        <f>+F454+F466</f>
        <v>4.4000000000000004</v>
      </c>
      <c r="I472" s="19">
        <f>+I454+I466</f>
        <v>12.399999999999999</v>
      </c>
      <c r="J472" s="19">
        <f>+J454+J466</f>
        <v>8.1705000000000005</v>
      </c>
      <c r="K472" s="19">
        <f t="shared" ref="K472:L472" si="3110">+K454+K466</f>
        <v>8.1705000000000005</v>
      </c>
      <c r="L472" s="309">
        <f t="shared" si="3110"/>
        <v>16.341000000000001</v>
      </c>
      <c r="M472" s="19">
        <f>+M454+M466</f>
        <v>11.445</v>
      </c>
      <c r="N472" s="19">
        <f>+N454+N466</f>
        <v>11.126999999999999</v>
      </c>
      <c r="O472" s="170">
        <f>+O454+O466</f>
        <v>22.571999999999999</v>
      </c>
      <c r="P472" s="19">
        <f t="shared" ref="P472:Q472" si="3111">+P454+P466</f>
        <v>11.592820170694988</v>
      </c>
      <c r="Q472" s="19">
        <f t="shared" si="3111"/>
        <v>11.252826136982765</v>
      </c>
      <c r="R472" s="19">
        <f>+R454+R466</f>
        <v>22.845646307677754</v>
      </c>
      <c r="S472" s="19">
        <f t="shared" ref="S472:X472" si="3112">+S454+S466</f>
        <v>11.545482003305199</v>
      </c>
      <c r="T472" s="19">
        <f t="shared" si="3112"/>
        <v>11.121386112334767</v>
      </c>
      <c r="U472" s="19">
        <f t="shared" si="3112"/>
        <v>22.666868115639964</v>
      </c>
      <c r="V472" s="19">
        <f t="shared" si="3112"/>
        <v>10.908488282448531</v>
      </c>
      <c r="W472" s="19">
        <f t="shared" si="3112"/>
        <v>10.721230324420901</v>
      </c>
      <c r="X472" s="19">
        <f t="shared" si="3112"/>
        <v>21.629718606869432</v>
      </c>
      <c r="Y472" s="19">
        <f t="shared" ref="Y472:AA472" si="3113">+Y454+Y466</f>
        <v>11.854471569843881</v>
      </c>
      <c r="Z472" s="19">
        <f t="shared" si="3113"/>
        <v>11.689012409950422</v>
      </c>
      <c r="AA472" s="19">
        <f t="shared" si="3113"/>
        <v>23.543483979794303</v>
      </c>
      <c r="AB472" s="19">
        <f t="shared" ref="AB472:AP472" si="3114">+AB454+AB466</f>
        <v>12.909322271919077</v>
      </c>
      <c r="AC472" s="19">
        <f t="shared" si="3114"/>
        <v>12.807333926855531</v>
      </c>
      <c r="AD472" s="19">
        <f t="shared" si="3114"/>
        <v>25.716656198774608</v>
      </c>
      <c r="AE472" s="19">
        <f t="shared" si="3114"/>
        <v>14.103757722226538</v>
      </c>
      <c r="AF472" s="19">
        <f t="shared" si="3114"/>
        <v>14.032770810131947</v>
      </c>
      <c r="AG472" s="19">
        <f t="shared" si="3114"/>
        <v>28.136528532358483</v>
      </c>
      <c r="AH472" s="19">
        <f t="shared" si="3114"/>
        <v>15.472886968114768</v>
      </c>
      <c r="AI472" s="19">
        <f t="shared" si="3114"/>
        <v>15.440499239263511</v>
      </c>
      <c r="AJ472" s="19">
        <f t="shared" si="3114"/>
        <v>30.913386207378281</v>
      </c>
      <c r="AK472" s="19">
        <f t="shared" si="3114"/>
        <v>17.036884913390551</v>
      </c>
      <c r="AL472" s="19">
        <f t="shared" si="3114"/>
        <v>17.051339015671939</v>
      </c>
      <c r="AM472" s="19">
        <f t="shared" si="3114"/>
        <v>34.088223929062494</v>
      </c>
      <c r="AN472" s="19">
        <f t="shared" si="3114"/>
        <v>18.462149254181693</v>
      </c>
      <c r="AO472" s="19">
        <f t="shared" si="3114"/>
        <v>18.548597541001961</v>
      </c>
      <c r="AP472" s="19">
        <f t="shared" si="3114"/>
        <v>37.010746795183657</v>
      </c>
      <c r="AQ472" s="19">
        <f t="shared" ref="AQ472:AS472" si="3115">+AQ454+AQ466</f>
        <v>19.977213990048362</v>
      </c>
      <c r="AR472" s="19">
        <f t="shared" si="3115"/>
        <v>20.095037459154554</v>
      </c>
      <c r="AS472" s="19">
        <f t="shared" si="3115"/>
        <v>40.072251449202916</v>
      </c>
      <c r="AT472" s="19">
        <f t="shared" ref="AT472:AV472" si="3116">+AT454+AT466</f>
        <v>21.614591393831681</v>
      </c>
      <c r="AU472" s="19">
        <f t="shared" si="3116"/>
        <v>21.765036624607383</v>
      </c>
      <c r="AV472" s="19">
        <f t="shared" si="3116"/>
        <v>43.379628018439064</v>
      </c>
    </row>
    <row r="473" spans="1:55" outlineLevel="1" x14ac:dyDescent="0.25">
      <c r="B473" s="8" t="s">
        <v>210</v>
      </c>
      <c r="C473" s="22" t="s">
        <v>28</v>
      </c>
      <c r="F473" s="19">
        <f>+F445+F463</f>
        <v>-6</v>
      </c>
      <c r="I473" s="19">
        <f>+I445+I463</f>
        <v>-8.5</v>
      </c>
      <c r="J473" s="19">
        <f>+J445+J463</f>
        <v>-6.8620000000000001</v>
      </c>
      <c r="K473" s="19">
        <f t="shared" ref="K473" si="3117">+K445+K463</f>
        <v>-6.8620000000000001</v>
      </c>
      <c r="L473" s="309">
        <f>+L445+L463</f>
        <v>-13.724</v>
      </c>
      <c r="M473" s="19">
        <f>+M445+M463</f>
        <v>-8.7520000000000007</v>
      </c>
      <c r="N473" s="19">
        <f>+N445+N463</f>
        <v>-10.048</v>
      </c>
      <c r="O473" s="170">
        <f>+O445+O463</f>
        <v>-18.8</v>
      </c>
      <c r="P473" s="19">
        <f ca="1">+P445+P463</f>
        <v>-10.295144476408165</v>
      </c>
      <c r="Q473" s="19">
        <f t="shared" ref="Q473" ca="1" si="3118">+Q445+Q463</f>
        <v>-10.295144476408165</v>
      </c>
      <c r="R473" s="19">
        <f ca="1">+R445+R463</f>
        <v>-20.590288952816319</v>
      </c>
      <c r="S473" s="19">
        <f t="shared" ref="S473:X473" ca="1" si="3119">+S445+S463</f>
        <v>-11.797787762809438</v>
      </c>
      <c r="T473" s="19">
        <f t="shared" ca="1" si="3119"/>
        <v>-11.797787762809438</v>
      </c>
      <c r="U473" s="19">
        <f t="shared" ca="1" si="3119"/>
        <v>-23.595575525618578</v>
      </c>
      <c r="V473" s="19">
        <f t="shared" ca="1" si="3119"/>
        <v>-13.231639092023554</v>
      </c>
      <c r="W473" s="19">
        <f t="shared" ca="1" si="3119"/>
        <v>-13.231639092023554</v>
      </c>
      <c r="X473" s="19">
        <f t="shared" ca="1" si="3119"/>
        <v>-26.4632781840489</v>
      </c>
      <c r="Y473" s="19">
        <f t="shared" ref="Y473:AA473" ca="1" si="3120">+Y445+Y463</f>
        <v>-14.67665291686628</v>
      </c>
      <c r="Z473" s="19">
        <f t="shared" ca="1" si="3120"/>
        <v>-14.67665291686628</v>
      </c>
      <c r="AA473" s="19">
        <f t="shared" ca="1" si="3120"/>
        <v>-29.353305833802402</v>
      </c>
      <c r="AB473" s="19">
        <f t="shared" ref="AB473:AP473" ca="1" si="3121">+AB445+AB463</f>
        <v>-15.888337303303098</v>
      </c>
      <c r="AC473" s="19">
        <f t="shared" ca="1" si="3121"/>
        <v>-15.888337303303098</v>
      </c>
      <c r="AD473" s="19">
        <f t="shared" ca="1" si="3121"/>
        <v>-31.776674607009308</v>
      </c>
      <c r="AE473" s="19">
        <f t="shared" ca="1" si="3121"/>
        <v>-16.860020174236187</v>
      </c>
      <c r="AF473" s="19">
        <f t="shared" ca="1" si="3121"/>
        <v>-16.860020174236187</v>
      </c>
      <c r="AG473" s="19">
        <f t="shared" ca="1" si="3121"/>
        <v>-33.720040348932542</v>
      </c>
      <c r="AH473" s="19">
        <f t="shared" ca="1" si="3121"/>
        <v>-17.685538546262528</v>
      </c>
      <c r="AI473" s="19">
        <f t="shared" ca="1" si="3121"/>
        <v>-17.685538546262528</v>
      </c>
      <c r="AJ473" s="19">
        <f t="shared" ca="1" si="3121"/>
        <v>-35.371077081761094</v>
      </c>
      <c r="AK473" s="19">
        <f t="shared" ca="1" si="3121"/>
        <v>-18.351504894119245</v>
      </c>
      <c r="AL473" s="19">
        <f t="shared" ca="1" si="3121"/>
        <v>-18.351504894119245</v>
      </c>
      <c r="AM473" s="19">
        <f t="shared" ca="1" si="3121"/>
        <v>-36.703009726974969</v>
      </c>
      <c r="AN473" s="19">
        <f t="shared" ca="1" si="3121"/>
        <v>-18.810241488062815</v>
      </c>
      <c r="AO473" s="19">
        <f t="shared" ca="1" si="3121"/>
        <v>-18.810241488062815</v>
      </c>
      <c r="AP473" s="19">
        <f t="shared" ca="1" si="3121"/>
        <v>-37.620482896363193</v>
      </c>
      <c r="AQ473" s="19">
        <f t="shared" ref="AQ473:AS473" ca="1" si="3122">+AQ445+AQ463</f>
        <v>-19.108318922778224</v>
      </c>
      <c r="AR473" s="19">
        <f t="shared" ca="1" si="3122"/>
        <v>-19.108318922778224</v>
      </c>
      <c r="AS473" s="19">
        <f t="shared" ca="1" si="3122"/>
        <v>-38.21663768012683</v>
      </c>
      <c r="AT473" s="19">
        <f t="shared" ref="AT473:AV473" ca="1" si="3123">+AT445+AT463</f>
        <v>-19.295845704852823</v>
      </c>
      <c r="AU473" s="19">
        <f t="shared" ca="1" si="3123"/>
        <v>-19.295845704852823</v>
      </c>
      <c r="AV473" s="19">
        <f t="shared" ca="1" si="3123"/>
        <v>-38.591693577867652</v>
      </c>
    </row>
    <row r="474" spans="1:55" outlineLevel="1" x14ac:dyDescent="0.25">
      <c r="B474" s="12" t="s">
        <v>211</v>
      </c>
      <c r="C474" s="22" t="s">
        <v>28</v>
      </c>
      <c r="D474" s="12"/>
      <c r="E474" s="12"/>
      <c r="F474" s="52">
        <f>+F445+F454+F469</f>
        <v>-1.5999999999999999</v>
      </c>
      <c r="G474" s="12">
        <v>1.6</v>
      </c>
      <c r="H474" s="52">
        <f>+I474-G474</f>
        <v>2.2999999999999994</v>
      </c>
      <c r="I474" s="52">
        <f>+I445+I454+I469</f>
        <v>3.8999999999999995</v>
      </c>
      <c r="J474" s="52">
        <f t="shared" ref="J474:L474" si="3124">+J445+J454+J469</f>
        <v>1.3084999999999996</v>
      </c>
      <c r="K474" s="52">
        <f t="shared" si="3124"/>
        <v>1.3084999999999996</v>
      </c>
      <c r="L474" s="312">
        <f t="shared" si="3124"/>
        <v>2.6169999999999991</v>
      </c>
      <c r="M474" s="52">
        <f t="shared" ref="M474" si="3125">+M445+M454+M469</f>
        <v>2.6929999999999996</v>
      </c>
      <c r="N474" s="52">
        <f>+N445+N454+N469</f>
        <v>1.0789999999999988</v>
      </c>
      <c r="O474" s="52">
        <f>+O445+O454+O469</f>
        <v>3.7719999999999985</v>
      </c>
      <c r="P474" s="52">
        <f ca="1">+P445+P454+P469</f>
        <v>1.2976756942868235</v>
      </c>
      <c r="Q474" s="52">
        <f t="shared" ref="Q474" ca="1" si="3126">+Q445+Q454+Q469</f>
        <v>0.95768166057460036</v>
      </c>
      <c r="R474" s="52">
        <f ca="1">+R445+R454+R469</f>
        <v>2.2553573548614345</v>
      </c>
      <c r="S474" s="52">
        <f t="shared" ref="S474:X474" ca="1" si="3127">+S445+S454+S469</f>
        <v>-0.25230575950423884</v>
      </c>
      <c r="T474" s="52">
        <f t="shared" ca="1" si="3127"/>
        <v>-0.67640165047467171</v>
      </c>
      <c r="U474" s="52">
        <f t="shared" ca="1" si="3127"/>
        <v>-0.92870740997861212</v>
      </c>
      <c r="V474" s="52">
        <f t="shared" ca="1" si="3127"/>
        <v>-2.3231508095750244</v>
      </c>
      <c r="W474" s="52">
        <f t="shared" ca="1" si="3127"/>
        <v>-2.510408767602653</v>
      </c>
      <c r="X474" s="52">
        <f t="shared" ca="1" si="3127"/>
        <v>-4.8335595771794679</v>
      </c>
      <c r="Y474" s="52">
        <f t="shared" ref="Y474:AA474" ca="1" si="3128">+Y445+Y454+Y469</f>
        <v>-2.8221813470223989</v>
      </c>
      <c r="Z474" s="52">
        <f t="shared" ca="1" si="3128"/>
        <v>-2.9876405069158576</v>
      </c>
      <c r="AA474" s="52">
        <f t="shared" ca="1" si="3128"/>
        <v>-5.8098218540080993</v>
      </c>
      <c r="AB474" s="52">
        <f t="shared" ref="AB474:AP474" ca="1" si="3129">+AB445+AB454+AB469</f>
        <v>-2.9790150313840211</v>
      </c>
      <c r="AC474" s="52">
        <f t="shared" ca="1" si="3129"/>
        <v>-3.0810033764475682</v>
      </c>
      <c r="AD474" s="52">
        <f t="shared" ca="1" si="3129"/>
        <v>-6.0600184082347015</v>
      </c>
      <c r="AE474" s="52">
        <f t="shared" ca="1" si="3129"/>
        <v>-2.7562624520096484</v>
      </c>
      <c r="AF474" s="52">
        <f t="shared" ca="1" si="3129"/>
        <v>-2.8272493641042407</v>
      </c>
      <c r="AG474" s="52">
        <f t="shared" ca="1" si="3129"/>
        <v>-5.5835118165740578</v>
      </c>
      <c r="AH474" s="52">
        <f t="shared" ca="1" si="3129"/>
        <v>-2.2126515781477596</v>
      </c>
      <c r="AI474" s="52">
        <f t="shared" ca="1" si="3129"/>
        <v>-2.2450393069990162</v>
      </c>
      <c r="AJ474" s="52">
        <f t="shared" ca="1" si="3129"/>
        <v>-4.4576908743828136</v>
      </c>
      <c r="AK474" s="52">
        <f t="shared" ca="1" si="3129"/>
        <v>-1.3146199807286922</v>
      </c>
      <c r="AL474" s="52">
        <f t="shared" ca="1" si="3129"/>
        <v>-1.3001658784473069</v>
      </c>
      <c r="AM474" s="52">
        <f t="shared" ca="1" si="3129"/>
        <v>-2.6147857979124787</v>
      </c>
      <c r="AN474" s="52">
        <f t="shared" ca="1" si="3129"/>
        <v>-0.34809223388112165</v>
      </c>
      <c r="AO474" s="52">
        <f t="shared" ca="1" si="3129"/>
        <v>-0.26164394706085292</v>
      </c>
      <c r="AP474" s="52">
        <f t="shared" ca="1" si="3129"/>
        <v>-0.60973610117953791</v>
      </c>
      <c r="AQ474" s="52">
        <f t="shared" ref="AQ474:AS474" ca="1" si="3130">+AQ445+AQ454+AQ469</f>
        <v>0.86889506727013854</v>
      </c>
      <c r="AR474" s="52">
        <f t="shared" ca="1" si="3130"/>
        <v>0.98671853637633111</v>
      </c>
      <c r="AS474" s="52">
        <f t="shared" ca="1" si="3130"/>
        <v>1.8556137690760881</v>
      </c>
      <c r="AT474" s="52">
        <f t="shared" ref="AT474:AV474" ca="1" si="3131">+AT445+AT454+AT469</f>
        <v>2.318745688978856</v>
      </c>
      <c r="AU474" s="52">
        <f t="shared" ca="1" si="3131"/>
        <v>2.469190919754559</v>
      </c>
      <c r="AV474" s="52">
        <f t="shared" ca="1" si="3131"/>
        <v>4.7879344405714095</v>
      </c>
    </row>
    <row r="475" spans="1:55" outlineLevel="1" x14ac:dyDescent="0.25">
      <c r="M475" s="8"/>
    </row>
    <row r="476" spans="1:55" outlineLevel="1" x14ac:dyDescent="0.25">
      <c r="A476" s="64"/>
      <c r="B476" s="67" t="s">
        <v>248</v>
      </c>
      <c r="C476" s="66"/>
      <c r="D476" s="65"/>
      <c r="E476" s="65"/>
      <c r="F476" s="65"/>
      <c r="G476" s="65"/>
      <c r="H476" s="65"/>
      <c r="I476" s="65"/>
      <c r="J476" s="65"/>
      <c r="K476" s="65"/>
      <c r="L476" s="375"/>
      <c r="M476" s="65"/>
      <c r="N476" s="65"/>
      <c r="O476" s="65"/>
      <c r="P476" s="65"/>
      <c r="Q476" s="65"/>
      <c r="R476" s="65"/>
      <c r="S476" s="65"/>
      <c r="T476" s="65"/>
      <c r="U476" s="65"/>
      <c r="V476" s="65"/>
      <c r="W476" s="65"/>
      <c r="X476" s="65"/>
      <c r="Y476" s="65"/>
      <c r="Z476" s="65"/>
      <c r="AA476" s="65"/>
      <c r="AB476" s="65"/>
      <c r="AC476" s="65"/>
      <c r="AD476" s="65"/>
      <c r="AE476" s="65"/>
      <c r="AF476" s="65"/>
      <c r="AG476" s="65"/>
      <c r="AH476" s="65"/>
      <c r="AI476" s="65"/>
      <c r="AJ476" s="65"/>
      <c r="AK476" s="65"/>
      <c r="AL476" s="65"/>
      <c r="AM476" s="65"/>
      <c r="AN476" s="65"/>
      <c r="AO476" s="65"/>
      <c r="AP476" s="65"/>
      <c r="AQ476" s="65"/>
      <c r="AR476" s="65"/>
      <c r="AS476" s="65"/>
      <c r="AT476" s="65"/>
      <c r="AU476" s="65"/>
      <c r="AV476" s="65"/>
    </row>
    <row r="477" spans="1:55" outlineLevel="1" x14ac:dyDescent="0.25">
      <c r="M477" s="8"/>
    </row>
    <row r="478" spans="1:55" outlineLevel="1" x14ac:dyDescent="0.25">
      <c r="B478" s="8" t="s">
        <v>249</v>
      </c>
      <c r="C478" s="22" t="s">
        <v>311</v>
      </c>
      <c r="K478" s="45">
        <v>0</v>
      </c>
      <c r="L478" s="354">
        <v>0</v>
      </c>
      <c r="M478" s="45">
        <f>+M479*'Financial Statements'!M$59</f>
        <v>0</v>
      </c>
      <c r="N478" s="23">
        <f>+O478</f>
        <v>12.6</v>
      </c>
      <c r="O478" s="23">
        <v>12.6</v>
      </c>
      <c r="P478" s="23">
        <f ca="1">+P479*'Financial Statements'!P$59</f>
        <v>6.9364474975720114</v>
      </c>
      <c r="Q478" s="23">
        <f ca="1">+Q479*'Financial Statements'!Q$59</f>
        <v>8.2761029116838589</v>
      </c>
      <c r="R478" s="23">
        <f ca="1">+R479*'Financial Statements'!R$59</f>
        <v>15.212550409255918</v>
      </c>
      <c r="S478" s="23">
        <f ca="1">+S479*'Financial Statements'!S$59</f>
        <v>12.936434782813393</v>
      </c>
      <c r="T478" s="23">
        <f ca="1">+T479*'Financial Statements'!T$59</f>
        <v>17.002656217024875</v>
      </c>
      <c r="U478" s="23">
        <f ca="1">+U479*'Financial Statements'!U$59</f>
        <v>29.939090999839109</v>
      </c>
      <c r="V478" s="23">
        <f ca="1">+V479*'Financial Statements'!V$59</f>
        <v>22.709074499816595</v>
      </c>
      <c r="W478" s="23">
        <f ca="1">+W479*'Financial Statements'!W$59</f>
        <v>23.475641469159086</v>
      </c>
      <c r="X478" s="23">
        <f ca="1">+X479*'Financial Statements'!X$59</f>
        <v>46.184715968970323</v>
      </c>
      <c r="Y478" s="23">
        <f ca="1">+Y479*'Financial Statements'!Y$59</f>
        <v>33.128693374550473</v>
      </c>
      <c r="Z478" s="23">
        <f ca="1">+Z479*'Financial Statements'!Z$59</f>
        <v>34.688271558383938</v>
      </c>
      <c r="AA478" s="23">
        <f ca="1">+AA479*'Financial Statements'!AA$59</f>
        <v>67.816964932780166</v>
      </c>
      <c r="AB478" s="23">
        <f ca="1">+AB479*'Financial Statements'!AB$59</f>
        <v>42.74288496886318</v>
      </c>
      <c r="AC478" s="23">
        <f ca="1">+AC479*'Financial Statements'!AC$59</f>
        <v>47.475023905392781</v>
      </c>
      <c r="AD478" s="23">
        <f ca="1">+AD479*'Financial Statements'!AD$59</f>
        <v>90.217908873257301</v>
      </c>
      <c r="AE478" s="23">
        <f ca="1">+AE479*'Financial Statements'!AE$59</f>
        <v>54.007009756935602</v>
      </c>
      <c r="AF478" s="23">
        <f ca="1">+AF479*'Financial Statements'!AF$59</f>
        <v>59.325114133994326</v>
      </c>
      <c r="AG478" s="23">
        <f ca="1">+AG479*'Financial Statements'!AG$59</f>
        <v>113.3321238915818</v>
      </c>
      <c r="AH478" s="23">
        <f ca="1">+AH479*'Financial Statements'!AH$59</f>
        <v>66.690429305631255</v>
      </c>
      <c r="AI478" s="23">
        <f ca="1">+AI479*'Financial Statements'!AI$59</f>
        <v>72.661927898181361</v>
      </c>
      <c r="AJ478" s="23">
        <f ca="1">+AJ479*'Financial Statements'!AJ$59</f>
        <v>139.352357222629</v>
      </c>
      <c r="AK478" s="23">
        <f ca="1">+AK479*'Financial Statements'!AK$59</f>
        <v>80.920943517444087</v>
      </c>
      <c r="AL478" s="23">
        <f ca="1">+AL479*'Financial Statements'!AL$59</f>
        <v>87.619322948962406</v>
      </c>
      <c r="AM478" s="23">
        <f ca="1">+AM479*'Financial Statements'!AM$59</f>
        <v>168.5402665668343</v>
      </c>
      <c r="AN478" s="23">
        <f ca="1">+AN479*'Financial Statements'!AN$59</f>
        <v>93.309803486742027</v>
      </c>
      <c r="AO478" s="23">
        <f ca="1">+AO479*'Financial Statements'!AO$59</f>
        <v>99.993804112853752</v>
      </c>
      <c r="AP478" s="23">
        <f ca="1">+AP479*'Financial Statements'!AP$59</f>
        <v>193.30360785029717</v>
      </c>
      <c r="AQ478" s="23">
        <f ca="1">+AQ479*'Financial Statements'!AQ$59</f>
        <v>104.55862012718626</v>
      </c>
      <c r="AR478" s="23">
        <f ca="1">+AR479*'Financial Statements'!AR$59</f>
        <v>111.75282521458755</v>
      </c>
      <c r="AS478" s="23">
        <f ca="1">+AS479*'Financial Statements'!AS$59</f>
        <v>216.31144462411203</v>
      </c>
      <c r="AT478" s="23">
        <f ca="1">+AT479*'Financial Statements'!AT$59</f>
        <v>116.26324844858777</v>
      </c>
      <c r="AU478" s="23">
        <f ca="1">+AU479*'Financial Statements'!AU$59</f>
        <v>123.98108640005285</v>
      </c>
      <c r="AV478" s="23">
        <f ca="1">+AV479*'Financial Statements'!AV$59</f>
        <v>240.24433393073659</v>
      </c>
    </row>
    <row r="479" spans="1:55" outlineLevel="1" x14ac:dyDescent="0.25">
      <c r="B479" s="8" t="s">
        <v>250</v>
      </c>
      <c r="C479" s="22" t="s">
        <v>29</v>
      </c>
      <c r="F479" s="55">
        <v>0</v>
      </c>
      <c r="G479" s="55">
        <f t="shared" ref="G479:M479" si="3132">+F479</f>
        <v>0</v>
      </c>
      <c r="H479" s="55">
        <f t="shared" si="3132"/>
        <v>0</v>
      </c>
      <c r="I479" s="55">
        <f t="shared" si="3132"/>
        <v>0</v>
      </c>
      <c r="J479" s="55">
        <f t="shared" si="3132"/>
        <v>0</v>
      </c>
      <c r="K479" s="339">
        <f t="shared" si="3132"/>
        <v>0</v>
      </c>
      <c r="L479" s="395">
        <f t="shared" si="3132"/>
        <v>0</v>
      </c>
      <c r="M479" s="339">
        <f t="shared" si="3132"/>
        <v>0</v>
      </c>
      <c r="N479" s="42">
        <f>+N478/'Financial Statements'!N59</f>
        <v>1.8013151274245667</v>
      </c>
      <c r="O479" s="42">
        <f>+O478/'Financial Statements'!O59</f>
        <v>0.90046752385450801</v>
      </c>
      <c r="P479" s="42">
        <f>R479</f>
        <v>0.75</v>
      </c>
      <c r="Q479" s="42">
        <f t="shared" ref="Q479:X479" si="3133">+P479</f>
        <v>0.75</v>
      </c>
      <c r="R479" s="42">
        <v>0.75</v>
      </c>
      <c r="S479" s="42">
        <f t="shared" si="3133"/>
        <v>0.75</v>
      </c>
      <c r="T479" s="42">
        <f t="shared" si="3133"/>
        <v>0.75</v>
      </c>
      <c r="U479" s="42">
        <f t="shared" si="3133"/>
        <v>0.75</v>
      </c>
      <c r="V479" s="42">
        <f t="shared" si="3133"/>
        <v>0.75</v>
      </c>
      <c r="W479" s="42">
        <f t="shared" si="3133"/>
        <v>0.75</v>
      </c>
      <c r="X479" s="42">
        <f t="shared" si="3133"/>
        <v>0.75</v>
      </c>
      <c r="Y479" s="42">
        <f t="shared" ref="Y479" si="3134">+X479</f>
        <v>0.75</v>
      </c>
      <c r="Z479" s="42">
        <f t="shared" ref="Z479" si="3135">+Y479</f>
        <v>0.75</v>
      </c>
      <c r="AA479" s="42">
        <f t="shared" ref="AA479" si="3136">+Z479</f>
        <v>0.75</v>
      </c>
      <c r="AB479" s="42">
        <f t="shared" ref="AB479" si="3137">+AA479</f>
        <v>0.75</v>
      </c>
      <c r="AC479" s="42">
        <f t="shared" ref="AC479" si="3138">+AB479</f>
        <v>0.75</v>
      </c>
      <c r="AD479" s="42">
        <f t="shared" ref="AD479" si="3139">+AC479</f>
        <v>0.75</v>
      </c>
      <c r="AE479" s="42">
        <f t="shared" ref="AE479" si="3140">+AD479</f>
        <v>0.75</v>
      </c>
      <c r="AF479" s="42">
        <f t="shared" ref="AF479" si="3141">+AE479</f>
        <v>0.75</v>
      </c>
      <c r="AG479" s="42">
        <f t="shared" ref="AG479" si="3142">+AF479</f>
        <v>0.75</v>
      </c>
      <c r="AH479" s="42">
        <f t="shared" ref="AH479" si="3143">+AG479</f>
        <v>0.75</v>
      </c>
      <c r="AI479" s="42">
        <f t="shared" ref="AI479" si="3144">+AH479</f>
        <v>0.75</v>
      </c>
      <c r="AJ479" s="42">
        <f t="shared" ref="AJ479" si="3145">+AI479</f>
        <v>0.75</v>
      </c>
      <c r="AK479" s="42">
        <f t="shared" ref="AK479" si="3146">+AJ479</f>
        <v>0.75</v>
      </c>
      <c r="AL479" s="42">
        <f t="shared" ref="AL479" si="3147">+AK479</f>
        <v>0.75</v>
      </c>
      <c r="AM479" s="42">
        <f t="shared" ref="AM479" si="3148">+AL479</f>
        <v>0.75</v>
      </c>
      <c r="AN479" s="42">
        <f t="shared" ref="AN479" si="3149">+AM479</f>
        <v>0.75</v>
      </c>
      <c r="AO479" s="42">
        <f t="shared" ref="AO479" si="3150">+AN479</f>
        <v>0.75</v>
      </c>
      <c r="AP479" s="42">
        <f t="shared" ref="AP479" si="3151">+AO479</f>
        <v>0.75</v>
      </c>
      <c r="AQ479" s="42">
        <f t="shared" ref="AQ479" si="3152">+AP479</f>
        <v>0.75</v>
      </c>
      <c r="AR479" s="42">
        <f t="shared" ref="AR479" si="3153">+AQ479</f>
        <v>0.75</v>
      </c>
      <c r="AS479" s="42">
        <f t="shared" ref="AS479" si="3154">+AR479</f>
        <v>0.75</v>
      </c>
      <c r="AT479" s="42">
        <f t="shared" ref="AT479" si="3155">+AS479</f>
        <v>0.75</v>
      </c>
      <c r="AU479" s="42">
        <f t="shared" ref="AU479" si="3156">+AT479</f>
        <v>0.75</v>
      </c>
      <c r="AV479" s="42">
        <f t="shared" ref="AV479" si="3157">+AU479</f>
        <v>0.75</v>
      </c>
    </row>
    <row r="480" spans="1:55" outlineLevel="1" x14ac:dyDescent="0.25">
      <c r="F480" s="55"/>
      <c r="G480" s="55"/>
      <c r="H480" s="55"/>
      <c r="I480" s="55"/>
      <c r="J480" s="55"/>
      <c r="K480" s="293"/>
      <c r="L480" s="396"/>
      <c r="M480" s="293"/>
      <c r="N480" s="42"/>
      <c r="O480" s="42"/>
      <c r="P480" s="42"/>
      <c r="Q480" s="42"/>
      <c r="R480" s="42"/>
      <c r="S480" s="42"/>
      <c r="T480" s="42"/>
      <c r="U480" s="42"/>
      <c r="V480" s="42"/>
      <c r="W480" s="42"/>
      <c r="X480" s="42"/>
      <c r="Y480" s="42"/>
      <c r="Z480" s="42"/>
      <c r="AA480" s="42"/>
      <c r="AB480" s="42"/>
      <c r="AC480" s="42"/>
      <c r="AD480" s="42"/>
      <c r="AE480" s="42"/>
      <c r="AF480" s="42"/>
      <c r="AG480" s="42"/>
      <c r="AH480" s="42"/>
      <c r="AI480" s="42"/>
      <c r="AJ480" s="42"/>
      <c r="AK480" s="42"/>
      <c r="AL480" s="42"/>
      <c r="AM480" s="42"/>
      <c r="AN480" s="42"/>
      <c r="AO480" s="42"/>
      <c r="AP480" s="42"/>
      <c r="AQ480" s="42"/>
      <c r="AR480" s="42"/>
      <c r="AS480" s="42"/>
      <c r="AT480" s="42"/>
      <c r="AU480" s="42"/>
      <c r="AV480" s="42"/>
    </row>
    <row r="481" spans="1:49" outlineLevel="1" x14ac:dyDescent="0.25">
      <c r="A481" s="64"/>
      <c r="B481" s="67" t="s">
        <v>492</v>
      </c>
      <c r="C481" s="66"/>
      <c r="D481" s="65"/>
      <c r="E481" s="65"/>
      <c r="F481" s="65"/>
      <c r="G481" s="65"/>
      <c r="H481" s="65"/>
      <c r="I481" s="65"/>
      <c r="J481" s="65"/>
      <c r="K481" s="65"/>
      <c r="L481" s="375"/>
      <c r="M481" s="65"/>
      <c r="N481" s="65"/>
      <c r="O481" s="65"/>
      <c r="P481" s="65"/>
      <c r="Q481" s="65"/>
      <c r="R481" s="65"/>
      <c r="S481" s="65"/>
      <c r="T481" s="65"/>
      <c r="U481" s="65"/>
      <c r="V481" s="65"/>
      <c r="W481" s="65"/>
      <c r="X481" s="65"/>
      <c r="Y481" s="65"/>
      <c r="Z481" s="65"/>
      <c r="AA481" s="65"/>
      <c r="AB481" s="65"/>
      <c r="AC481" s="65"/>
      <c r="AD481" s="65"/>
      <c r="AE481" s="65"/>
      <c r="AF481" s="65"/>
      <c r="AG481" s="65"/>
      <c r="AH481" s="65"/>
      <c r="AI481" s="65"/>
      <c r="AJ481" s="65"/>
      <c r="AK481" s="65"/>
      <c r="AL481" s="65"/>
      <c r="AM481" s="65"/>
      <c r="AN481" s="65"/>
      <c r="AO481" s="65"/>
      <c r="AP481" s="65"/>
      <c r="AQ481" s="65"/>
      <c r="AR481" s="65"/>
      <c r="AS481" s="65"/>
      <c r="AT481" s="65"/>
      <c r="AU481" s="65"/>
      <c r="AV481" s="65"/>
    </row>
    <row r="482" spans="1:49" outlineLevel="1" x14ac:dyDescent="0.25">
      <c r="B482" s="12"/>
      <c r="M482" s="8"/>
    </row>
    <row r="483" spans="1:49" outlineLevel="1" x14ac:dyDescent="0.25">
      <c r="B483" s="12" t="s">
        <v>60</v>
      </c>
      <c r="C483" s="56" t="s">
        <v>28</v>
      </c>
      <c r="D483" s="12"/>
      <c r="E483" s="12"/>
      <c r="F483" s="52">
        <f t="shared" ref="F483:M483" si="3158">+F284</f>
        <v>8</v>
      </c>
      <c r="G483" s="52">
        <f t="shared" si="3158"/>
        <v>5.7</v>
      </c>
      <c r="H483" s="52">
        <f t="shared" si="3158"/>
        <v>5.4999999999999991</v>
      </c>
      <c r="I483" s="52">
        <f t="shared" si="3158"/>
        <v>11.2</v>
      </c>
      <c r="J483" s="52">
        <f>+J284</f>
        <v>8.1999999999999993</v>
      </c>
      <c r="K483" s="52">
        <f t="shared" si="3158"/>
        <v>8.9000000000000021</v>
      </c>
      <c r="L483" s="312">
        <f t="shared" si="3158"/>
        <v>17.100000000000001</v>
      </c>
      <c r="M483" s="403">
        <f t="shared" si="3158"/>
        <v>9.3979999999999997</v>
      </c>
      <c r="N483" s="52">
        <f t="shared" ref="N483" si="3159">+N284</f>
        <v>9.0749999999999993</v>
      </c>
      <c r="O483" s="312">
        <f>+O284</f>
        <v>18.472999999999999</v>
      </c>
      <c r="P483" s="52">
        <f>+P486+P489</f>
        <v>11.164513333333332</v>
      </c>
      <c r="Q483" s="52">
        <f t="shared" ref="Q483:AA483" si="3160">+Q486+Q489</f>
        <v>10.727094827586207</v>
      </c>
      <c r="R483" s="52">
        <f>+R486+R489</f>
        <v>21.891608160919539</v>
      </c>
      <c r="S483" s="52">
        <f t="shared" si="3160"/>
        <v>13.73430258974359</v>
      </c>
      <c r="T483" s="52">
        <f t="shared" si="3160"/>
        <v>12.87621646551724</v>
      </c>
      <c r="U483" s="52">
        <f t="shared" si="3160"/>
        <v>26.610519055260831</v>
      </c>
      <c r="V483" s="52">
        <f t="shared" si="3160"/>
        <v>16.20592593194872</v>
      </c>
      <c r="W483" s="52">
        <f t="shared" si="3160"/>
        <v>14.935505676724137</v>
      </c>
      <c r="X483" s="52">
        <f t="shared" si="3160"/>
        <v>31.14143160867286</v>
      </c>
      <c r="Y483" s="52">
        <f t="shared" si="3160"/>
        <v>18.688698620446669</v>
      </c>
      <c r="Z483" s="52">
        <f t="shared" si="3160"/>
        <v>17.106763645784483</v>
      </c>
      <c r="AA483" s="52">
        <f t="shared" si="3160"/>
        <v>35.795462266231148</v>
      </c>
      <c r="AB483" s="52">
        <f t="shared" ref="AB483:AM483" si="3161">+AB486+AB489</f>
        <v>21.177321539549762</v>
      </c>
      <c r="AC483" s="52">
        <f t="shared" si="3161"/>
        <v>19.172994065039227</v>
      </c>
      <c r="AD483" s="52">
        <f t="shared" si="3161"/>
        <v>40.350315604588992</v>
      </c>
      <c r="AE483" s="52">
        <f t="shared" si="3161"/>
        <v>23.666055283753678</v>
      </c>
      <c r="AF483" s="52">
        <f t="shared" si="3161"/>
        <v>21.347802222168045</v>
      </c>
      <c r="AG483" s="52">
        <f t="shared" si="3161"/>
        <v>45.01385750592172</v>
      </c>
      <c r="AH483" s="52">
        <f t="shared" si="3161"/>
        <v>26.285053463224234</v>
      </c>
      <c r="AI483" s="52">
        <f t="shared" si="3161"/>
        <v>23.635843174066061</v>
      </c>
      <c r="AJ483" s="52">
        <f t="shared" si="3161"/>
        <v>49.920896637290298</v>
      </c>
      <c r="AK483" s="52">
        <f t="shared" si="3161"/>
        <v>29.039892083707649</v>
      </c>
      <c r="AL483" s="52">
        <f t="shared" si="3161"/>
        <v>26.041953561078003</v>
      </c>
      <c r="AM483" s="52">
        <f t="shared" si="3161"/>
        <v>55.081845644785652</v>
      </c>
      <c r="AN483" s="52">
        <f t="shared" ref="AN483:AS483" si="3162">+AN486+AN489</f>
        <v>31.791701928511433</v>
      </c>
      <c r="AO483" s="52">
        <f t="shared" si="3162"/>
        <v>28.321451720376338</v>
      </c>
      <c r="AP483" s="52">
        <f t="shared" si="3162"/>
        <v>60.113153648887767</v>
      </c>
      <c r="AQ483" s="52">
        <f t="shared" si="3162"/>
        <v>34.533482039992613</v>
      </c>
      <c r="AR483" s="52">
        <f t="shared" si="3162"/>
        <v>30.714282011027603</v>
      </c>
      <c r="AS483" s="52">
        <f t="shared" si="3162"/>
        <v>65.247764051020212</v>
      </c>
      <c r="AT483" s="52">
        <f t="shared" ref="AT483:AV483" si="3163">+AT486+AT489</f>
        <v>37.411156426427013</v>
      </c>
      <c r="AU483" s="52">
        <f t="shared" si="3163"/>
        <v>33.225192812569603</v>
      </c>
      <c r="AV483" s="52">
        <f t="shared" si="3163"/>
        <v>70.636349238996615</v>
      </c>
      <c r="AW483" s="52"/>
    </row>
    <row r="484" spans="1:49" outlineLevel="1" x14ac:dyDescent="0.25">
      <c r="C484" s="22" t="s">
        <v>29</v>
      </c>
      <c r="F484" s="19"/>
      <c r="G484" s="19"/>
      <c r="H484" s="19"/>
      <c r="I484" s="19"/>
      <c r="J484" s="19"/>
      <c r="K484" s="19"/>
      <c r="L484" s="309"/>
      <c r="M484" s="402"/>
      <c r="N484" s="19"/>
      <c r="O484" s="309"/>
      <c r="P484" s="14">
        <f>+P483/M483-1</f>
        <v>0.18796694332127384</v>
      </c>
      <c r="Q484" s="14">
        <f t="shared" ref="Q484:AA484" si="3164">+Q483/N483-1</f>
        <v>0.18204901681390728</v>
      </c>
      <c r="R484" s="14">
        <f t="shared" si="3164"/>
        <v>0.18505971747520933</v>
      </c>
      <c r="S484" s="14">
        <f t="shared" si="3164"/>
        <v>0.2301747671112333</v>
      </c>
      <c r="T484" s="14">
        <f t="shared" si="3164"/>
        <v>0.20034517010181263</v>
      </c>
      <c r="U484" s="14">
        <f t="shared" si="3164"/>
        <v>0.21555798275091531</v>
      </c>
      <c r="V484" s="14">
        <f t="shared" si="3164"/>
        <v>0.17995987244746381</v>
      </c>
      <c r="W484" s="14">
        <f t="shared" si="3164"/>
        <v>0.15992968250585982</v>
      </c>
      <c r="X484" s="14">
        <f t="shared" si="3164"/>
        <v>0.17026772548114888</v>
      </c>
      <c r="Y484" s="14">
        <f t="shared" si="3164"/>
        <v>0.15320153250875701</v>
      </c>
      <c r="Z484" s="14">
        <f t="shared" si="3164"/>
        <v>0.14537559129612121</v>
      </c>
      <c r="AA484" s="14">
        <f t="shared" si="3164"/>
        <v>0.14944819223603534</v>
      </c>
      <c r="AB484" s="14">
        <f t="shared" ref="AB484" si="3165">+AB483/Y483-1</f>
        <v>0.13316191617432227</v>
      </c>
      <c r="AC484" s="14">
        <f t="shared" ref="AC484" si="3166">+AC483/Z483-1</f>
        <v>0.12078441381657323</v>
      </c>
      <c r="AD484" s="14">
        <f t="shared" ref="AD484" si="3167">+AD483/AA483-1</f>
        <v>0.12724666899063397</v>
      </c>
      <c r="AE484" s="14">
        <f t="shared" ref="AE484" si="3168">+AE483/AB483-1</f>
        <v>0.11751881556674082</v>
      </c>
      <c r="AF484" s="14">
        <f t="shared" ref="AF484" si="3169">+AF483/AC483-1</f>
        <v>0.1134308053166535</v>
      </c>
      <c r="AG484" s="14">
        <f t="shared" ref="AG484" si="3170">+AG483/AD483-1</f>
        <v>0.11557634262474892</v>
      </c>
      <c r="AH484" s="14">
        <f t="shared" ref="AH484" si="3171">+AH483/AE483-1</f>
        <v>0.11066475371873441</v>
      </c>
      <c r="AI484" s="14">
        <f t="shared" ref="AI484" si="3172">+AI483/AF483-1</f>
        <v>0.10717922754231157</v>
      </c>
      <c r="AJ484" s="14">
        <f t="shared" ref="AJ484" si="3173">+AJ483/AG483-1</f>
        <v>0.10901174445498341</v>
      </c>
      <c r="AK484" s="14">
        <f t="shared" ref="AK484" si="3174">+AK483/AH483-1</f>
        <v>0.10480627799892983</v>
      </c>
      <c r="AL484" s="14">
        <f t="shared" ref="AL484" si="3175">+AL483/AI483-1</f>
        <v>0.10179921948593718</v>
      </c>
      <c r="AM484" s="14">
        <f t="shared" ref="AM484" si="3176">+AM483/AJ483-1</f>
        <v>0.10338253827837285</v>
      </c>
      <c r="AN484" s="14">
        <f t="shared" ref="AN484:AS484" si="3177">+AN483/AK483-1</f>
        <v>9.4759644315195013E-2</v>
      </c>
      <c r="AO484" s="14">
        <f t="shared" si="3177"/>
        <v>8.7531765001886974E-2</v>
      </c>
      <c r="AP484" s="14">
        <f t="shared" si="3177"/>
        <v>9.134240048069997E-2</v>
      </c>
      <c r="AQ484" s="14">
        <f t="shared" si="3177"/>
        <v>8.6242004836560637E-2</v>
      </c>
      <c r="AR484" s="14">
        <f t="shared" si="3177"/>
        <v>8.4488264029548343E-2</v>
      </c>
      <c r="AS484" s="14">
        <f t="shared" si="3177"/>
        <v>8.5415754963097834E-2</v>
      </c>
      <c r="AT484" s="14">
        <f t="shared" ref="AT484" si="3178">+AT483/AQ483-1</f>
        <v>8.3329980541835269E-2</v>
      </c>
      <c r="AU484" s="14">
        <f t="shared" ref="AU484" si="3179">+AU483/AR483-1</f>
        <v>8.1750594093017881E-2</v>
      </c>
      <c r="AV484" s="14">
        <f t="shared" ref="AV484" si="3180">+AV483/AS483-1</f>
        <v>8.2586511068223345E-2</v>
      </c>
      <c r="AW484" s="14"/>
    </row>
    <row r="485" spans="1:49" outlineLevel="1" x14ac:dyDescent="0.25">
      <c r="F485" s="19"/>
      <c r="G485" s="19"/>
      <c r="H485" s="19"/>
      <c r="I485" s="19"/>
      <c r="J485" s="19"/>
      <c r="K485" s="19"/>
      <c r="L485" s="309"/>
      <c r="M485" s="402"/>
      <c r="N485" s="19"/>
      <c r="O485" s="30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  <c r="AB485" s="19"/>
      <c r="AC485" s="19"/>
      <c r="AD485" s="19"/>
      <c r="AE485" s="19"/>
      <c r="AF485" s="19"/>
      <c r="AG485" s="19"/>
      <c r="AH485" s="19"/>
      <c r="AI485" s="19"/>
      <c r="AJ485" s="19"/>
      <c r="AK485" s="19"/>
      <c r="AL485" s="19"/>
      <c r="AM485" s="19"/>
      <c r="AN485" s="19"/>
      <c r="AO485" s="19"/>
      <c r="AP485" s="19"/>
      <c r="AQ485" s="19"/>
      <c r="AR485" s="19"/>
      <c r="AS485" s="19"/>
      <c r="AT485" s="19"/>
      <c r="AU485" s="19"/>
      <c r="AV485" s="19"/>
    </row>
    <row r="486" spans="1:49" outlineLevel="1" x14ac:dyDescent="0.25">
      <c r="B486" s="8" t="s">
        <v>493</v>
      </c>
      <c r="C486" s="22" t="s">
        <v>28</v>
      </c>
      <c r="F486" s="55"/>
      <c r="G486" s="55"/>
      <c r="H486" s="55"/>
      <c r="I486" s="55"/>
      <c r="J486" s="55"/>
      <c r="K486" s="293"/>
      <c r="L486" s="397">
        <v>1.5</v>
      </c>
      <c r="M486" s="402">
        <f>0.5*O486</f>
        <v>0.75</v>
      </c>
      <c r="N486" s="402">
        <f>+O486-M486</f>
        <v>0.75</v>
      </c>
      <c r="O486" s="397">
        <v>1.5</v>
      </c>
      <c r="P486" s="19">
        <f t="shared" ref="P486" si="3181">0.5*R486</f>
        <v>0.77249999999999996</v>
      </c>
      <c r="Q486" s="19">
        <f t="shared" ref="Q486" si="3182">+R486-P486</f>
        <v>0.77249999999999996</v>
      </c>
      <c r="R486" s="19">
        <f t="shared" ref="R486" si="3183">(1+R487)*O486</f>
        <v>1.5449999999999999</v>
      </c>
      <c r="S486" s="19">
        <f t="shared" ref="S486" si="3184">0.5*U486</f>
        <v>0.79567500000000002</v>
      </c>
      <c r="T486" s="19">
        <f t="shared" ref="T486" si="3185">+U486-S486</f>
        <v>0.79567500000000002</v>
      </c>
      <c r="U486" s="19">
        <f t="shared" ref="U486" si="3186">(1+U487)*R486</f>
        <v>1.59135</v>
      </c>
      <c r="V486" s="19">
        <f t="shared" ref="V486" si="3187">0.5*X486</f>
        <v>0.81954525</v>
      </c>
      <c r="W486" s="19">
        <f t="shared" ref="W486" si="3188">+X486-V486</f>
        <v>0.81954525</v>
      </c>
      <c r="X486" s="19">
        <f t="shared" ref="X486" si="3189">(1+X487)*U486</f>
        <v>1.6390905</v>
      </c>
      <c r="Y486" s="19">
        <f t="shared" ref="Y486" si="3190">0.5*AA486</f>
        <v>0.84413160750000005</v>
      </c>
      <c r="Z486" s="19">
        <f t="shared" ref="Z486" si="3191">+AA486-Y486</f>
        <v>0.84413160750000005</v>
      </c>
      <c r="AA486" s="19">
        <f t="shared" ref="AA486" si="3192">(1+AA487)*X486</f>
        <v>1.6882632150000001</v>
      </c>
      <c r="AB486" s="19">
        <f t="shared" ref="AB486" si="3193">0.5*AD486</f>
        <v>0.86945555572500011</v>
      </c>
      <c r="AC486" s="19">
        <f t="shared" ref="AC486" si="3194">+AD486-AB486</f>
        <v>0.86945555572500011</v>
      </c>
      <c r="AD486" s="19">
        <f t="shared" ref="AD486" si="3195">(1+AD487)*AA486</f>
        <v>1.7389111114500002</v>
      </c>
      <c r="AE486" s="19">
        <f t="shared" ref="AE486" si="3196">0.5*AG486</f>
        <v>0.8955392223967501</v>
      </c>
      <c r="AF486" s="19">
        <f t="shared" ref="AF486" si="3197">+AG486-AE486</f>
        <v>0.8955392223967501</v>
      </c>
      <c r="AG486" s="19">
        <f t="shared" ref="AG486" si="3198">(1+AG487)*AD486</f>
        <v>1.7910784447935002</v>
      </c>
      <c r="AH486" s="19">
        <f t="shared" ref="AH486" si="3199">0.5*AJ486</f>
        <v>0.9224053990686526</v>
      </c>
      <c r="AI486" s="19">
        <f t="shared" ref="AI486" si="3200">+AJ486-AH486</f>
        <v>0.9224053990686526</v>
      </c>
      <c r="AJ486" s="19">
        <f t="shared" ref="AJ486" si="3201">(1+AJ487)*AG486</f>
        <v>1.8448107981373052</v>
      </c>
      <c r="AK486" s="19">
        <f t="shared" ref="AK486" si="3202">0.5*AM486</f>
        <v>0.95007756104071217</v>
      </c>
      <c r="AL486" s="19">
        <f t="shared" ref="AL486" si="3203">+AM486-AK486</f>
        <v>0.95007756104071217</v>
      </c>
      <c r="AM486" s="19">
        <f t="shared" ref="AM486" si="3204">(1+AM487)*AJ486</f>
        <v>1.9001551220814243</v>
      </c>
      <c r="AN486" s="19">
        <f t="shared" ref="AN486" si="3205">0.5*AP486</f>
        <v>0.97857988787193351</v>
      </c>
      <c r="AO486" s="19">
        <f t="shared" ref="AO486" si="3206">+AP486-AN486</f>
        <v>0.97857988787193351</v>
      </c>
      <c r="AP486" s="19">
        <f t="shared" ref="AP486" si="3207">(1+AP487)*AM486</f>
        <v>1.957159775743867</v>
      </c>
      <c r="AQ486" s="19">
        <f t="shared" ref="AQ486" si="3208">0.5*AS486</f>
        <v>1.0079372845080916</v>
      </c>
      <c r="AR486" s="19">
        <f t="shared" ref="AR486" si="3209">+AS486-AQ486</f>
        <v>1.0079372845080916</v>
      </c>
      <c r="AS486" s="19">
        <f t="shared" ref="AS486" si="3210">(1+AS487)*AP486</f>
        <v>2.0158745690161832</v>
      </c>
      <c r="AT486" s="19">
        <f t="shared" ref="AT486" si="3211">0.5*AV486</f>
        <v>1.0381754030433343</v>
      </c>
      <c r="AU486" s="19">
        <f t="shared" ref="AU486" si="3212">+AV486-AT486</f>
        <v>1.0381754030433343</v>
      </c>
      <c r="AV486" s="19">
        <f t="shared" ref="AV486" si="3213">(1+AV487)*AS486</f>
        <v>2.0763508060866687</v>
      </c>
    </row>
    <row r="487" spans="1:49" outlineLevel="1" x14ac:dyDescent="0.25">
      <c r="B487" s="11" t="s">
        <v>421</v>
      </c>
      <c r="C487" s="22" t="s">
        <v>29</v>
      </c>
      <c r="F487" s="55"/>
      <c r="G487" s="55"/>
      <c r="H487" s="55"/>
      <c r="I487" s="55"/>
      <c r="J487" s="55"/>
      <c r="K487" s="293"/>
      <c r="L487" s="396">
        <v>0.03</v>
      </c>
      <c r="M487" s="404"/>
      <c r="N487" s="293"/>
      <c r="O487" s="396">
        <v>0.03</v>
      </c>
      <c r="P487" s="42"/>
      <c r="Q487" s="42"/>
      <c r="R487" s="42">
        <v>0.03</v>
      </c>
      <c r="S487" s="42"/>
      <c r="T487" s="42"/>
      <c r="U487" s="42">
        <f>+R487</f>
        <v>0.03</v>
      </c>
      <c r="V487" s="42"/>
      <c r="W487" s="42"/>
      <c r="X487" s="42">
        <f>+U487</f>
        <v>0.03</v>
      </c>
      <c r="Y487" s="42"/>
      <c r="Z487" s="42"/>
      <c r="AA487" s="42">
        <f>+X487</f>
        <v>0.03</v>
      </c>
      <c r="AB487" s="42"/>
      <c r="AC487" s="42"/>
      <c r="AD487" s="42">
        <f t="shared" ref="AD487" si="3214">+AA487</f>
        <v>0.03</v>
      </c>
      <c r="AE487" s="42"/>
      <c r="AF487" s="42"/>
      <c r="AG487" s="42">
        <f t="shared" ref="AG487" si="3215">+AD487</f>
        <v>0.03</v>
      </c>
      <c r="AH487" s="42"/>
      <c r="AI487" s="42"/>
      <c r="AJ487" s="42">
        <f t="shared" ref="AJ487" si="3216">+AG487</f>
        <v>0.03</v>
      </c>
      <c r="AK487" s="42"/>
      <c r="AL487" s="42"/>
      <c r="AM487" s="42">
        <f t="shared" ref="AM487" si="3217">+AJ487</f>
        <v>0.03</v>
      </c>
      <c r="AN487" s="42"/>
      <c r="AO487" s="42"/>
      <c r="AP487" s="42">
        <f t="shared" ref="AP487" si="3218">+AM487</f>
        <v>0.03</v>
      </c>
      <c r="AQ487" s="42"/>
      <c r="AR487" s="42"/>
      <c r="AS487" s="42">
        <f t="shared" ref="AS487" si="3219">+AP487</f>
        <v>0.03</v>
      </c>
      <c r="AT487" s="42"/>
      <c r="AU487" s="42"/>
      <c r="AV487" s="42">
        <f t="shared" ref="AV487" si="3220">+AS487</f>
        <v>0.03</v>
      </c>
    </row>
    <row r="488" spans="1:49" outlineLevel="1" x14ac:dyDescent="0.25">
      <c r="F488" s="55"/>
      <c r="G488" s="55"/>
      <c r="H488" s="55"/>
      <c r="I488" s="55"/>
      <c r="J488" s="55"/>
      <c r="K488" s="293"/>
      <c r="L488" s="396"/>
      <c r="M488" s="404"/>
      <c r="N488" s="293"/>
      <c r="O488" s="396"/>
      <c r="P488" s="42"/>
      <c r="Q488" s="42"/>
      <c r="R488" s="42"/>
      <c r="S488" s="42"/>
      <c r="T488" s="42"/>
      <c r="U488" s="42"/>
      <c r="V488" s="42"/>
      <c r="W488" s="42"/>
      <c r="X488" s="42"/>
      <c r="Y488" s="42"/>
      <c r="Z488" s="42"/>
      <c r="AA488" s="42"/>
      <c r="AB488" s="42"/>
      <c r="AC488" s="42"/>
      <c r="AD488" s="42"/>
      <c r="AE488" s="42"/>
      <c r="AF488" s="42"/>
      <c r="AG488" s="42"/>
      <c r="AH488" s="42"/>
      <c r="AI488" s="42"/>
      <c r="AJ488" s="42"/>
      <c r="AK488" s="42"/>
      <c r="AL488" s="42"/>
      <c r="AM488" s="42"/>
      <c r="AN488" s="42"/>
      <c r="AO488" s="42"/>
      <c r="AP488" s="42"/>
      <c r="AQ488" s="42"/>
      <c r="AR488" s="42"/>
      <c r="AS488" s="42"/>
      <c r="AT488" s="42"/>
      <c r="AU488" s="42"/>
      <c r="AV488" s="42"/>
    </row>
    <row r="489" spans="1:49" outlineLevel="1" x14ac:dyDescent="0.25">
      <c r="B489" s="8" t="s">
        <v>494</v>
      </c>
      <c r="C489" s="22" t="s">
        <v>28</v>
      </c>
      <c r="F489" s="55"/>
      <c r="G489" s="19"/>
      <c r="H489" s="55"/>
      <c r="I489" s="55"/>
      <c r="J489" s="55"/>
      <c r="K489" s="293"/>
      <c r="L489" s="309">
        <f>L483-L486</f>
        <v>15.600000000000001</v>
      </c>
      <c r="M489" s="402">
        <f>M483-M486</f>
        <v>8.6479999999999997</v>
      </c>
      <c r="N489" s="402">
        <f>N483-N486</f>
        <v>8.3249999999999993</v>
      </c>
      <c r="O489" s="309">
        <f>O483-O486</f>
        <v>16.972999999999999</v>
      </c>
      <c r="P489" s="23">
        <f>P490*P493</f>
        <v>10.392013333333333</v>
      </c>
      <c r="Q489" s="23">
        <f>Q490*Q493</f>
        <v>9.954594827586206</v>
      </c>
      <c r="R489" s="19">
        <f>+P489+Q489</f>
        <v>20.346608160919537</v>
      </c>
      <c r="S489" s="23">
        <f>S490*S493</f>
        <v>12.938627589743591</v>
      </c>
      <c r="T489" s="23">
        <f>T490*T493</f>
        <v>12.080541465517241</v>
      </c>
      <c r="U489" s="19">
        <f t="shared" ref="U489:U490" si="3221">+S489+T489</f>
        <v>25.019169055260832</v>
      </c>
      <c r="V489" s="23">
        <f>V490*V493</f>
        <v>15.386380681948719</v>
      </c>
      <c r="W489" s="23">
        <f>W490*W493</f>
        <v>14.115960426724138</v>
      </c>
      <c r="X489" s="19">
        <f t="shared" ref="X489:X490" si="3222">+V489+W489</f>
        <v>29.502341108672859</v>
      </c>
      <c r="Y489" s="23">
        <f>Y490*Y493</f>
        <v>17.844567012946669</v>
      </c>
      <c r="Z489" s="23">
        <f>Z490*Z493</f>
        <v>16.262632038284483</v>
      </c>
      <c r="AA489" s="19">
        <f t="shared" ref="AA489:AA490" si="3223">+Y489+Z489</f>
        <v>34.107199051231149</v>
      </c>
      <c r="AB489" s="23">
        <f t="shared" ref="AB489:AC489" si="3224">AB490*AB493</f>
        <v>20.307865983824762</v>
      </c>
      <c r="AC489" s="23">
        <f t="shared" si="3224"/>
        <v>18.303538509314226</v>
      </c>
      <c r="AD489" s="19">
        <f t="shared" ref="AD489:AD490" si="3225">+AB489+AC489</f>
        <v>38.611404493138991</v>
      </c>
      <c r="AE489" s="23">
        <f t="shared" ref="AE489:AF489" si="3226">AE490*AE493</f>
        <v>22.770516061356929</v>
      </c>
      <c r="AF489" s="23">
        <f t="shared" si="3226"/>
        <v>20.452262999771296</v>
      </c>
      <c r="AG489" s="19">
        <f t="shared" ref="AG489:AG490" si="3227">+AE489+AF489</f>
        <v>43.222779061128222</v>
      </c>
      <c r="AH489" s="23">
        <f t="shared" ref="AH489:AI489" si="3228">AH490*AH493</f>
        <v>25.362648064155582</v>
      </c>
      <c r="AI489" s="23">
        <f t="shared" si="3228"/>
        <v>22.713437774997409</v>
      </c>
      <c r="AJ489" s="19">
        <f t="shared" ref="AJ489:AJ490" si="3229">+AH489+AI489</f>
        <v>48.076085839152995</v>
      </c>
      <c r="AK489" s="23">
        <f t="shared" ref="AK489:AL489" si="3230">AK490*AK493</f>
        <v>28.089814522666938</v>
      </c>
      <c r="AL489" s="23">
        <f t="shared" si="3230"/>
        <v>25.091876000037292</v>
      </c>
      <c r="AM489" s="19">
        <f t="shared" ref="AM489:AM490" si="3231">+AK489+AL489</f>
        <v>53.18169052270423</v>
      </c>
      <c r="AN489" s="23">
        <f t="shared" ref="AN489:AO489" si="3232">AN490*AN493</f>
        <v>30.813122040639499</v>
      </c>
      <c r="AO489" s="23">
        <f t="shared" si="3232"/>
        <v>27.342871832504404</v>
      </c>
      <c r="AP489" s="19">
        <f t="shared" ref="AP489:AP490" si="3233">+AN489+AO489</f>
        <v>58.155993873143899</v>
      </c>
      <c r="AQ489" s="23">
        <f t="shared" ref="AQ489" si="3234">AQ490*AQ493</f>
        <v>33.525544755484525</v>
      </c>
      <c r="AR489" s="23">
        <f t="shared" ref="AR489" si="3235">AR490*AR493</f>
        <v>29.706344726519511</v>
      </c>
      <c r="AS489" s="19">
        <f t="shared" ref="AS489:AS490" si="3236">+AQ489+AR489</f>
        <v>63.231889482004036</v>
      </c>
      <c r="AT489" s="23">
        <f t="shared" ref="AT489:AU489" si="3237">AT490*AT493</f>
        <v>36.37298102338368</v>
      </c>
      <c r="AU489" s="23">
        <f t="shared" si="3237"/>
        <v>32.18701740952627</v>
      </c>
      <c r="AV489" s="19">
        <f t="shared" ref="AV489:AV490" si="3238">+AT489+AU489</f>
        <v>68.55999843290995</v>
      </c>
    </row>
    <row r="490" spans="1:49" outlineLevel="1" x14ac:dyDescent="0.25">
      <c r="B490" s="8" t="s">
        <v>499</v>
      </c>
      <c r="C490" s="22" t="s">
        <v>28</v>
      </c>
      <c r="F490" s="55"/>
      <c r="G490" s="19"/>
      <c r="H490" s="55"/>
      <c r="I490" s="55"/>
      <c r="J490" s="55"/>
      <c r="K490" s="293"/>
      <c r="L490" s="309"/>
      <c r="M490" s="402">
        <f>M489/M493</f>
        <v>0.11087179487179487</v>
      </c>
      <c r="N490" s="402">
        <f>N489/N493</f>
        <v>9.568965517241379E-2</v>
      </c>
      <c r="O490" s="402">
        <f>O489/O493</f>
        <v>0.19509195402298848</v>
      </c>
      <c r="P490" s="19">
        <f>(1+P491)*M490</f>
        <v>0.11419794871794872</v>
      </c>
      <c r="Q490" s="19">
        <f>(1+Q491)*N490</f>
        <v>9.8560344827586202E-2</v>
      </c>
      <c r="R490" s="19">
        <f>+P490+Q490</f>
        <v>0.21275829354553494</v>
      </c>
      <c r="S490" s="19">
        <f t="shared" ref="S490:T490" si="3239">(1+S491)*P490</f>
        <v>0.11762388717948719</v>
      </c>
      <c r="T490" s="19">
        <f t="shared" si="3239"/>
        <v>0.10151715517241379</v>
      </c>
      <c r="U490" s="19">
        <f t="shared" si="3221"/>
        <v>0.21914104235190096</v>
      </c>
      <c r="V490" s="19">
        <f t="shared" ref="V490:W490" si="3240">(1+V491)*S490</f>
        <v>0.1211526037948718</v>
      </c>
      <c r="W490" s="19">
        <f t="shared" si="3240"/>
        <v>0.1045626698275862</v>
      </c>
      <c r="X490" s="19">
        <f t="shared" si="3222"/>
        <v>0.22571527362245802</v>
      </c>
      <c r="Y490" s="19">
        <f t="shared" ref="Y490:Z490" si="3241">(1+Y491)*V490</f>
        <v>0.12478718190871796</v>
      </c>
      <c r="Z490" s="19">
        <f t="shared" si="3241"/>
        <v>0.10769954992241379</v>
      </c>
      <c r="AA490" s="19">
        <f t="shared" si="3223"/>
        <v>0.23248673183113175</v>
      </c>
      <c r="AB490" s="19">
        <f t="shared" ref="AB490" si="3242">(1+AB491)*Y490</f>
        <v>0.1285307973659795</v>
      </c>
      <c r="AC490" s="19">
        <f t="shared" ref="AC490" si="3243">(1+AC491)*Z490</f>
        <v>0.11093053642008621</v>
      </c>
      <c r="AD490" s="19">
        <f t="shared" si="3225"/>
        <v>0.23946133378606571</v>
      </c>
      <c r="AE490" s="19">
        <f t="shared" ref="AE490" si="3244">(1+AE491)*AB490</f>
        <v>0.13238672128695889</v>
      </c>
      <c r="AF490" s="19">
        <f t="shared" ref="AF490" si="3245">(1+AF491)*AC490</f>
        <v>0.1142584525126888</v>
      </c>
      <c r="AG490" s="19">
        <f t="shared" si="3227"/>
        <v>0.24664517379964768</v>
      </c>
      <c r="AH490" s="19">
        <f t="shared" ref="AH490" si="3246">(1+AH491)*AE490</f>
        <v>0.13635832292556765</v>
      </c>
      <c r="AI490" s="19">
        <f t="shared" ref="AI490" si="3247">(1+AI491)*AF490</f>
        <v>0.11768620608806947</v>
      </c>
      <c r="AJ490" s="19">
        <f t="shared" si="3229"/>
        <v>0.25404452901363711</v>
      </c>
      <c r="AK490" s="19">
        <f t="shared" ref="AK490" si="3248">(1+AK491)*AH490</f>
        <v>0.1404490726133347</v>
      </c>
      <c r="AL490" s="19">
        <f t="shared" ref="AL490" si="3249">(1+AL491)*AI490</f>
        <v>0.12121679227071155</v>
      </c>
      <c r="AM490" s="19">
        <f t="shared" si="3231"/>
        <v>0.26166586488404625</v>
      </c>
      <c r="AN490" s="19">
        <f t="shared" ref="AN490" si="3250">(1+AN491)*AK490</f>
        <v>0.14466254479173474</v>
      </c>
      <c r="AO490" s="19">
        <f t="shared" ref="AO490" si="3251">(1+AO491)*AL490</f>
        <v>0.1248532960388329</v>
      </c>
      <c r="AP490" s="19">
        <f t="shared" si="3233"/>
        <v>0.26951584083056762</v>
      </c>
      <c r="AQ490" s="19">
        <f t="shared" ref="AQ490" si="3252">(1+AQ491)*AN490</f>
        <v>0.14900242113548678</v>
      </c>
      <c r="AR490" s="19">
        <f t="shared" ref="AR490" si="3253">(1+AR491)*AO490</f>
        <v>0.12859889491999787</v>
      </c>
      <c r="AS490" s="19">
        <f t="shared" si="3236"/>
        <v>0.27760131605548466</v>
      </c>
      <c r="AT490" s="19">
        <f t="shared" ref="AT490" si="3254">(1+AT491)*AQ490</f>
        <v>0.15347249376955138</v>
      </c>
      <c r="AU490" s="19">
        <f t="shared" ref="AU490" si="3255">(1+AU491)*AR490</f>
        <v>0.13245686176759783</v>
      </c>
      <c r="AV490" s="19">
        <f t="shared" si="3238"/>
        <v>0.28592935553714921</v>
      </c>
    </row>
    <row r="491" spans="1:49" outlineLevel="1" x14ac:dyDescent="0.25">
      <c r="B491" s="11" t="s">
        <v>421</v>
      </c>
      <c r="C491" s="22" t="s">
        <v>29</v>
      </c>
      <c r="F491" s="55"/>
      <c r="G491" s="55"/>
      <c r="H491" s="55"/>
      <c r="I491" s="55"/>
      <c r="J491" s="55"/>
      <c r="K491" s="293"/>
      <c r="L491" s="309"/>
      <c r="M491" s="402"/>
      <c r="N491" s="293"/>
      <c r="O491" s="309"/>
      <c r="P491" s="42">
        <v>0.03</v>
      </c>
      <c r="Q491" s="42">
        <v>0.03</v>
      </c>
      <c r="R491" s="18">
        <v>0.03</v>
      </c>
      <c r="S491" s="42">
        <v>0.03</v>
      </c>
      <c r="T491" s="42">
        <v>0.03</v>
      </c>
      <c r="U491" s="18">
        <f t="shared" ref="U491" si="3256">U490/R490-1</f>
        <v>2.9999999999999805E-2</v>
      </c>
      <c r="V491" s="42">
        <v>0.03</v>
      </c>
      <c r="W491" s="42">
        <v>0.03</v>
      </c>
      <c r="X491" s="18">
        <f t="shared" ref="X491" si="3257">X490/U490-1</f>
        <v>3.0000000000000249E-2</v>
      </c>
      <c r="Y491" s="42">
        <v>0.03</v>
      </c>
      <c r="Z491" s="42">
        <v>0.03</v>
      </c>
      <c r="AA491" s="18">
        <f t="shared" ref="AA491" si="3258">AA490/X490-1</f>
        <v>3.0000000000000027E-2</v>
      </c>
      <c r="AB491" s="42">
        <v>0.03</v>
      </c>
      <c r="AC491" s="42">
        <v>0.03</v>
      </c>
      <c r="AD491" s="18">
        <f t="shared" ref="AD491" si="3259">AD490/AA490-1</f>
        <v>3.0000000000000027E-2</v>
      </c>
      <c r="AE491" s="42">
        <v>0.03</v>
      </c>
      <c r="AF491" s="42">
        <v>0.03</v>
      </c>
      <c r="AG491" s="18">
        <f t="shared" ref="AG491" si="3260">AG490/AD490-1</f>
        <v>3.0000000000000027E-2</v>
      </c>
      <c r="AH491" s="42">
        <v>0.03</v>
      </c>
      <c r="AI491" s="42">
        <v>0.03</v>
      </c>
      <c r="AJ491" s="18">
        <f t="shared" ref="AJ491" si="3261">AJ490/AG490-1</f>
        <v>3.0000000000000027E-2</v>
      </c>
      <c r="AK491" s="42">
        <v>0.03</v>
      </c>
      <c r="AL491" s="42">
        <v>0.03</v>
      </c>
      <c r="AM491" s="18">
        <f t="shared" ref="AM491" si="3262">AM490/AJ490-1</f>
        <v>3.0000000000000027E-2</v>
      </c>
      <c r="AN491" s="42">
        <v>0.03</v>
      </c>
      <c r="AO491" s="42">
        <v>0.03</v>
      </c>
      <c r="AP491" s="18">
        <f t="shared" ref="AP491" si="3263">AP490/AM490-1</f>
        <v>3.0000000000000027E-2</v>
      </c>
      <c r="AQ491" s="42">
        <v>0.03</v>
      </c>
      <c r="AR491" s="42">
        <v>0.03</v>
      </c>
      <c r="AS491" s="18">
        <f t="shared" ref="AS491" si="3264">AS490/AP490-1</f>
        <v>3.0000000000000027E-2</v>
      </c>
      <c r="AT491" s="42">
        <v>0.03</v>
      </c>
      <c r="AU491" s="42">
        <v>0.03</v>
      </c>
      <c r="AV491" s="18">
        <f t="shared" ref="AV491" si="3265">AV490/AS490-1</f>
        <v>3.0000000000000027E-2</v>
      </c>
    </row>
    <row r="492" spans="1:49" outlineLevel="1" x14ac:dyDescent="0.25">
      <c r="B492" s="11"/>
      <c r="F492" s="55"/>
      <c r="G492" s="55"/>
      <c r="H492" s="55"/>
      <c r="I492" s="55"/>
      <c r="J492" s="55"/>
      <c r="K492" s="293"/>
      <c r="L492" s="309"/>
      <c r="M492" s="402"/>
      <c r="N492" s="293"/>
      <c r="O492" s="309"/>
      <c r="P492" s="14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  <c r="AB492" s="19"/>
      <c r="AC492" s="19"/>
      <c r="AD492" s="19"/>
      <c r="AE492" s="19"/>
      <c r="AF492" s="19"/>
      <c r="AG492" s="19"/>
      <c r="AH492" s="19"/>
      <c r="AI492" s="19"/>
      <c r="AJ492" s="19"/>
      <c r="AK492" s="19"/>
      <c r="AL492" s="19"/>
      <c r="AM492" s="19"/>
      <c r="AN492" s="19"/>
      <c r="AO492" s="19"/>
      <c r="AP492" s="19"/>
      <c r="AQ492" s="19"/>
      <c r="AR492" s="19"/>
      <c r="AS492" s="19"/>
      <c r="AT492" s="19"/>
      <c r="AU492" s="19"/>
      <c r="AV492" s="19"/>
    </row>
    <row r="493" spans="1:49" outlineLevel="1" x14ac:dyDescent="0.25">
      <c r="B493" s="48" t="s">
        <v>495</v>
      </c>
      <c r="C493" s="22" t="s">
        <v>274</v>
      </c>
      <c r="F493" s="55"/>
      <c r="G493" s="21">
        <f t="shared" ref="G493:AA493" si="3266">+G495+G496</f>
        <v>53</v>
      </c>
      <c r="H493" s="21">
        <f t="shared" si="3266"/>
        <v>58</v>
      </c>
      <c r="I493" s="21">
        <f t="shared" si="3266"/>
        <v>58</v>
      </c>
      <c r="J493" s="21">
        <f t="shared" si="3266"/>
        <v>66</v>
      </c>
      <c r="K493" s="340">
        <f t="shared" si="3266"/>
        <v>68</v>
      </c>
      <c r="L493" s="308">
        <f t="shared" si="3266"/>
        <v>68</v>
      </c>
      <c r="M493" s="400">
        <f t="shared" si="3266"/>
        <v>78</v>
      </c>
      <c r="N493" s="340">
        <f t="shared" ref="N493:O493" si="3267">+N495+N496</f>
        <v>87</v>
      </c>
      <c r="O493" s="308">
        <f t="shared" si="3267"/>
        <v>87</v>
      </c>
      <c r="P493" s="21">
        <f t="shared" si="3266"/>
        <v>91</v>
      </c>
      <c r="Q493" s="21">
        <f t="shared" si="3266"/>
        <v>101</v>
      </c>
      <c r="R493" s="21">
        <f t="shared" si="3266"/>
        <v>101</v>
      </c>
      <c r="S493" s="21">
        <f t="shared" si="3266"/>
        <v>110</v>
      </c>
      <c r="T493" s="21">
        <f t="shared" si="3266"/>
        <v>119</v>
      </c>
      <c r="U493" s="21">
        <f t="shared" si="3266"/>
        <v>119</v>
      </c>
      <c r="V493" s="21">
        <f t="shared" si="3266"/>
        <v>127</v>
      </c>
      <c r="W493" s="21">
        <f t="shared" si="3266"/>
        <v>135</v>
      </c>
      <c r="X493" s="21">
        <f t="shared" si="3266"/>
        <v>135</v>
      </c>
      <c r="Y493" s="21">
        <f t="shared" si="3266"/>
        <v>143</v>
      </c>
      <c r="Z493" s="21">
        <f t="shared" si="3266"/>
        <v>151</v>
      </c>
      <c r="AA493" s="21">
        <f t="shared" si="3266"/>
        <v>151</v>
      </c>
      <c r="AB493" s="21">
        <f t="shared" ref="AB493:AP493" si="3268">+AB495+AB496</f>
        <v>158</v>
      </c>
      <c r="AC493" s="21">
        <f t="shared" si="3268"/>
        <v>165</v>
      </c>
      <c r="AD493" s="21">
        <f t="shared" si="3268"/>
        <v>165</v>
      </c>
      <c r="AE493" s="21">
        <f t="shared" si="3268"/>
        <v>172</v>
      </c>
      <c r="AF493" s="21">
        <f t="shared" si="3268"/>
        <v>179</v>
      </c>
      <c r="AG493" s="21">
        <f t="shared" si="3268"/>
        <v>179</v>
      </c>
      <c r="AH493" s="21">
        <f t="shared" si="3268"/>
        <v>186</v>
      </c>
      <c r="AI493" s="21">
        <f t="shared" si="3268"/>
        <v>193</v>
      </c>
      <c r="AJ493" s="21">
        <f t="shared" si="3268"/>
        <v>193</v>
      </c>
      <c r="AK493" s="21">
        <f t="shared" si="3268"/>
        <v>200</v>
      </c>
      <c r="AL493" s="21">
        <f t="shared" si="3268"/>
        <v>207</v>
      </c>
      <c r="AM493" s="21">
        <f t="shared" si="3268"/>
        <v>207</v>
      </c>
      <c r="AN493" s="21">
        <f t="shared" si="3268"/>
        <v>213</v>
      </c>
      <c r="AO493" s="21">
        <f t="shared" si="3268"/>
        <v>219</v>
      </c>
      <c r="AP493" s="21">
        <f t="shared" si="3268"/>
        <v>219</v>
      </c>
      <c r="AQ493" s="21">
        <f t="shared" ref="AQ493:AS493" si="3269">+AQ495+AQ496</f>
        <v>225</v>
      </c>
      <c r="AR493" s="21">
        <f t="shared" si="3269"/>
        <v>231</v>
      </c>
      <c r="AS493" s="21">
        <f t="shared" si="3269"/>
        <v>231</v>
      </c>
      <c r="AT493" s="21">
        <f t="shared" ref="AT493:AV493" si="3270">+AT495+AT496</f>
        <v>237</v>
      </c>
      <c r="AU493" s="21">
        <f t="shared" si="3270"/>
        <v>243</v>
      </c>
      <c r="AV493" s="21">
        <f t="shared" si="3270"/>
        <v>243</v>
      </c>
    </row>
    <row r="494" spans="1:49" outlineLevel="1" x14ac:dyDescent="0.25">
      <c r="B494" s="11" t="s">
        <v>496</v>
      </c>
      <c r="C494" s="22" t="s">
        <v>29</v>
      </c>
      <c r="M494" s="399"/>
      <c r="O494" s="313"/>
      <c r="P494" s="14">
        <f>+P493/M493-1</f>
        <v>0.16666666666666674</v>
      </c>
      <c r="Q494" s="14">
        <f t="shared" ref="Q494:AA494" si="3271">+Q493/N493-1</f>
        <v>0.16091954022988508</v>
      </c>
      <c r="R494" s="14">
        <f t="shared" si="3271"/>
        <v>0.16091954022988508</v>
      </c>
      <c r="S494" s="14">
        <f t="shared" si="3271"/>
        <v>0.20879120879120872</v>
      </c>
      <c r="T494" s="14">
        <f t="shared" si="3271"/>
        <v>0.17821782178217815</v>
      </c>
      <c r="U494" s="14">
        <f t="shared" si="3271"/>
        <v>0.17821782178217815</v>
      </c>
      <c r="V494" s="14">
        <f t="shared" si="3271"/>
        <v>0.15454545454545454</v>
      </c>
      <c r="W494" s="14">
        <f t="shared" si="3271"/>
        <v>0.13445378151260501</v>
      </c>
      <c r="X494" s="14">
        <f t="shared" si="3271"/>
        <v>0.13445378151260501</v>
      </c>
      <c r="Y494" s="14">
        <f t="shared" si="3271"/>
        <v>0.12598425196850394</v>
      </c>
      <c r="Z494" s="14">
        <f t="shared" si="3271"/>
        <v>0.11851851851851847</v>
      </c>
      <c r="AA494" s="14">
        <f t="shared" si="3271"/>
        <v>0.11851851851851847</v>
      </c>
      <c r="AB494" s="14">
        <f t="shared" ref="AB494" si="3272">+AB493/Y493-1</f>
        <v>0.10489510489510478</v>
      </c>
      <c r="AC494" s="14">
        <f t="shared" ref="AC494" si="3273">+AC493/Z493-1</f>
        <v>9.27152317880795E-2</v>
      </c>
      <c r="AD494" s="14">
        <f t="shared" ref="AD494" si="3274">+AD493/AA493-1</f>
        <v>9.27152317880795E-2</v>
      </c>
      <c r="AE494" s="14">
        <f t="shared" ref="AE494" si="3275">+AE493/AB493-1</f>
        <v>8.8607594936708889E-2</v>
      </c>
      <c r="AF494" s="14">
        <f t="shared" ref="AF494" si="3276">+AF493/AC493-1</f>
        <v>8.4848484848484951E-2</v>
      </c>
      <c r="AG494" s="14">
        <f t="shared" ref="AG494" si="3277">+AG493/AD493-1</f>
        <v>8.4848484848484951E-2</v>
      </c>
      <c r="AH494" s="14">
        <f t="shared" ref="AH494" si="3278">+AH493/AE493-1</f>
        <v>8.1395348837209225E-2</v>
      </c>
      <c r="AI494" s="14">
        <f t="shared" ref="AI494" si="3279">+AI493/AF493-1</f>
        <v>7.8212290502793325E-2</v>
      </c>
      <c r="AJ494" s="14">
        <f t="shared" ref="AJ494" si="3280">+AJ493/AG493-1</f>
        <v>7.8212290502793325E-2</v>
      </c>
      <c r="AK494" s="14">
        <f t="shared" ref="AK494" si="3281">+AK493/AH493-1</f>
        <v>7.5268817204301008E-2</v>
      </c>
      <c r="AL494" s="14">
        <f t="shared" ref="AL494" si="3282">+AL493/AI493-1</f>
        <v>7.2538860103626979E-2</v>
      </c>
      <c r="AM494" s="14">
        <f t="shared" ref="AM494" si="3283">+AM493/AJ493-1</f>
        <v>7.2538860103626979E-2</v>
      </c>
      <c r="AN494" s="14">
        <f t="shared" ref="AN494" si="3284">+AN493/AK493-1</f>
        <v>6.4999999999999947E-2</v>
      </c>
      <c r="AO494" s="14">
        <f t="shared" ref="AO494" si="3285">+AO493/AL493-1</f>
        <v>5.7971014492753659E-2</v>
      </c>
      <c r="AP494" s="14">
        <f t="shared" ref="AP494" si="3286">+AP493/AM493-1</f>
        <v>5.7971014492753659E-2</v>
      </c>
      <c r="AQ494" s="14">
        <f t="shared" ref="AQ494" si="3287">+AQ493/AN493-1</f>
        <v>5.6338028169014009E-2</v>
      </c>
      <c r="AR494" s="14">
        <f t="shared" ref="AR494" si="3288">+AR493/AO493-1</f>
        <v>5.4794520547945202E-2</v>
      </c>
      <c r="AS494" s="14">
        <f t="shared" ref="AS494" si="3289">+AS493/AP493-1</f>
        <v>5.4794520547945202E-2</v>
      </c>
      <c r="AT494" s="14">
        <f t="shared" ref="AT494" si="3290">+AT493/AQ493-1</f>
        <v>5.3333333333333233E-2</v>
      </c>
      <c r="AU494" s="14">
        <f t="shared" ref="AU494" si="3291">+AU493/AR493-1</f>
        <v>5.1948051948051965E-2</v>
      </c>
      <c r="AV494" s="14">
        <f t="shared" ref="AV494" si="3292">+AV493/AS493-1</f>
        <v>5.1948051948051965E-2</v>
      </c>
    </row>
    <row r="495" spans="1:49" outlineLevel="1" x14ac:dyDescent="0.25">
      <c r="B495" s="8" t="s">
        <v>497</v>
      </c>
      <c r="C495" s="22" t="s">
        <v>274</v>
      </c>
      <c r="F495" s="55"/>
      <c r="G495" s="21">
        <f t="shared" ref="G495:AV495" si="3293">+G63</f>
        <v>51</v>
      </c>
      <c r="H495" s="21">
        <f t="shared" si="3293"/>
        <v>55</v>
      </c>
      <c r="I495" s="21">
        <f t="shared" si="3293"/>
        <v>55</v>
      </c>
      <c r="J495" s="21">
        <f t="shared" si="3293"/>
        <v>62</v>
      </c>
      <c r="K495" s="340">
        <f t="shared" si="3293"/>
        <v>64</v>
      </c>
      <c r="L495" s="308">
        <f t="shared" si="3293"/>
        <v>64</v>
      </c>
      <c r="M495" s="400">
        <f t="shared" si="3293"/>
        <v>74</v>
      </c>
      <c r="N495" s="340">
        <f t="shared" si="3293"/>
        <v>81</v>
      </c>
      <c r="O495" s="308">
        <f t="shared" si="3293"/>
        <v>81</v>
      </c>
      <c r="P495" s="21">
        <f t="shared" si="3293"/>
        <v>83</v>
      </c>
      <c r="Q495" s="21">
        <f t="shared" si="3293"/>
        <v>93</v>
      </c>
      <c r="R495" s="21">
        <f t="shared" si="3293"/>
        <v>93</v>
      </c>
      <c r="S495" s="21">
        <f t="shared" si="3293"/>
        <v>100</v>
      </c>
      <c r="T495" s="21">
        <f t="shared" si="3293"/>
        <v>107</v>
      </c>
      <c r="U495" s="21">
        <f t="shared" si="3293"/>
        <v>107</v>
      </c>
      <c r="V495" s="21">
        <f t="shared" si="3293"/>
        <v>115</v>
      </c>
      <c r="W495" s="21">
        <f t="shared" si="3293"/>
        <v>123</v>
      </c>
      <c r="X495" s="21">
        <f t="shared" si="3293"/>
        <v>123</v>
      </c>
      <c r="Y495" s="21">
        <f t="shared" si="3293"/>
        <v>131</v>
      </c>
      <c r="Z495" s="21">
        <f t="shared" si="3293"/>
        <v>139</v>
      </c>
      <c r="AA495" s="21">
        <f t="shared" si="3293"/>
        <v>139</v>
      </c>
      <c r="AB495" s="21">
        <f t="shared" si="3293"/>
        <v>146</v>
      </c>
      <c r="AC495" s="21">
        <f t="shared" si="3293"/>
        <v>153</v>
      </c>
      <c r="AD495" s="21">
        <f t="shared" si="3293"/>
        <v>153</v>
      </c>
      <c r="AE495" s="21">
        <f t="shared" si="3293"/>
        <v>160</v>
      </c>
      <c r="AF495" s="21">
        <f t="shared" si="3293"/>
        <v>167</v>
      </c>
      <c r="AG495" s="21">
        <f t="shared" si="3293"/>
        <v>167</v>
      </c>
      <c r="AH495" s="21">
        <f t="shared" si="3293"/>
        <v>174</v>
      </c>
      <c r="AI495" s="21">
        <f t="shared" si="3293"/>
        <v>181</v>
      </c>
      <c r="AJ495" s="21">
        <f t="shared" si="3293"/>
        <v>181</v>
      </c>
      <c r="AK495" s="21">
        <f t="shared" si="3293"/>
        <v>188</v>
      </c>
      <c r="AL495" s="21">
        <f t="shared" si="3293"/>
        <v>195</v>
      </c>
      <c r="AM495" s="21">
        <f t="shared" si="3293"/>
        <v>195</v>
      </c>
      <c r="AN495" s="21">
        <f t="shared" si="3293"/>
        <v>201</v>
      </c>
      <c r="AO495" s="21">
        <f t="shared" si="3293"/>
        <v>207</v>
      </c>
      <c r="AP495" s="21">
        <f t="shared" si="3293"/>
        <v>207</v>
      </c>
      <c r="AQ495" s="21">
        <f t="shared" si="3293"/>
        <v>213</v>
      </c>
      <c r="AR495" s="21">
        <f t="shared" si="3293"/>
        <v>219</v>
      </c>
      <c r="AS495" s="21">
        <f t="shared" si="3293"/>
        <v>219</v>
      </c>
      <c r="AT495" s="21">
        <f t="shared" si="3293"/>
        <v>225</v>
      </c>
      <c r="AU495" s="21">
        <f t="shared" si="3293"/>
        <v>231</v>
      </c>
      <c r="AV495" s="21">
        <f t="shared" si="3293"/>
        <v>231</v>
      </c>
    </row>
    <row r="496" spans="1:49" outlineLevel="1" x14ac:dyDescent="0.25">
      <c r="B496" s="8" t="s">
        <v>498</v>
      </c>
      <c r="C496" s="22" t="s">
        <v>274</v>
      </c>
      <c r="F496" s="55"/>
      <c r="G496" s="21">
        <f t="shared" ref="G496:AA496" si="3294">+G150</f>
        <v>2</v>
      </c>
      <c r="H496" s="21">
        <f t="shared" si="3294"/>
        <v>3</v>
      </c>
      <c r="I496" s="21">
        <f t="shared" si="3294"/>
        <v>3</v>
      </c>
      <c r="J496" s="21">
        <f t="shared" si="3294"/>
        <v>4</v>
      </c>
      <c r="K496" s="340">
        <f t="shared" si="3294"/>
        <v>4</v>
      </c>
      <c r="L496" s="308">
        <f t="shared" si="3294"/>
        <v>4</v>
      </c>
      <c r="M496" s="400">
        <f t="shared" si="3294"/>
        <v>4</v>
      </c>
      <c r="N496" s="340">
        <f t="shared" ref="N496:O496" si="3295">+N150</f>
        <v>6</v>
      </c>
      <c r="O496" s="308">
        <f t="shared" si="3295"/>
        <v>6</v>
      </c>
      <c r="P496" s="21">
        <f t="shared" si="3294"/>
        <v>8</v>
      </c>
      <c r="Q496" s="21">
        <f t="shared" si="3294"/>
        <v>8</v>
      </c>
      <c r="R496" s="21">
        <f t="shared" si="3294"/>
        <v>8</v>
      </c>
      <c r="S496" s="21">
        <f t="shared" si="3294"/>
        <v>10</v>
      </c>
      <c r="T496" s="21">
        <f t="shared" si="3294"/>
        <v>12</v>
      </c>
      <c r="U496" s="21">
        <f t="shared" si="3294"/>
        <v>12</v>
      </c>
      <c r="V496" s="21">
        <f t="shared" si="3294"/>
        <v>12</v>
      </c>
      <c r="W496" s="21">
        <f t="shared" si="3294"/>
        <v>12</v>
      </c>
      <c r="X496" s="21">
        <f t="shared" si="3294"/>
        <v>12</v>
      </c>
      <c r="Y496" s="21">
        <f t="shared" si="3294"/>
        <v>12</v>
      </c>
      <c r="Z496" s="21">
        <f t="shared" si="3294"/>
        <v>12</v>
      </c>
      <c r="AA496" s="21">
        <f t="shared" si="3294"/>
        <v>12</v>
      </c>
      <c r="AB496" s="21">
        <f t="shared" ref="AB496:AP496" si="3296">+AB150</f>
        <v>12</v>
      </c>
      <c r="AC496" s="21">
        <f t="shared" si="3296"/>
        <v>12</v>
      </c>
      <c r="AD496" s="21">
        <f t="shared" si="3296"/>
        <v>12</v>
      </c>
      <c r="AE496" s="21">
        <f t="shared" si="3296"/>
        <v>12</v>
      </c>
      <c r="AF496" s="21">
        <f t="shared" si="3296"/>
        <v>12</v>
      </c>
      <c r="AG496" s="21">
        <f t="shared" si="3296"/>
        <v>12</v>
      </c>
      <c r="AH496" s="21">
        <f t="shared" si="3296"/>
        <v>12</v>
      </c>
      <c r="AI496" s="21">
        <f t="shared" si="3296"/>
        <v>12</v>
      </c>
      <c r="AJ496" s="21">
        <f t="shared" si="3296"/>
        <v>12</v>
      </c>
      <c r="AK496" s="21">
        <f t="shared" si="3296"/>
        <v>12</v>
      </c>
      <c r="AL496" s="21">
        <f t="shared" si="3296"/>
        <v>12</v>
      </c>
      <c r="AM496" s="21">
        <f t="shared" si="3296"/>
        <v>12</v>
      </c>
      <c r="AN496" s="21">
        <f t="shared" si="3296"/>
        <v>12</v>
      </c>
      <c r="AO496" s="21">
        <f t="shared" si="3296"/>
        <v>12</v>
      </c>
      <c r="AP496" s="21">
        <f t="shared" si="3296"/>
        <v>12</v>
      </c>
      <c r="AQ496" s="21">
        <f t="shared" ref="AQ496:AS496" si="3297">+AQ150</f>
        <v>12</v>
      </c>
      <c r="AR496" s="21">
        <f t="shared" si="3297"/>
        <v>12</v>
      </c>
      <c r="AS496" s="21">
        <f t="shared" si="3297"/>
        <v>12</v>
      </c>
      <c r="AT496" s="21">
        <f t="shared" ref="AT496:AV496" si="3298">+AT150</f>
        <v>12</v>
      </c>
      <c r="AU496" s="21">
        <f t="shared" si="3298"/>
        <v>12</v>
      </c>
      <c r="AV496" s="21">
        <f t="shared" si="3298"/>
        <v>12</v>
      </c>
    </row>
    <row r="497" spans="1:48" outlineLevel="1" x14ac:dyDescent="0.25">
      <c r="F497" s="55"/>
      <c r="G497" s="55"/>
      <c r="H497" s="55"/>
      <c r="I497" s="55"/>
      <c r="J497" s="55"/>
      <c r="K497" s="293"/>
      <c r="L497" s="396"/>
      <c r="M497" s="404"/>
      <c r="N497" s="42"/>
      <c r="O497" s="42"/>
      <c r="P497" s="42"/>
      <c r="Q497" s="42"/>
      <c r="R497" s="42"/>
      <c r="S497" s="42"/>
      <c r="T497" s="42"/>
      <c r="U497" s="42"/>
      <c r="V497" s="42"/>
      <c r="W497" s="42"/>
      <c r="X497" s="42"/>
      <c r="Y497" s="42"/>
      <c r="Z497" s="42"/>
      <c r="AA497" s="42"/>
      <c r="AB497" s="42"/>
      <c r="AC497" s="42"/>
      <c r="AD497" s="42"/>
      <c r="AE497" s="42"/>
      <c r="AF497" s="42"/>
      <c r="AG497" s="42"/>
      <c r="AH497" s="42"/>
      <c r="AI497" s="42"/>
      <c r="AJ497" s="42"/>
      <c r="AK497" s="42"/>
      <c r="AL497" s="42"/>
      <c r="AM497" s="42"/>
      <c r="AN497" s="42"/>
      <c r="AO497" s="42"/>
      <c r="AP497" s="42"/>
      <c r="AQ497" s="42"/>
      <c r="AR497" s="42"/>
      <c r="AS497" s="42"/>
      <c r="AT497" s="42"/>
      <c r="AU497" s="42"/>
      <c r="AV497" s="42"/>
    </row>
    <row r="498" spans="1:48" ht="15.75" x14ac:dyDescent="0.25">
      <c r="A498" s="49" t="s">
        <v>23</v>
      </c>
      <c r="B498" s="50" t="s">
        <v>463</v>
      </c>
      <c r="C498" s="2"/>
      <c r="D498" s="2"/>
      <c r="E498" s="2"/>
      <c r="F498" s="158"/>
      <c r="G498" s="86"/>
      <c r="H498" s="86"/>
      <c r="I498" s="86"/>
      <c r="J498" s="86"/>
      <c r="K498" s="86"/>
      <c r="L498" s="371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  <c r="AP498" s="86"/>
      <c r="AQ498" s="86"/>
      <c r="AR498" s="86"/>
      <c r="AS498" s="86"/>
      <c r="AT498" s="86"/>
      <c r="AU498" s="86"/>
      <c r="AV498" s="86"/>
    </row>
    <row r="499" spans="1:48" x14ac:dyDescent="0.25">
      <c r="M499" s="8"/>
    </row>
    <row r="500" spans="1:48" x14ac:dyDescent="0.25">
      <c r="B500" s="8" t="s">
        <v>464</v>
      </c>
      <c r="C500" s="22" t="s">
        <v>29</v>
      </c>
      <c r="F500" s="19"/>
      <c r="G500" s="15">
        <f t="shared" ref="G500:AA500" si="3299">+G44</f>
        <v>0.16900000000000001</v>
      </c>
      <c r="H500" s="31">
        <f t="shared" si="3299"/>
        <v>0.13099999999999998</v>
      </c>
      <c r="I500" s="31">
        <f t="shared" si="3299"/>
        <v>0.15</v>
      </c>
      <c r="J500" s="324">
        <f t="shared" si="3299"/>
        <v>0.10100000000000001</v>
      </c>
      <c r="K500" s="31">
        <f t="shared" si="3299"/>
        <v>6.0999999999999999E-2</v>
      </c>
      <c r="L500" s="358">
        <f t="shared" si="3299"/>
        <v>8.1000000000000003E-2</v>
      </c>
      <c r="M500" s="31">
        <f t="shared" si="3299"/>
        <v>9.4E-2</v>
      </c>
      <c r="N500" s="31">
        <f t="shared" ref="N500:O500" si="3300">+N44</f>
        <v>9.8000000000000004E-2</v>
      </c>
      <c r="O500" s="358">
        <f t="shared" si="3300"/>
        <v>9.6000000000000002E-2</v>
      </c>
      <c r="P500" s="31">
        <f t="shared" si="3299"/>
        <v>0.06</v>
      </c>
      <c r="Q500" s="31">
        <f t="shared" si="3299"/>
        <v>0.06</v>
      </c>
      <c r="R500" s="31">
        <f t="shared" si="3299"/>
        <v>0.06</v>
      </c>
      <c r="S500" s="31">
        <f t="shared" si="3299"/>
        <v>0.05</v>
      </c>
      <c r="T500" s="31">
        <f t="shared" si="3299"/>
        <v>0.05</v>
      </c>
      <c r="U500" s="31">
        <f t="shared" si="3299"/>
        <v>0.05</v>
      </c>
      <c r="V500" s="31">
        <f t="shared" si="3299"/>
        <v>0.05</v>
      </c>
      <c r="W500" s="31">
        <f t="shared" si="3299"/>
        <v>0.05</v>
      </c>
      <c r="X500" s="31">
        <f t="shared" si="3299"/>
        <v>0.05</v>
      </c>
      <c r="Y500" s="31">
        <f t="shared" si="3299"/>
        <v>0.05</v>
      </c>
      <c r="Z500" s="31">
        <f t="shared" si="3299"/>
        <v>0.05</v>
      </c>
      <c r="AA500" s="31">
        <f t="shared" si="3299"/>
        <v>0.05</v>
      </c>
      <c r="AB500" s="31">
        <f t="shared" ref="AB500:AP500" si="3301">+AB44</f>
        <v>0.05</v>
      </c>
      <c r="AC500" s="31">
        <f t="shared" si="3301"/>
        <v>0.05</v>
      </c>
      <c r="AD500" s="31">
        <f t="shared" si="3301"/>
        <v>0.05</v>
      </c>
      <c r="AE500" s="31">
        <f t="shared" si="3301"/>
        <v>0.05</v>
      </c>
      <c r="AF500" s="31">
        <f t="shared" si="3301"/>
        <v>0.05</v>
      </c>
      <c r="AG500" s="31">
        <f t="shared" si="3301"/>
        <v>0.05</v>
      </c>
      <c r="AH500" s="31">
        <f t="shared" si="3301"/>
        <v>0.05</v>
      </c>
      <c r="AI500" s="31">
        <f t="shared" si="3301"/>
        <v>0.05</v>
      </c>
      <c r="AJ500" s="31">
        <f t="shared" si="3301"/>
        <v>0.05</v>
      </c>
      <c r="AK500" s="31">
        <f t="shared" si="3301"/>
        <v>0.05</v>
      </c>
      <c r="AL500" s="31">
        <f t="shared" si="3301"/>
        <v>0.05</v>
      </c>
      <c r="AM500" s="31">
        <f t="shared" si="3301"/>
        <v>0.05</v>
      </c>
      <c r="AN500" s="31">
        <f t="shared" si="3301"/>
        <v>0.03</v>
      </c>
      <c r="AO500" s="31">
        <f t="shared" si="3301"/>
        <v>0.03</v>
      </c>
      <c r="AP500" s="31">
        <f t="shared" si="3301"/>
        <v>0.03</v>
      </c>
      <c r="AQ500" s="31">
        <f t="shared" ref="AQ500:AS500" si="3302">+AQ44</f>
        <v>0.03</v>
      </c>
      <c r="AR500" s="31">
        <f t="shared" si="3302"/>
        <v>0.03</v>
      </c>
      <c r="AS500" s="31">
        <f t="shared" si="3302"/>
        <v>0.03</v>
      </c>
      <c r="AT500" s="31">
        <f t="shared" ref="AT500:AV500" si="3303">+AT44</f>
        <v>0.03</v>
      </c>
      <c r="AU500" s="31">
        <f t="shared" si="3303"/>
        <v>0.03</v>
      </c>
      <c r="AV500" s="31">
        <f t="shared" si="3303"/>
        <v>0.03</v>
      </c>
    </row>
    <row r="501" spans="1:48" x14ac:dyDescent="0.25">
      <c r="B501" s="8" t="s">
        <v>465</v>
      </c>
      <c r="C501" s="22" t="s">
        <v>29</v>
      </c>
      <c r="G501" s="18">
        <f t="shared" ref="G501:AA501" si="3304">G34</f>
        <v>0</v>
      </c>
      <c r="H501" s="18">
        <f t="shared" si="3304"/>
        <v>0</v>
      </c>
      <c r="I501" s="18">
        <f t="shared" si="3304"/>
        <v>0.1399999999999999</v>
      </c>
      <c r="J501" s="304">
        <f t="shared" si="3304"/>
        <v>0.16560509554140124</v>
      </c>
      <c r="K501" s="18">
        <f t="shared" si="3304"/>
        <v>0.13450292397660824</v>
      </c>
      <c r="L501" s="314">
        <f t="shared" si="3304"/>
        <v>0.13450292397660824</v>
      </c>
      <c r="M501" s="18">
        <f t="shared" si="3304"/>
        <v>0.14754098360655732</v>
      </c>
      <c r="N501" s="18">
        <f t="shared" ref="N501:O501" si="3305">N34</f>
        <v>0.15463917525773185</v>
      </c>
      <c r="O501" s="314">
        <f t="shared" si="3305"/>
        <v>0.15463917525773185</v>
      </c>
      <c r="P501" s="18">
        <f t="shared" si="3304"/>
        <v>0.12380952380952381</v>
      </c>
      <c r="Q501" s="18">
        <f t="shared" si="3304"/>
        <v>0.14285714285714279</v>
      </c>
      <c r="R501" s="18">
        <f t="shared" si="3304"/>
        <v>0.14285714285714279</v>
      </c>
      <c r="S501" s="18">
        <f t="shared" si="3304"/>
        <v>0.15889830508474567</v>
      </c>
      <c r="T501" s="18">
        <f t="shared" si="3304"/>
        <v>0.13671875</v>
      </c>
      <c r="U501" s="18">
        <f t="shared" si="3304"/>
        <v>0.13671875</v>
      </c>
      <c r="V501" s="18">
        <f t="shared" si="3304"/>
        <v>0.13711151736745886</v>
      </c>
      <c r="W501" s="18">
        <f t="shared" si="3304"/>
        <v>0.13745704467353947</v>
      </c>
      <c r="X501" s="18">
        <f t="shared" si="3304"/>
        <v>0.13745704467353947</v>
      </c>
      <c r="Y501" s="18">
        <f t="shared" si="3304"/>
        <v>0.12861736334405149</v>
      </c>
      <c r="Z501" s="18">
        <f t="shared" si="3304"/>
        <v>0.12084592145015116</v>
      </c>
      <c r="AA501" s="18">
        <f t="shared" si="3304"/>
        <v>0.12084592145015116</v>
      </c>
      <c r="AB501" s="18">
        <f t="shared" ref="AB501:AP501" si="3306">AB34</f>
        <v>0.1068376068376069</v>
      </c>
      <c r="AC501" s="18">
        <f t="shared" si="3306"/>
        <v>9.4339622641509413E-2</v>
      </c>
      <c r="AD501" s="18">
        <f t="shared" si="3306"/>
        <v>9.4339622641509413E-2</v>
      </c>
      <c r="AE501" s="18">
        <f t="shared" si="3306"/>
        <v>9.0090090090090058E-2</v>
      </c>
      <c r="AF501" s="18">
        <f t="shared" si="3306"/>
        <v>8.6206896551724199E-2</v>
      </c>
      <c r="AG501" s="18">
        <f t="shared" si="3306"/>
        <v>8.6206896551724199E-2</v>
      </c>
      <c r="AH501" s="18">
        <f t="shared" si="3306"/>
        <v>8.2644628099173501E-2</v>
      </c>
      <c r="AI501" s="18">
        <f t="shared" si="3306"/>
        <v>7.9365079365079305E-2</v>
      </c>
      <c r="AJ501" s="18">
        <f t="shared" si="3306"/>
        <v>7.9365079365079305E-2</v>
      </c>
      <c r="AK501" s="18">
        <f t="shared" si="3306"/>
        <v>7.6335877862595325E-2</v>
      </c>
      <c r="AL501" s="18">
        <f t="shared" si="3306"/>
        <v>7.3529411764705843E-2</v>
      </c>
      <c r="AM501" s="18">
        <f t="shared" si="3306"/>
        <v>7.3529411764705843E-2</v>
      </c>
      <c r="AN501" s="18">
        <f t="shared" si="3306"/>
        <v>6.5856129685917031E-2</v>
      </c>
      <c r="AO501" s="18">
        <f t="shared" si="3306"/>
        <v>5.8708414872798542E-2</v>
      </c>
      <c r="AP501" s="18">
        <f t="shared" si="3306"/>
        <v>5.8708414872798542E-2</v>
      </c>
      <c r="AQ501" s="18">
        <f t="shared" ref="AQ501:AS501" si="3307">AQ34</f>
        <v>5.7034220532319324E-2</v>
      </c>
      <c r="AR501" s="18">
        <f t="shared" si="3307"/>
        <v>5.5452865064695045E-2</v>
      </c>
      <c r="AS501" s="18">
        <f t="shared" si="3307"/>
        <v>5.5452865064695045E-2</v>
      </c>
      <c r="AT501" s="18">
        <f t="shared" ref="AT501:AV501" si="3308">AT34</f>
        <v>5.3956834532374209E-2</v>
      </c>
      <c r="AU501" s="18">
        <f t="shared" si="3308"/>
        <v>5.2539404553415103E-2</v>
      </c>
      <c r="AV501" s="18">
        <f t="shared" si="3308"/>
        <v>5.2539404553415103E-2</v>
      </c>
    </row>
    <row r="502" spans="1:48" x14ac:dyDescent="0.25">
      <c r="B502" s="8" t="s">
        <v>466</v>
      </c>
      <c r="C502" s="22" t="s">
        <v>29</v>
      </c>
      <c r="G502" s="15">
        <f>G74</f>
        <v>0.13700000000000001</v>
      </c>
      <c r="H502" s="31">
        <f t="shared" ref="H502:AA502" si="3309">H74</f>
        <v>0.15032136445242369</v>
      </c>
      <c r="I502" s="31">
        <f t="shared" si="3309"/>
        <v>0.14399999999999999</v>
      </c>
      <c r="J502" s="324">
        <f t="shared" si="3309"/>
        <v>0.17499999999999999</v>
      </c>
      <c r="K502" s="31">
        <f t="shared" si="3309"/>
        <v>0.17304005621925506</v>
      </c>
      <c r="L502" s="358">
        <f t="shared" si="3309"/>
        <v>0.17399999999999999</v>
      </c>
      <c r="M502" s="31">
        <f t="shared" si="3309"/>
        <v>0.18</v>
      </c>
      <c r="N502" s="31">
        <f t="shared" ref="N502:O502" si="3310">N74</f>
        <v>0.17804137240061202</v>
      </c>
      <c r="O502" s="358">
        <f t="shared" si="3310"/>
        <v>0.17899999999999999</v>
      </c>
      <c r="P502" s="31">
        <f t="shared" si="3309"/>
        <v>0.186</v>
      </c>
      <c r="Q502" s="31">
        <f t="shared" si="3309"/>
        <v>0.18122759265352115</v>
      </c>
      <c r="R502" s="31">
        <f t="shared" si="3309"/>
        <v>0.1835</v>
      </c>
      <c r="S502" s="31">
        <f t="shared" si="3309"/>
        <v>0.18913749999999996</v>
      </c>
      <c r="T502" s="31">
        <f t="shared" si="3309"/>
        <v>0.19121778407689549</v>
      </c>
      <c r="U502" s="31">
        <f t="shared" si="3309"/>
        <v>0.19022927981651383</v>
      </c>
      <c r="V502" s="31">
        <f t="shared" si="3309"/>
        <v>0.195044</v>
      </c>
      <c r="W502" s="31">
        <f t="shared" si="3309"/>
        <v>0.19712476645199958</v>
      </c>
      <c r="X502" s="31">
        <f t="shared" si="3309"/>
        <v>0.19613577981651387</v>
      </c>
      <c r="Y502" s="31">
        <f t="shared" si="3309"/>
        <v>0.20104749999999999</v>
      </c>
      <c r="Z502" s="31">
        <f t="shared" si="3309"/>
        <v>0.20313526220222128</v>
      </c>
      <c r="AA502" s="31">
        <f t="shared" si="3309"/>
        <v>0.20213927981651386</v>
      </c>
      <c r="AB502" s="31">
        <f t="shared" ref="AB502:AP502" si="3311">AB74</f>
        <v>0.20588699999999999</v>
      </c>
      <c r="AC502" s="31">
        <f t="shared" si="3311"/>
        <v>0.20798550783407221</v>
      </c>
      <c r="AD502" s="31">
        <f t="shared" si="3311"/>
        <v>0.20697877981651386</v>
      </c>
      <c r="AE502" s="31">
        <f t="shared" si="3311"/>
        <v>0.20877499999999999</v>
      </c>
      <c r="AF502" s="31">
        <f t="shared" si="3311"/>
        <v>0.21087697336253453</v>
      </c>
      <c r="AG502" s="31">
        <f t="shared" si="3311"/>
        <v>0.20986677981651386</v>
      </c>
      <c r="AH502" s="31">
        <f t="shared" si="3311"/>
        <v>0.21171149999999994</v>
      </c>
      <c r="AI502" s="31">
        <f t="shared" si="3311"/>
        <v>0.213816380489981</v>
      </c>
      <c r="AJ502" s="31">
        <f t="shared" si="3311"/>
        <v>0.21280327981651381</v>
      </c>
      <c r="AK502" s="31">
        <f t="shared" si="3311"/>
        <v>0.21469649999999996</v>
      </c>
      <c r="AL502" s="31">
        <f t="shared" si="3311"/>
        <v>0.21680385398101892</v>
      </c>
      <c r="AM502" s="31">
        <f t="shared" si="3311"/>
        <v>0.21578827981651383</v>
      </c>
      <c r="AN502" s="31">
        <f t="shared" si="3311"/>
        <v>0.21772999999999998</v>
      </c>
      <c r="AO502" s="31">
        <f t="shared" si="3311"/>
        <v>0.21984341115709682</v>
      </c>
      <c r="AP502" s="31">
        <f t="shared" si="3311"/>
        <v>0.21882177981651385</v>
      </c>
      <c r="AQ502" s="31">
        <f t="shared" ref="AQ502:AS502" si="3312">AQ74</f>
        <v>0.21831200000000001</v>
      </c>
      <c r="AR502" s="31">
        <f t="shared" si="3312"/>
        <v>0.2204268017639823</v>
      </c>
      <c r="AS502" s="31">
        <f t="shared" si="3312"/>
        <v>0.21940377981651388</v>
      </c>
      <c r="AT502" s="31">
        <f t="shared" ref="AT502:AV502" si="3313">AT74</f>
        <v>0.21894249999999998</v>
      </c>
      <c r="AU502" s="31">
        <f t="shared" si="3313"/>
        <v>0.22105854361547106</v>
      </c>
      <c r="AV502" s="31">
        <f t="shared" si="3313"/>
        <v>0.22003427981651386</v>
      </c>
    </row>
    <row r="503" spans="1:48" x14ac:dyDescent="0.25">
      <c r="M503" s="8"/>
    </row>
    <row r="504" spans="1:48" x14ac:dyDescent="0.25">
      <c r="B504"/>
      <c r="C504"/>
      <c r="D504"/>
      <c r="E504"/>
      <c r="F504"/>
      <c r="G504"/>
      <c r="H504"/>
      <c r="I504"/>
      <c r="J504"/>
      <c r="K504"/>
      <c r="L504"/>
      <c r="M504"/>
      <c r="N504"/>
      <c r="O504"/>
      <c r="P504"/>
      <c r="Q504"/>
      <c r="R504"/>
      <c r="S504"/>
      <c r="T504"/>
      <c r="U504"/>
      <c r="V504"/>
      <c r="W504"/>
      <c r="X504"/>
      <c r="Y504"/>
      <c r="Z504"/>
      <c r="AA504"/>
      <c r="AB504"/>
      <c r="AC504"/>
      <c r="AD504"/>
      <c r="AE504"/>
      <c r="AF504"/>
      <c r="AG504"/>
      <c r="AH504"/>
      <c r="AI504"/>
      <c r="AJ504"/>
      <c r="AK504"/>
      <c r="AL504"/>
      <c r="AM504"/>
      <c r="AN504"/>
      <c r="AO504"/>
      <c r="AP504"/>
      <c r="AQ504"/>
      <c r="AR504"/>
      <c r="AS504"/>
      <c r="AT504"/>
      <c r="AU504"/>
      <c r="AV504"/>
    </row>
    <row r="506" spans="1:48" x14ac:dyDescent="0.25">
      <c r="I506" s="8">
        <v>2023</v>
      </c>
      <c r="J506" s="8" t="s">
        <v>3</v>
      </c>
      <c r="K506" s="8" t="s">
        <v>5</v>
      </c>
      <c r="L506" s="313">
        <v>2024</v>
      </c>
      <c r="M506" s="172" t="s">
        <v>673</v>
      </c>
    </row>
    <row r="507" spans="1:48" x14ac:dyDescent="0.25">
      <c r="G507" s="8" t="s">
        <v>683</v>
      </c>
      <c r="H507" s="8" t="s">
        <v>684</v>
      </c>
      <c r="I507" s="8">
        <v>2023</v>
      </c>
      <c r="J507" s="8" t="s">
        <v>685</v>
      </c>
      <c r="K507" s="8" t="s">
        <v>677</v>
      </c>
      <c r="L507" s="313">
        <v>2024</v>
      </c>
      <c r="M507" s="172" t="s">
        <v>678</v>
      </c>
    </row>
    <row r="515" spans="14:21" x14ac:dyDescent="0.25">
      <c r="N515" s="522" t="s">
        <v>703</v>
      </c>
      <c r="O515" s="494"/>
      <c r="P515" s="520" t="s">
        <v>704</v>
      </c>
      <c r="Q515" s="520"/>
      <c r="R515" s="520"/>
      <c r="S515" s="520"/>
      <c r="T515" s="521"/>
    </row>
    <row r="516" spans="14:21" x14ac:dyDescent="0.25">
      <c r="N516" s="523"/>
      <c r="O516" s="503">
        <f>((R38*R30+R32*R41)+R128+R104)*R270</f>
        <v>85.938120424436931</v>
      </c>
      <c r="P516" s="497">
        <v>5.8999999999999997E-2</v>
      </c>
      <c r="Q516" s="497">
        <v>0.06</v>
      </c>
      <c r="R516" s="497">
        <v>6.0999999999999999E-2</v>
      </c>
      <c r="S516" s="497">
        <v>6.2E-2</v>
      </c>
      <c r="T516" s="498">
        <v>6.3E-2</v>
      </c>
    </row>
    <row r="517" spans="14:21" ht="14.45" customHeight="1" x14ac:dyDescent="0.25">
      <c r="N517" s="523"/>
      <c r="O517" s="495">
        <v>0.04</v>
      </c>
      <c r="P517" s="499">
        <f t="dataTable" ref="P517:T522" dt2D="1" dtr="1" r1="R270" r2="R44"/>
        <v>81.125940386602849</v>
      </c>
      <c r="Q517" s="499">
        <v>82.500956325358842</v>
      </c>
      <c r="R517" s="499">
        <v>83.875972264114822</v>
      </c>
      <c r="S517" s="499">
        <v>85.250988202870801</v>
      </c>
      <c r="T517" s="500">
        <v>86.62600414162678</v>
      </c>
    </row>
    <row r="518" spans="14:21" x14ac:dyDescent="0.25">
      <c r="N518" s="523"/>
      <c r="O518" s="495">
        <v>0.05</v>
      </c>
      <c r="P518" s="499">
        <v>81.857656918660268</v>
      </c>
      <c r="Q518" s="499">
        <v>83.245074832535863</v>
      </c>
      <c r="R518" s="499">
        <v>84.632492746411472</v>
      </c>
      <c r="S518" s="499">
        <v>86.019910660287067</v>
      </c>
      <c r="T518" s="500">
        <v>87.407328574162662</v>
      </c>
    </row>
    <row r="519" spans="14:21" x14ac:dyDescent="0.25">
      <c r="N519" s="523"/>
      <c r="O519" s="495">
        <v>0.06</v>
      </c>
      <c r="P519" s="499">
        <v>82.589373450717687</v>
      </c>
      <c r="Q519" s="499">
        <v>83.989193339712898</v>
      </c>
      <c r="R519" s="499">
        <v>85.389013228708109</v>
      </c>
      <c r="S519" s="499">
        <v>86.788833117703334</v>
      </c>
      <c r="T519" s="500">
        <v>88.188653006698544</v>
      </c>
    </row>
    <row r="520" spans="14:21" x14ac:dyDescent="0.25">
      <c r="N520" s="523"/>
      <c r="O520" s="495">
        <v>7.0000000000000007E-2</v>
      </c>
      <c r="P520" s="499">
        <v>83.321089982775092</v>
      </c>
      <c r="Q520" s="499">
        <v>84.733311846889933</v>
      </c>
      <c r="R520" s="499">
        <v>86.145533711004759</v>
      </c>
      <c r="S520" s="499">
        <v>87.5577555751196</v>
      </c>
      <c r="T520" s="500">
        <v>88.969977439234427</v>
      </c>
    </row>
    <row r="521" spans="14:21" x14ac:dyDescent="0.25">
      <c r="N521" s="523"/>
      <c r="O521" s="495">
        <v>0.08</v>
      </c>
      <c r="P521" s="499">
        <v>84.052806514832525</v>
      </c>
      <c r="Q521" s="499">
        <v>85.477430354066968</v>
      </c>
      <c r="R521" s="499">
        <v>86.902054193301424</v>
      </c>
      <c r="S521" s="499">
        <v>88.326678032535881</v>
      </c>
      <c r="T521" s="500">
        <v>89.751301871770323</v>
      </c>
    </row>
    <row r="522" spans="14:21" x14ac:dyDescent="0.25">
      <c r="N522" s="524"/>
      <c r="O522" s="496">
        <v>0.09</v>
      </c>
      <c r="P522" s="501">
        <v>84.784523046889944</v>
      </c>
      <c r="Q522" s="501">
        <v>86.221548861244003</v>
      </c>
      <c r="R522" s="501">
        <v>87.658574675598075</v>
      </c>
      <c r="S522" s="501">
        <v>89.095600489952147</v>
      </c>
      <c r="T522" s="502">
        <v>90.532626304306206</v>
      </c>
      <c r="U522" s="18">
        <f>T522/O516-1</f>
        <v>5.3462955172601134E-2</v>
      </c>
    </row>
  </sheetData>
  <mergeCells count="2">
    <mergeCell ref="P515:T515"/>
    <mergeCell ref="N515:N522"/>
  </mergeCells>
  <pageMargins left="0.7" right="0.7" top="0.75" bottom="0.75" header="0.3" footer="0.3"/>
  <pageSetup paperSize="9" orientation="landscape" r:id="rId1"/>
  <ignoredErrors>
    <ignoredError sqref="I60 I67:L67 I73 H72 I70:L71 L123:M123 L99 I76:O77 I81:J85 V60:W60 P60:U61 P64 P81:W82 I69:K69 I75:K75 I64 Q89:R89 Q72:T72 I102:J102 K139 Q90:R90 T90:U90 S64:W64 I147:J147 Q150:T150 I152:L152 H224 N248:X248 H285 H54 Q376:X376 Q379:W379 I325 L436 O436:X436 L431 L442 L448:L449 O451:Q451 P424:X424 L60 N87:N88 W89:X90 X60:AA61 X78:AA82 X70:AA73 Y90:AA90 Q68 X84:AA88 Y69:AA69 Y75:AA75 Y89:Z89 Q92 U92:V92 T94:AA94 T92:T93 X91:AA92 R99 M411 S63:U63 X63:AA65 I151 L150:L151 I35:M37 L336 W92:W93 K197 N197 P197:Q197 Q195:Q196 T196:U196 W196 J199 Q183:AA184 J78:O78 Y93:Z93 P182:AA182 I33:L33 I30:M32 Q32 S32:X32 L64 L102:M102 Q132:Q134 Q136:Q137 T132:Z133 T134:U134 R123:AA123 F141:K141 Q128:Q129 K116:L116 S83:AA83 T136:Z137 Q104 Q112:Q113 T106:Z116 T104:Z104 Y117:Z117 U99:AA99 T105 K118 Q118 S118:T118 V118:W118 L353 Z376 Z379 Q399:X399 P325:AA325 I38:J41 W47 T47 Q47 M40:X40 I46:I49 Y40:Z41 N174 N168 Y166:AA166 R490:AA490 Q315:AA316 L340:X340 M141 L346 N346:X346 L369:X369 L361:X361 K45:L45 Q44 T44 AC11:AP14 AA30:AP38 AC46:AP47 AC60:AP65 AC81:AP92 AA102:AP117 Y118:AP118 AD99:AP99 T128:AA129 AA126:AC127 AA130:AP133 W134:AM134 AB129:AP129 AA135:AP138 AB128:AC128 AD123:AP128 Z150 AA147:AP148 AC165:AP166 AD186:AL186 AD188:AL194 AC55:AP55 AA334:AP338 AA370:AP382 AA431:AP442 AD489:AP490 AA355:AP355 L345:N345 AA345:AP346 K43:L43 AC180:AL185 Z195:AL199 AA399:AP410 AA412:AP424 AR35:AS41 I50:J52 N49 S49:T49 V49:W49 AR84 AR89 AR92 AR104 AR112:AR113 AR116 P141:Q141 AR128:AR138 AR165:AR166 AL306:AP306 AD324:AO325 AP325 L358 AR376:AR379 AA411:AS411 P116:Q116 Q46:T46 W44 V46:X46 V41:X41 V150:X150 AA150:AP151 S165:Z165 H169:I170 T170 Z170 V54:Z54 AR150 AC309:AS311 L349:L350 AA358:AP358 W249 Z249:AS249 Q178 AA349:AP349 T358:X358 L399:L401 Y45:Z47 Z44 S53:W53 S55:Z55 S54:T54 S178:AL178 AC313:AS314 AC312:AR312 W170 Y68:Z68 AA360:AP360 O354:X354 P355:Q355 M355:N355 AC69:AP72 AC68 AE68:AP68 X67:AA67 X66:Z66 AC67:AP67 AC66 AE66:AP66 S68:T68 Y49:Z53 S195:X195 P53:Q55 S451:X451 R400:X400 L343:M343 Q341 X76:Z77 S141 Q139 V141 Y141 AB139:AB141 AE139:AE141 AH139:AH141 AK139:AK141 AN139:AN141 AR142:AR148 I43:J45 I42 O47 N48:Q48 M39 N50:X50 K72 L81 L85 L147:M147 L325 L334:M334 P360:X360 L370:M370 M371:M372 M450:X450 N45:O45 Q377 S377:T377 V377:X377 P33:X33 N67:O67 N71:O71 P151:X152 P336:X338 N350:X350 N353:X353 L368 N368:X368 Q401:X401 N448:X449 Q169:Q170 O70 P41 N43:Z43 AR43:AS43 K198:N199 P246:X246 P174:AA174 P84:W85 N52:X52 N51 S51:X51 S169:T169 K169:K170 AC168:AP169 AR168:AR169 V169:AA169 P358:R358 N246:N247 S247:X247 P247:Q247 S342:T342 AR45:AS45 AS81:AS92 AS174 AM178:AS201 AS316:AU337 AC315:AU315 AS355:AV355 AS385:AV385 X384:AV384 AS431:AS442 AA451:AV451 P11:AA13 P30:X31 P35:X39 P102:X102 Q147:X147 P168:AA168 P198:X198 P334:Y335 P343:Q343 P349:X349 P370:X372 P411:X411 O431:X431 O442:X442 AS147:AS171 S116 P199:Q199 S199:X199 S197:Y197 AS95:AS96 S92 Q342 AA343:AP343 V342:W342 AB342:AC342 AE342:AF342 AH342:AI342 AK342:AL342 AN342:AO342 S489:AA489 R45:X45 V357:AH357 AJ357:AR357 AS357:AV383 S355:X355 S345:X345 L339:N339 V343:X343 P339:Q339 S343:T343 AA340:AP340 AE339:AP339 AR72 AR69:AS71 AR68 AR47:AS67 AR46 V72:W72 V68:W68 R41:T41 T89:U89 AS94" formula="1"/>
    <ignoredError sqref="P117:S117 P140:S140 P125:X125 P69 P75 T75 N119:X122 P139 P155:X156 P159:X160 P164:X164 T124 W124:X124 Q124:R124 Q455 T455 W455 Q161 T161:W161 R139:S139 V140 V139 S69:T69 S75 P158 T158:X158 V75:W75 V69:W69" evalError="1"/>
    <ignoredError sqref="J73:L73 O69 X75 X69 T117:X117 P47 S47 V47 P166:Q166 S166:X166" evalError="1" formula="1"/>
    <ignoredError sqref="G102:H102 G126:H126" formulaRange="1"/>
    <ignoredError sqref="J126:M126 Q126:X126" formula="1" formulaRange="1"/>
  </ignoredErrors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75A74-3F70-4E62-AC62-78CDDB9A824C}">
  <sheetPr codeName="Sheet6">
    <tabColor rgb="FFCCECFF"/>
  </sheetPr>
  <dimension ref="A1:AB75"/>
  <sheetViews>
    <sheetView showGridLines="0" zoomScaleNormal="100" workbookViewId="0">
      <selection activeCell="I45" sqref="I45"/>
    </sheetView>
  </sheetViews>
  <sheetFormatPr defaultColWidth="8.85546875" defaultRowHeight="15" outlineLevelRow="2" outlineLevelCol="1" x14ac:dyDescent="0.25"/>
  <cols>
    <col min="1" max="1" width="20.42578125" style="8" customWidth="1"/>
    <col min="2" max="2" width="39.140625" style="8" customWidth="1"/>
    <col min="3" max="3" width="9.5703125" style="8" customWidth="1"/>
    <col min="4" max="4" width="7.85546875" style="8" customWidth="1"/>
    <col min="5" max="7" width="0" style="8" hidden="1" customWidth="1" outlineLevel="1"/>
    <col min="8" max="8" width="8.85546875" style="8" customWidth="1" collapsed="1"/>
    <col min="9" max="16384" width="8.85546875" style="8"/>
  </cols>
  <sheetData>
    <row r="1" spans="1:28" s="83" customFormat="1" x14ac:dyDescent="0.25">
      <c r="A1" s="1"/>
      <c r="B1" s="1"/>
      <c r="C1" s="2"/>
    </row>
    <row r="2" spans="1:28" s="83" customFormat="1" ht="23.25" x14ac:dyDescent="0.35">
      <c r="A2" s="1"/>
      <c r="B2" s="3" t="s">
        <v>14</v>
      </c>
      <c r="C2" s="2"/>
    </row>
    <row r="3" spans="1:28" s="83" customFormat="1" x14ac:dyDescent="0.25">
      <c r="A3" s="1"/>
      <c r="B3" s="1" t="s">
        <v>22</v>
      </c>
      <c r="C3" s="2"/>
    </row>
    <row r="4" spans="1:28" s="83" customFormat="1" x14ac:dyDescent="0.25">
      <c r="A4" s="1"/>
      <c r="B4" s="1"/>
      <c r="C4" s="2"/>
    </row>
    <row r="5" spans="1:28" s="83" customFormat="1" x14ac:dyDescent="0.25">
      <c r="A5" s="1"/>
      <c r="B5" s="1" t="s">
        <v>15</v>
      </c>
      <c r="C5" s="2" t="s">
        <v>0</v>
      </c>
    </row>
    <row r="7" spans="1:28" x14ac:dyDescent="0.25">
      <c r="B7" s="1" t="s">
        <v>251</v>
      </c>
      <c r="C7" s="1"/>
      <c r="F7" s="4" t="s">
        <v>6</v>
      </c>
      <c r="G7" s="4" t="s">
        <v>7</v>
      </c>
      <c r="H7" s="4" t="s">
        <v>10</v>
      </c>
      <c r="I7" s="4" t="s">
        <v>13</v>
      </c>
      <c r="J7" s="4" t="s">
        <v>20</v>
      </c>
      <c r="K7" s="4" t="s">
        <v>252</v>
      </c>
      <c r="L7" s="4" t="s">
        <v>253</v>
      </c>
      <c r="M7" s="4" t="s">
        <v>254</v>
      </c>
      <c r="N7" s="4" t="s">
        <v>255</v>
      </c>
      <c r="O7" s="4" t="s">
        <v>256</v>
      </c>
      <c r="P7" s="4" t="s">
        <v>257</v>
      </c>
      <c r="Q7" s="4" t="s">
        <v>285</v>
      </c>
      <c r="R7" s="4" t="s">
        <v>509</v>
      </c>
      <c r="S7" s="4" t="s">
        <v>510</v>
      </c>
      <c r="T7" s="4" t="s">
        <v>511</v>
      </c>
      <c r="U7" s="4" t="s">
        <v>512</v>
      </c>
      <c r="V7" s="4" t="s">
        <v>513</v>
      </c>
      <c r="W7" s="4" t="s">
        <v>514</v>
      </c>
      <c r="X7" s="4" t="s">
        <v>515</v>
      </c>
      <c r="Y7" s="4" t="s">
        <v>516</v>
      </c>
      <c r="Z7" s="4" t="s">
        <v>517</v>
      </c>
      <c r="AA7" s="4" t="s">
        <v>518</v>
      </c>
      <c r="AB7" s="4" t="s">
        <v>687</v>
      </c>
    </row>
    <row r="8" spans="1:28" outlineLevel="1" x14ac:dyDescent="0.25">
      <c r="A8" s="8" t="s">
        <v>295</v>
      </c>
      <c r="B8" s="8" t="s">
        <v>258</v>
      </c>
      <c r="C8" s="22" t="s">
        <v>28</v>
      </c>
      <c r="F8" s="21" t="e">
        <f>VLOOKUP($A8,'Financial Statements'!$1:$1048576,MATCH('Valuation - DCF'!F$7,'Financial Statements'!$5:$5,0),FALSE)</f>
        <v>#N/A</v>
      </c>
      <c r="G8" s="21" t="e">
        <f>VLOOKUP($A8,'Financial Statements'!$1:$1048576,MATCH('Valuation - DCF'!G$7,'Financial Statements'!$5:$5,0),FALSE)</f>
        <v>#N/A</v>
      </c>
      <c r="H8" s="21">
        <f>VLOOKUP($A8,'Financial Statements'!$1:$1048576,MATCH('Valuation - DCF'!H$7,'Financial Statements'!$5:$5,0),FALSE)</f>
        <v>597.65591603330074</v>
      </c>
      <c r="I8" s="21">
        <f>VLOOKUP($A8,'Financial Statements'!$1:$1048576,MATCH('Valuation - DCF'!I$7,'Financial Statements'!$5:$5,0),FALSE)</f>
        <v>725.06085327016763</v>
      </c>
      <c r="J8" s="21">
        <f>VLOOKUP($A8,'Financial Statements'!$1:$1048576,MATCH('Valuation - DCF'!J$7,'Financial Statements'!$5:$5,0),FALSE)</f>
        <v>879.08539061446379</v>
      </c>
      <c r="K8" s="21">
        <f>VLOOKUP($A8,'Financial Statements'!$1:$1048576,MATCH('Valuation - DCF'!K$7,'Financial Statements'!$5:$5,0),FALSE)</f>
        <v>1050.0305086583812</v>
      </c>
      <c r="L8" s="21">
        <f>VLOOKUP($A8,'Financial Statements'!$1:$1048576,MATCH('Valuation - DCF'!L$7,'Financial Statements'!$5:$5,0),FALSE)</f>
        <v>1227.2916222687174</v>
      </c>
      <c r="M8" s="21">
        <f>VLOOKUP($A8,'Financial Statements'!$1:$1048576,MATCH('Valuation - DCF'!M$7,'Financial Statements'!$5:$5,0),FALSE)</f>
        <v>1409.8237180780195</v>
      </c>
      <c r="N8" s="21">
        <f>VLOOKUP($A8,'Financial Statements'!$1:$1048576,MATCH('Valuation - DCF'!N$7,'Financial Statements'!$5:$5,0),FALSE)</f>
        <v>1607.8499519498123</v>
      </c>
      <c r="O8" s="21">
        <f>VLOOKUP($A8,'Financial Statements'!$1:$1048576,MATCH('Valuation - DCF'!O$7,'Financial Statements'!$5:$5,0),FALSE)</f>
        <v>1822.4647146536477</v>
      </c>
      <c r="P8" s="21">
        <f>VLOOKUP($A8,'Financial Statements'!$1:$1048576,MATCH('Valuation - DCF'!P$7,'Financial Statements'!$5:$5,0),FALSE)</f>
        <v>2007.7899152506861</v>
      </c>
      <c r="Q8" s="21">
        <f>VLOOKUP($A8,'Financial Statements'!$1:$1048576,MATCH('Valuation - DCF'!Q$7,'Financial Statements'!$5:$5,0),FALSE)</f>
        <v>2191.182936439046</v>
      </c>
      <c r="R8" s="21">
        <f>VLOOKUP($A8,'Financial Statements'!$1:$1048576,MATCH('Valuation - DCF'!R$7,'Financial Statements'!$5:$5,0),FALSE)</f>
        <v>2382.7587703590334</v>
      </c>
      <c r="S8" s="21">
        <f t="shared" ref="S8" si="0">(1+S9)*R8</f>
        <v>2553.1933096475054</v>
      </c>
      <c r="T8" s="21">
        <f t="shared" ref="T8" si="1">(1+T9)*S8</f>
        <v>2731.5910750313287</v>
      </c>
      <c r="U8" s="21">
        <f t="shared" ref="U8" si="2">(1+U9)*T8</f>
        <v>2918.277728870893</v>
      </c>
      <c r="V8" s="21">
        <f t="shared" ref="V8" si="3">(1+V9)*U8</f>
        <v>3092.0381059030733</v>
      </c>
      <c r="W8" s="21">
        <f t="shared" ref="W8" si="4">(1+W9)*V8</f>
        <v>3273.5234415020618</v>
      </c>
      <c r="X8" s="21">
        <f t="shared" ref="X8" si="5">(1+X9)*W8</f>
        <v>3463.0408167555497</v>
      </c>
      <c r="Y8" s="21">
        <f t="shared" ref="Y8" si="6">(1+Y9)*X8</f>
        <v>3637.4145544893336</v>
      </c>
      <c r="Z8" s="21">
        <f t="shared" ref="Z8" si="7">(1+Z9)*Y8</f>
        <v>3819.0918027162211</v>
      </c>
      <c r="AA8" s="21">
        <f t="shared" ref="AA8:AB8" si="8">(1+AA9)*Z8</f>
        <v>4009.8432496710366</v>
      </c>
      <c r="AB8" s="21">
        <f t="shared" si="8"/>
        <v>4210.1221226200314</v>
      </c>
    </row>
    <row r="9" spans="1:28" outlineLevel="1" x14ac:dyDescent="0.25">
      <c r="B9" s="11" t="s">
        <v>260</v>
      </c>
      <c r="C9" s="22" t="s">
        <v>29</v>
      </c>
      <c r="G9" s="14" t="e">
        <f>+G8/F8-1</f>
        <v>#N/A</v>
      </c>
      <c r="H9" s="14" t="e">
        <f t="shared" ref="H9:I9" si="9">+H8/G8-1</f>
        <v>#N/A</v>
      </c>
      <c r="I9" s="14">
        <f t="shared" si="9"/>
        <v>0.21317439319009113</v>
      </c>
      <c r="J9" s="14">
        <f>+J8/I8-1</f>
        <v>0.21242980730460781</v>
      </c>
      <c r="K9" s="14">
        <f>+K8/J8-1</f>
        <v>0.1944579216865725</v>
      </c>
      <c r="L9" s="18">
        <f t="shared" ref="L9:R9" si="10">+L8/K8-1</f>
        <v>0.16881520312854703</v>
      </c>
      <c r="M9" s="18">
        <f t="shared" si="10"/>
        <v>0.14872756604651238</v>
      </c>
      <c r="N9" s="18">
        <f t="shared" si="10"/>
        <v>0.14046169839003508</v>
      </c>
      <c r="O9" s="18">
        <f t="shared" si="10"/>
        <v>0.13347934764906122</v>
      </c>
      <c r="P9" s="18">
        <f t="shared" si="10"/>
        <v>0.10168932166802414</v>
      </c>
      <c r="Q9" s="18">
        <f t="shared" si="10"/>
        <v>9.1340742273557041E-2</v>
      </c>
      <c r="R9" s="18">
        <f t="shared" si="10"/>
        <v>8.7430323928737286E-2</v>
      </c>
      <c r="S9" s="30">
        <f>+'GYG network model'!AB20+3%</f>
        <v>7.1528239202657912E-2</v>
      </c>
      <c r="T9" s="30">
        <f>+'GYG network model'!AC20+3%</f>
        <v>6.9872408293460947E-2</v>
      </c>
      <c r="U9" s="30">
        <f>+'GYG network model'!AD20+3%</f>
        <v>6.8343558282208478E-2</v>
      </c>
      <c r="V9" s="30">
        <f>+'GYG network model'!AE20+3%</f>
        <v>5.954209748892178E-2</v>
      </c>
      <c r="W9" s="30">
        <f>+'GYG network model'!AF20+3%</f>
        <v>5.8694404591104837E-2</v>
      </c>
      <c r="X9" s="30">
        <f>+'GYG network model'!AG20+3%</f>
        <v>5.7894002789400351E-2</v>
      </c>
      <c r="Y9" s="30">
        <f>+'GYG network model'!AH20+3%</f>
        <v>5.0352781546811415E-2</v>
      </c>
      <c r="Z9" s="30">
        <f>+'GYG network model'!AI20+3%</f>
        <v>4.9946808510638235E-2</v>
      </c>
      <c r="AA9" s="30">
        <f>+Z9</f>
        <v>4.9946808510638235E-2</v>
      </c>
      <c r="AB9" s="30">
        <f>+AA9</f>
        <v>4.9946808510638235E-2</v>
      </c>
    </row>
    <row r="10" spans="1:28" outlineLevel="1" x14ac:dyDescent="0.25">
      <c r="A10" s="8" t="s">
        <v>570</v>
      </c>
      <c r="B10" s="8" t="s">
        <v>70</v>
      </c>
      <c r="C10" s="22" t="s">
        <v>28</v>
      </c>
      <c r="F10" s="21" t="e">
        <f>VLOOKUP($A10,Assumptions!$1:$1048576,MATCH('Valuation - DCF'!F$7,Assumptions!$5:$5,0),FALSE)</f>
        <v>#N/A</v>
      </c>
      <c r="G10" s="21" t="e">
        <f>VLOOKUP($A10,Assumptions!$1:$1048576,MATCH('Valuation - DCF'!G$7,Assumptions!$5:$5,0),FALSE)</f>
        <v>#N/A</v>
      </c>
      <c r="H10" s="21">
        <f>VLOOKUP($A10,Assumptions!$1:$1048576,MATCH('Valuation - DCF'!H$7,Assumptions!$5:$5,0),FALSE)</f>
        <v>36.673596139192767</v>
      </c>
      <c r="I10" s="21">
        <f>VLOOKUP($A10,Assumptions!$1:$1048576,MATCH('Valuation - DCF'!I$7,Assumptions!$5:$5,0),FALSE)</f>
        <v>67.227753370405665</v>
      </c>
      <c r="J10" s="21">
        <f>VLOOKUP($A10,Assumptions!$1:$1048576,MATCH('Valuation - DCF'!J$7,Assumptions!$5:$5,0),FALSE)</f>
        <v>102.25808910425357</v>
      </c>
      <c r="K10" s="21">
        <f>VLOOKUP($A10,Assumptions!$1:$1048576,MATCH('Valuation - DCF'!K$7,Assumptions!$5:$5,0),FALSE)</f>
        <v>145.66062771279786</v>
      </c>
      <c r="L10" s="21">
        <f>VLOOKUP($A10,Assumptions!$1:$1048576,MATCH('Valuation - DCF'!L$7,Assumptions!$5:$5,0),FALSE)</f>
        <v>189.81568458465603</v>
      </c>
      <c r="M10" s="21">
        <f>VLOOKUP($A10,Assumptions!$1:$1048576,MATCH('Valuation - DCF'!M$7,Assumptions!$5:$5,0),FALSE)</f>
        <v>234.61021313935271</v>
      </c>
      <c r="N10" s="21">
        <f>VLOOKUP($A10,Assumptions!$1:$1048576,MATCH('Valuation - DCF'!N$7,Assumptions!$5:$5,0),FALSE)</f>
        <v>284.44358628271647</v>
      </c>
      <c r="O10" s="21">
        <f>VLOOKUP($A10,Assumptions!$1:$1048576,MATCH('Valuation - DCF'!O$7,Assumptions!$5:$5,0),FALSE)</f>
        <v>339.76064387978272</v>
      </c>
      <c r="P10" s="21">
        <f>VLOOKUP($A10,Assumptions!$1:$1048576,MATCH('Valuation - DCF'!P$7,Assumptions!$5:$5,0),FALSE)</f>
        <v>386.69031956637042</v>
      </c>
      <c r="Q10" s="21">
        <f>VLOOKUP($A10,Assumptions!$1:$1048576,MATCH('Valuation - DCF'!Q$7,Assumptions!$5:$5,0),FALSE)</f>
        <v>429.69690000137336</v>
      </c>
      <c r="R10" s="21">
        <f>VLOOKUP($A10,Assumptions!$1:$1048576,MATCH('Valuation - DCF'!R$7,Assumptions!$5:$5,0),FALSE)</f>
        <v>474.06108235758944</v>
      </c>
      <c r="S10" s="21">
        <f t="shared" ref="S10:AA10" si="11">S11*S8</f>
        <v>514.35282012725281</v>
      </c>
      <c r="T10" s="21">
        <f t="shared" si="11"/>
        <v>557.12086806965556</v>
      </c>
      <c r="U10" s="21">
        <f t="shared" si="11"/>
        <v>602.49218490898591</v>
      </c>
      <c r="V10" s="21">
        <f t="shared" si="11"/>
        <v>646.09592858390806</v>
      </c>
      <c r="W10" s="21">
        <f t="shared" si="11"/>
        <v>692.20195302463264</v>
      </c>
      <c r="X10" s="21">
        <f t="shared" si="11"/>
        <v>740.93389686575802</v>
      </c>
      <c r="Y10" s="21">
        <f t="shared" si="11"/>
        <v>787.33551590149068</v>
      </c>
      <c r="Z10" s="21">
        <f t="shared" si="11"/>
        <v>836.20814165463753</v>
      </c>
      <c r="AA10" s="21">
        <f t="shared" si="11"/>
        <v>887.99867770507603</v>
      </c>
      <c r="AB10" s="21">
        <f t="shared" ref="AB10" si="12">AB11*AB8</f>
        <v>932.35137761811154</v>
      </c>
    </row>
    <row r="11" spans="1:28" outlineLevel="1" x14ac:dyDescent="0.25">
      <c r="B11" s="11" t="s">
        <v>261</v>
      </c>
      <c r="C11" s="22" t="s">
        <v>29</v>
      </c>
      <c r="F11" s="18" t="e">
        <f>F10/F8</f>
        <v>#N/A</v>
      </c>
      <c r="G11" s="18" t="e">
        <f t="shared" ref="G11:I11" si="13">G10/G8</f>
        <v>#N/A</v>
      </c>
      <c r="H11" s="18">
        <f t="shared" si="13"/>
        <v>6.1362391227713295E-2</v>
      </c>
      <c r="I11" s="18">
        <f t="shared" si="13"/>
        <v>9.2720153166724176E-2</v>
      </c>
      <c r="J11" s="18">
        <f>J10/J8</f>
        <v>0.11632327211441557</v>
      </c>
      <c r="K11" s="18">
        <f>K10/K8</f>
        <v>0.13872037670496615</v>
      </c>
      <c r="L11" s="18">
        <f t="shared" ref="L11:P11" si="14">L10/L8</f>
        <v>0.15466225071574358</v>
      </c>
      <c r="M11" s="18">
        <f t="shared" si="14"/>
        <v>0.16641102723054726</v>
      </c>
      <c r="N11" s="18">
        <f t="shared" si="14"/>
        <v>0.17690928555726021</v>
      </c>
      <c r="O11" s="18">
        <f t="shared" si="14"/>
        <v>0.18642920279768099</v>
      </c>
      <c r="P11" s="18">
        <f t="shared" si="14"/>
        <v>0.19259501037890686</v>
      </c>
      <c r="Q11" s="18">
        <f>Q10/Q8</f>
        <v>0.19610270455085146</v>
      </c>
      <c r="R11" s="18">
        <f>R10/R8</f>
        <v>0.1989547109236568</v>
      </c>
      <c r="S11" s="30">
        <f t="shared" ref="S11:AA11" si="15">+R11+0.25%</f>
        <v>0.2014547109236568</v>
      </c>
      <c r="T11" s="30">
        <f t="shared" si="15"/>
        <v>0.2039547109236568</v>
      </c>
      <c r="U11" s="30">
        <f t="shared" si="15"/>
        <v>0.2064547109236568</v>
      </c>
      <c r="V11" s="30">
        <f t="shared" si="15"/>
        <v>0.20895471092365681</v>
      </c>
      <c r="W11" s="30">
        <f t="shared" si="15"/>
        <v>0.21145471092365681</v>
      </c>
      <c r="X11" s="30">
        <f t="shared" si="15"/>
        <v>0.21395471092365681</v>
      </c>
      <c r="Y11" s="30">
        <f t="shared" si="15"/>
        <v>0.21645471092365681</v>
      </c>
      <c r="Z11" s="30">
        <f t="shared" si="15"/>
        <v>0.21895471092365681</v>
      </c>
      <c r="AA11" s="30">
        <f t="shared" si="15"/>
        <v>0.22145471092365682</v>
      </c>
      <c r="AB11" s="30">
        <f>+AA11</f>
        <v>0.22145471092365682</v>
      </c>
    </row>
    <row r="12" spans="1:28" outlineLevel="1" x14ac:dyDescent="0.25">
      <c r="B12" s="11" t="s">
        <v>260</v>
      </c>
      <c r="C12" s="22" t="s">
        <v>29</v>
      </c>
      <c r="G12" s="14" t="e">
        <f>+G10/F10-1</f>
        <v>#N/A</v>
      </c>
      <c r="H12" s="14" t="e">
        <f t="shared" ref="H12:R12" si="16">+H10/G10-1</f>
        <v>#N/A</v>
      </c>
      <c r="I12" s="14">
        <f t="shared" si="16"/>
        <v>0.83313774616610137</v>
      </c>
      <c r="J12" s="14">
        <f t="shared" si="16"/>
        <v>0.52106955799698951</v>
      </c>
      <c r="K12" s="14">
        <f>+K10/J10-1</f>
        <v>0.42444112723732585</v>
      </c>
      <c r="L12" s="14">
        <f t="shared" si="16"/>
        <v>0.30313652745558417</v>
      </c>
      <c r="M12" s="14">
        <f t="shared" si="16"/>
        <v>0.23598960566780103</v>
      </c>
      <c r="N12" s="14">
        <f t="shared" si="16"/>
        <v>0.21240922326669542</v>
      </c>
      <c r="O12" s="14">
        <f t="shared" si="16"/>
        <v>0.19447461733971072</v>
      </c>
      <c r="P12" s="14">
        <f t="shared" si="16"/>
        <v>0.1381256968161173</v>
      </c>
      <c r="Q12" s="14">
        <f t="shared" si="16"/>
        <v>0.1112171116236631</v>
      </c>
      <c r="R12" s="14">
        <f t="shared" si="16"/>
        <v>0.10324529303347152</v>
      </c>
      <c r="S12" s="14">
        <f t="shared" ref="S12" si="17">+S10/R10-1</f>
        <v>8.4992713532368924E-2</v>
      </c>
      <c r="T12" s="14">
        <f t="shared" ref="T12" si="18">+T10/S10-1</f>
        <v>8.3149243610294077E-2</v>
      </c>
      <c r="U12" s="14">
        <f t="shared" ref="U12" si="19">+U10/T10-1</f>
        <v>8.1438911086808785E-2</v>
      </c>
      <c r="V12" s="14">
        <f t="shared" ref="V12" si="20">+V10/U10-1</f>
        <v>7.2372297545252096E-2</v>
      </c>
      <c r="W12" s="14">
        <f t="shared" ref="W12" si="21">+W10/V10-1</f>
        <v>7.1360958026431609E-2</v>
      </c>
      <c r="X12" s="14">
        <f t="shared" ref="X12" si="22">+X10/W10-1</f>
        <v>7.0401338262897406E-2</v>
      </c>
      <c r="Y12" s="14">
        <f t="shared" ref="Y12" si="23">+Y10/X10-1</f>
        <v>6.2625855332057556E-2</v>
      </c>
      <c r="Z12" s="14">
        <f t="shared" ref="Z12" si="24">+Z10/Y10-1</f>
        <v>6.2073442345844443E-2</v>
      </c>
      <c r="AA12" s="14">
        <f t="shared" ref="AA12:AB12" si="25">+AA10/Z10-1</f>
        <v>6.1934981819189883E-2</v>
      </c>
      <c r="AB12" s="14">
        <f t="shared" si="25"/>
        <v>4.9946808510638263E-2</v>
      </c>
    </row>
    <row r="13" spans="1:28" outlineLevel="1" x14ac:dyDescent="0.25">
      <c r="A13" s="8" t="s">
        <v>297</v>
      </c>
      <c r="B13" s="8" t="s">
        <v>259</v>
      </c>
      <c r="C13" s="22" t="s">
        <v>28</v>
      </c>
      <c r="F13" s="21" t="e">
        <f>VLOOKUP($A13,'Financial Statements'!$1:$1048576,MATCH('Valuation - DCF'!F$7,'Financial Statements'!$5:$5,0),FALSE)</f>
        <v>#N/A</v>
      </c>
      <c r="G13" s="21" t="e">
        <f>VLOOKUP($A13,'Financial Statements'!$1:$1048576,MATCH('Valuation - DCF'!G$7,'Financial Statements'!$5:$5,0),FALSE)</f>
        <v>#N/A</v>
      </c>
      <c r="H13" s="21">
        <f ca="1">VLOOKUP($A13,'Financial Statements'!$1:$1048576,MATCH('Valuation - DCF'!H$7,'Financial Statements'!$5:$5,0),FALSE)</f>
        <v>-17.447820985833637</v>
      </c>
      <c r="I13" s="21">
        <f ca="1">VLOOKUP($A13,'Financial Statements'!$1:$1048576,MATCH('Valuation - DCF'!I$7,'Financial Statements'!$5:$5,0),FALSE)</f>
        <v>-24.023059117883751</v>
      </c>
      <c r="J13" s="21">
        <f ca="1">VLOOKUP($A13,'Financial Statements'!$1:$1048576,MATCH('Valuation - DCF'!J$7,'Financial Statements'!$5:$5,0),FALSE)</f>
        <v>-32.208640218964135</v>
      </c>
      <c r="K13" s="21">
        <f ca="1">VLOOKUP($A13,'Financial Statements'!$1:$1048576,MATCH('Valuation - DCF'!K$7,'Financial Statements'!$5:$5,0),FALSE)</f>
        <v>-44.088742901924704</v>
      </c>
      <c r="L13" s="21">
        <f t="shared" ref="L13:AB13" si="26">-$D$52*L$10</f>
        <v>-56.944705375396808</v>
      </c>
      <c r="M13" s="21">
        <f t="shared" si="26"/>
        <v>-70.383063941805815</v>
      </c>
      <c r="N13" s="21">
        <f t="shared" si="26"/>
        <v>-85.333075884814932</v>
      </c>
      <c r="O13" s="21">
        <f t="shared" si="26"/>
        <v>-101.92819316393481</v>
      </c>
      <c r="P13" s="21">
        <f t="shared" si="26"/>
        <v>-116.00709586991113</v>
      </c>
      <c r="Q13" s="21">
        <f t="shared" si="26"/>
        <v>-128.90907000041202</v>
      </c>
      <c r="R13" s="21">
        <f t="shared" si="26"/>
        <v>-142.21832470727682</v>
      </c>
      <c r="S13" s="21">
        <f t="shared" si="26"/>
        <v>-154.30584603817584</v>
      </c>
      <c r="T13" s="21">
        <f t="shared" si="26"/>
        <v>-167.13626042089666</v>
      </c>
      <c r="U13" s="21">
        <f t="shared" si="26"/>
        <v>-180.74765547269575</v>
      </c>
      <c r="V13" s="21">
        <f t="shared" si="26"/>
        <v>-193.82877857517241</v>
      </c>
      <c r="W13" s="21">
        <f t="shared" si="26"/>
        <v>-207.66058590738979</v>
      </c>
      <c r="X13" s="21">
        <f t="shared" si="26"/>
        <v>-222.2801690597274</v>
      </c>
      <c r="Y13" s="21">
        <f t="shared" si="26"/>
        <v>-236.20065477044719</v>
      </c>
      <c r="Z13" s="21">
        <f t="shared" si="26"/>
        <v>-250.86244249639125</v>
      </c>
      <c r="AA13" s="21">
        <f t="shared" si="26"/>
        <v>-266.39960331152281</v>
      </c>
      <c r="AB13" s="21">
        <f t="shared" si="26"/>
        <v>-279.70541328543345</v>
      </c>
    </row>
    <row r="14" spans="1:28" outlineLevel="1" x14ac:dyDescent="0.25">
      <c r="A14" s="8" t="s">
        <v>298</v>
      </c>
      <c r="B14" s="8" t="s">
        <v>267</v>
      </c>
      <c r="C14" s="22" t="s">
        <v>28</v>
      </c>
      <c r="F14" s="21" t="e">
        <f>VLOOKUP($A14,Assumptions!$1:$1048576,MATCH('Valuation - DCF'!F$7,Assumptions!$5:$5,0),FALSE)</f>
        <v>#N/A</v>
      </c>
      <c r="G14" s="21" t="e">
        <f>VLOOKUP($A14,Assumptions!$1:$1048576,MATCH('Valuation - DCF'!G$7,Assumptions!$5:$5,0),FALSE)</f>
        <v>#N/A</v>
      </c>
      <c r="H14" s="21">
        <f ca="1">VLOOKUP($A14,Assumptions!$1:$1048576,MATCH('Valuation - DCF'!H$7,Assumptions!$5:$5,0),FALSE)</f>
        <v>-9.4694211449655281</v>
      </c>
      <c r="I14" s="21">
        <f ca="1">VLOOKUP($A14,Assumptions!$1:$1048576,MATCH('Valuation - DCF'!I$7,Assumptions!$5:$5,0),FALSE)</f>
        <v>-10.412248984429423</v>
      </c>
      <c r="J14" s="21">
        <f ca="1">VLOOKUP($A14,Assumptions!$1:$1048576,MATCH('Valuation - DCF'!J$7,Assumptions!$5:$5,0),FALSE)</f>
        <v>-10.949545185375744</v>
      </c>
      <c r="K14" s="21">
        <f ca="1">VLOOKUP($A14,Assumptions!$1:$1048576,MATCH('Valuation - DCF'!K$7,Assumptions!$5:$5,0),FALSE)</f>
        <v>-11.17397693734803</v>
      </c>
      <c r="L14" s="21">
        <f t="shared" ref="L14:R14" ca="1" si="27">(1+L9)*K14</f>
        <v>-13.060314123780138</v>
      </c>
      <c r="M14" s="21">
        <f t="shared" ca="1" si="27"/>
        <v>-15.002742855212848</v>
      </c>
      <c r="N14" s="21">
        <f t="shared" ca="1" si="27"/>
        <v>-17.11005359716501</v>
      </c>
      <c r="O14" s="21">
        <f t="shared" ca="1" si="27"/>
        <v>-19.39389238955507</v>
      </c>
      <c r="P14" s="21">
        <f t="shared" ca="1" si="27"/>
        <v>-21.366044151151581</v>
      </c>
      <c r="Q14" s="21">
        <f t="shared" ca="1" si="27"/>
        <v>-23.317634483367357</v>
      </c>
      <c r="R14" s="21">
        <f t="shared" ca="1" si="27"/>
        <v>-25.356302819500058</v>
      </c>
      <c r="S14" s="21">
        <f t="shared" ref="S14" ca="1" si="28">(1+S9)*R14</f>
        <v>-27.169994512868289</v>
      </c>
      <c r="T14" s="21">
        <f t="shared" ref="T14" ca="1" si="29">(1+T9)*S14</f>
        <v>-29.068427462802518</v>
      </c>
      <c r="U14" s="21">
        <f t="shared" ref="U14" ca="1" si="30">(1+U9)*T14</f>
        <v>-31.055067229278713</v>
      </c>
      <c r="V14" s="21">
        <f t="shared" ref="V14" ca="1" si="31">(1+V9)*U14</f>
        <v>-32.904151069769448</v>
      </c>
      <c r="W14" s="21">
        <f t="shared" ref="W14" ca="1" si="32">(1+W9)*V14</f>
        <v>-34.835440625385331</v>
      </c>
      <c r="X14" s="21">
        <f t="shared" ref="X14" ca="1" si="33">(1+X9)*W14</f>
        <v>-36.852203722121381</v>
      </c>
      <c r="Y14" s="21">
        <f t="shared" ref="Y14" ca="1" si="34">(1+Y9)*X14</f>
        <v>-38.707814685659947</v>
      </c>
      <c r="Z14" s="21">
        <f t="shared" ref="Z14" ca="1" si="35">(1+Z9)*Y14</f>
        <v>-40.641146493629876</v>
      </c>
      <c r="AA14" s="21">
        <f t="shared" ref="AA14:AB14" ca="1" si="36">(1+AA9)*Z14</f>
        <v>-42.671042055200004</v>
      </c>
      <c r="AB14" s="21">
        <f t="shared" ca="1" si="36"/>
        <v>-44.802324421680474</v>
      </c>
    </row>
    <row r="15" spans="1:28" outlineLevel="1" x14ac:dyDescent="0.25">
      <c r="A15" s="8" t="s">
        <v>300</v>
      </c>
      <c r="B15" s="8" t="s">
        <v>301</v>
      </c>
      <c r="C15" s="22" t="s">
        <v>28</v>
      </c>
      <c r="F15" s="21" t="e">
        <f>-VLOOKUP($A15,Assumptions!$1:$1048576,MATCH('Valuation - DCF'!F$7,Assumptions!$5:$5,0),FALSE)</f>
        <v>#N/A</v>
      </c>
      <c r="G15" s="21" t="e">
        <f>-VLOOKUP($A15,Assumptions!$1:$1048576,MATCH('Valuation - DCF'!G$7,Assumptions!$5:$5,0),FALSE)</f>
        <v>#N/A</v>
      </c>
      <c r="H15" s="21">
        <f>-VLOOKUP($A15,Assumptions!$1:$1048576,MATCH('Valuation - DCF'!H$7,Assumptions!$5:$5,0),FALSE)</f>
        <v>32.070903280498598</v>
      </c>
      <c r="I15" s="21">
        <f>-VLOOKUP($A15,Assumptions!$1:$1048576,MATCH('Valuation - DCF'!I$7,Assumptions!$5:$5,0),FALSE)</f>
        <v>38.23020742919914</v>
      </c>
      <c r="J15" s="21">
        <f>-VLOOKUP($A15,Assumptions!$1:$1048576,MATCH('Valuation - DCF'!J$7,Assumptions!$5:$5,0),FALSE)</f>
        <v>44.958022168802188</v>
      </c>
      <c r="K15" s="21">
        <f>-VLOOKUP($A15,Assumptions!$1:$1048576,MATCH('Valuation - DCF'!K$7,Assumptions!$5:$5,0),FALSE)</f>
        <v>52.009244757388643</v>
      </c>
      <c r="L15" s="21">
        <f>-VLOOKUP($A15,Assumptions!$1:$1048576,MATCH('Valuation - DCF'!L$7,Assumptions!$5:$5,0),FALSE)</f>
        <v>59.133770019955591</v>
      </c>
      <c r="M15" s="21">
        <f>-VLOOKUP($A15,Assumptions!$1:$1048576,MATCH('Valuation - DCF'!M$7,Assumptions!$5:$5,0),FALSE)</f>
        <v>66.181729496278933</v>
      </c>
      <c r="N15" s="21">
        <f>-VLOOKUP($A15,Assumptions!$1:$1048576,MATCH('Valuation - DCF'!N$7,Assumptions!$5:$5,0),FALSE)</f>
        <v>73.586071512879386</v>
      </c>
      <c r="O15" s="21">
        <f>-VLOOKUP($A15,Assumptions!$1:$1048576,MATCH('Valuation - DCF'!O$7,Assumptions!$5:$5,0),FALSE)</f>
        <v>81.354338153139594</v>
      </c>
      <c r="P15" s="21">
        <f>-VLOOKUP($A15,Assumptions!$1:$1048576,MATCH('Valuation - DCF'!P$7,Assumptions!$5:$5,0),FALSE)</f>
        <v>87.575392843978335</v>
      </c>
      <c r="Q15" s="21">
        <f>-VLOOKUP($A15,Assumptions!$1:$1048576,MATCH('Valuation - DCF'!Q$7,Assumptions!$5:$5,0),FALSE)</f>
        <v>93.390759055921222</v>
      </c>
      <c r="R15" s="21">
        <f>-VLOOKUP($A15,Assumptions!$1:$1048576,MATCH('Valuation - DCF'!R$7,Assumptions!$5:$5,0),FALSE)</f>
        <v>99.264456500452667</v>
      </c>
      <c r="S15" s="27">
        <f t="shared" ref="S15:AB15" si="37">+R15*(1+S9)</f>
        <v>106.36466828933888</v>
      </c>
      <c r="T15" s="27">
        <f t="shared" si="37"/>
        <v>113.7966238200501</v>
      </c>
      <c r="U15" s="27">
        <f t="shared" si="37"/>
        <v>121.57389001241425</v>
      </c>
      <c r="V15" s="27">
        <f t="shared" si="37"/>
        <v>128.81265442364088</v>
      </c>
      <c r="W15" s="27">
        <f t="shared" si="37"/>
        <v>136.37323647883622</v>
      </c>
      <c r="X15" s="27">
        <f t="shared" si="37"/>
        <v>144.26842901194152</v>
      </c>
      <c r="Y15" s="27">
        <f t="shared" si="37"/>
        <v>151.53274570208148</v>
      </c>
      <c r="Z15" s="27">
        <f t="shared" si="37"/>
        <v>159.1013227347546</v>
      </c>
      <c r="AA15" s="27">
        <f t="shared" si="37"/>
        <v>167.04792603517666</v>
      </c>
      <c r="AB15" s="27">
        <f t="shared" si="37"/>
        <v>175.39143680895489</v>
      </c>
    </row>
    <row r="16" spans="1:28" outlineLevel="1" x14ac:dyDescent="0.25">
      <c r="A16" s="8" t="s">
        <v>357</v>
      </c>
      <c r="B16" s="8" t="s">
        <v>266</v>
      </c>
      <c r="C16" s="22" t="s">
        <v>28</v>
      </c>
      <c r="F16" s="21" t="e">
        <f>-VLOOKUP($A16,Assumptions!$1:$1048576,MATCH('Valuation - DCF'!F$7,Assumptions!$5:$5,0),FALSE)</f>
        <v>#N/A</v>
      </c>
      <c r="G16" s="21" t="e">
        <f>-VLOOKUP($A16,Assumptions!$1:$1048576,MATCH('Valuation - DCF'!G$7,Assumptions!$5:$5,0),FALSE)</f>
        <v>#N/A</v>
      </c>
      <c r="H16" s="21">
        <f>-VLOOKUP($A16,Assumptions!$1:$1048576,MATCH('Valuation - DCF'!H$7,Assumptions!$5:$5,0),FALSE)</f>
        <v>-6.7829699414391769</v>
      </c>
      <c r="I16" s="21">
        <f>-VLOOKUP($A16,Assumptions!$1:$1048576,MATCH('Valuation - DCF'!I$7,Assumptions!$5:$5,0),FALSE)</f>
        <v>-4.110569086664654</v>
      </c>
      <c r="J16" s="21">
        <f>-VLOOKUP($A16,Assumptions!$1:$1048576,MATCH('Valuation - DCF'!J$7,Assumptions!$5:$5,0),FALSE)</f>
        <v>-4.9549783956505422</v>
      </c>
      <c r="K16" s="21">
        <f>-VLOOKUP($A16,Assumptions!$1:$1048576,MATCH('Valuation - DCF'!K$7,Assumptions!$5:$5,0),FALSE)</f>
        <v>-4.0382632856571448</v>
      </c>
      <c r="L16" s="21">
        <f>-VLOOKUP($A16,Assumptions!$1:$1048576,MATCH('Valuation - DCF'!L$7,Assumptions!$5:$5,0),FALSE)</f>
        <v>-4.1676629548290833</v>
      </c>
      <c r="M16" s="21">
        <f>-VLOOKUP($A16,Assumptions!$1:$1048576,MATCH('Valuation - DCF'!M$7,Assumptions!$5:$5,0),FALSE)</f>
        <v>-4.8896763895133972</v>
      </c>
      <c r="N16" s="21">
        <f>-VLOOKUP($A16,Assumptions!$1:$1048576,MATCH('Valuation - DCF'!N$7,Assumptions!$5:$5,0),FALSE)</f>
        <v>-5.2797792806870802</v>
      </c>
      <c r="O16" s="21">
        <f>-VLOOKUP($A16,Assumptions!$1:$1048576,MATCH('Valuation - DCF'!O$7,Assumptions!$5:$5,0),FALSE)</f>
        <v>-5.6969031031538293</v>
      </c>
      <c r="P16" s="21">
        <f>-VLOOKUP($A16,Assumptions!$1:$1048576,MATCH('Valuation - DCF'!P$7,Assumptions!$5:$5,0),FALSE)</f>
        <v>-4.9968393363821093</v>
      </c>
      <c r="Q16" s="21">
        <f>-VLOOKUP($A16,Assumptions!$1:$1048576,MATCH('Valuation - DCF'!Q$7,Assumptions!$5:$5,0),FALSE)</f>
        <v>-4.9368990081749331</v>
      </c>
      <c r="R16" s="21">
        <f>-VLOOKUP($A16,Assumptions!$1:$1048576,MATCH('Valuation - DCF'!R$7,Assumptions!$5:$5,0),FALSE)</f>
        <v>-5.2510530799329729</v>
      </c>
      <c r="S16" s="21">
        <f t="shared" ref="S16:AA16" si="38">S17*S8</f>
        <v>-5.626651660700273</v>
      </c>
      <c r="T16" s="21">
        <f t="shared" si="38"/>
        <v>-6.0197993628618018</v>
      </c>
      <c r="U16" s="21">
        <f t="shared" si="38"/>
        <v>-6.4312138714647498</v>
      </c>
      <c r="V16" s="21">
        <f t="shared" si="38"/>
        <v>-6.8141418347716103</v>
      </c>
      <c r="W16" s="21">
        <f t="shared" si="38"/>
        <v>-7.2140938325628685</v>
      </c>
      <c r="X16" s="21">
        <f t="shared" si="38"/>
        <v>-7.6317466010282597</v>
      </c>
      <c r="Y16" s="21">
        <f t="shared" si="38"/>
        <v>-8.0160262704504568</v>
      </c>
      <c r="Z16" s="21">
        <f t="shared" si="38"/>
        <v>-8.4164011995968924</v>
      </c>
      <c r="AA16" s="21">
        <f t="shared" si="38"/>
        <v>-8.8367735786618642</v>
      </c>
      <c r="AB16" s="21">
        <f t="shared" ref="AB16" si="39">AB17*AB8</f>
        <v>-9.2781422164471561</v>
      </c>
    </row>
    <row r="17" spans="1:28" outlineLevel="1" x14ac:dyDescent="0.25">
      <c r="B17" s="11" t="s">
        <v>262</v>
      </c>
      <c r="C17" s="22" t="s">
        <v>28</v>
      </c>
      <c r="F17" s="18" t="e">
        <f>F16/F8</f>
        <v>#N/A</v>
      </c>
      <c r="G17" s="18" t="e">
        <f t="shared" ref="G17:Q17" si="40">G16/G8</f>
        <v>#N/A</v>
      </c>
      <c r="H17" s="18">
        <f t="shared" si="40"/>
        <v>-1.1349289381185072E-2</v>
      </c>
      <c r="I17" s="18">
        <f t="shared" si="40"/>
        <v>-5.6692746107105023E-3</v>
      </c>
      <c r="J17" s="18">
        <f t="shared" si="40"/>
        <v>-5.6365154609009111E-3</v>
      </c>
      <c r="K17" s="18">
        <f t="shared" si="40"/>
        <v>-3.8458532893647195E-3</v>
      </c>
      <c r="L17" s="18">
        <f t="shared" si="40"/>
        <v>-3.3958212369484967E-3</v>
      </c>
      <c r="M17" s="18">
        <f t="shared" si="40"/>
        <v>-3.4682892100718673E-3</v>
      </c>
      <c r="N17" s="18">
        <f t="shared" si="40"/>
        <v>-3.2837512445016287E-3</v>
      </c>
      <c r="O17" s="18">
        <f t="shared" si="40"/>
        <v>-3.1259332799957688E-3</v>
      </c>
      <c r="P17" s="18">
        <f t="shared" si="40"/>
        <v>-2.4887261851587795E-3</v>
      </c>
      <c r="Q17" s="18">
        <f t="shared" si="40"/>
        <v>-2.253074778045702E-3</v>
      </c>
      <c r="R17" s="18">
        <f t="shared" ref="R17" si="41">R16/R8</f>
        <v>-2.2037703292733012E-3</v>
      </c>
      <c r="S17" s="30">
        <f t="shared" ref="S17" si="42">R17</f>
        <v>-2.2037703292733012E-3</v>
      </c>
      <c r="T17" s="30">
        <f t="shared" ref="T17" si="43">S17</f>
        <v>-2.2037703292733012E-3</v>
      </c>
      <c r="U17" s="30">
        <f t="shared" ref="U17" si="44">T17</f>
        <v>-2.2037703292733012E-3</v>
      </c>
      <c r="V17" s="30">
        <f t="shared" ref="V17" si="45">U17</f>
        <v>-2.2037703292733012E-3</v>
      </c>
      <c r="W17" s="30">
        <f t="shared" ref="W17" si="46">V17</f>
        <v>-2.2037703292733012E-3</v>
      </c>
      <c r="X17" s="30">
        <f t="shared" ref="X17" si="47">W17</f>
        <v>-2.2037703292733012E-3</v>
      </c>
      <c r="Y17" s="30">
        <f t="shared" ref="Y17" si="48">X17</f>
        <v>-2.2037703292733012E-3</v>
      </c>
      <c r="Z17" s="30">
        <f t="shared" ref="Z17" si="49">Y17</f>
        <v>-2.2037703292733012E-3</v>
      </c>
      <c r="AA17" s="30">
        <f t="shared" ref="AA17:AB17" si="50">Z17</f>
        <v>-2.2037703292733012E-3</v>
      </c>
      <c r="AB17" s="30">
        <f t="shared" si="50"/>
        <v>-2.2037703292733012E-3</v>
      </c>
    </row>
    <row r="18" spans="1:28" outlineLevel="1" x14ac:dyDescent="0.25">
      <c r="A18" s="8" t="s">
        <v>358</v>
      </c>
      <c r="B18" s="8" t="s">
        <v>263</v>
      </c>
      <c r="C18" s="22" t="s">
        <v>28</v>
      </c>
      <c r="F18" s="21" t="e">
        <f>-VLOOKUP($A18,Assumptions!$1:$1048576,MATCH('Valuation - DCF'!F$7,Assumptions!$5:$5,0),FALSE)</f>
        <v>#N/A</v>
      </c>
      <c r="G18" s="21" t="e">
        <f>-VLOOKUP($A18,Assumptions!$1:$1048576,MATCH('Valuation - DCF'!G$7,Assumptions!$5:$5,0),FALSE)</f>
        <v>#N/A</v>
      </c>
      <c r="H18" s="21">
        <f>-VLOOKUP($A18,Assumptions!$1:$1048576,MATCH('Valuation - DCF'!H$7,Assumptions!$5:$5,0),FALSE)</f>
        <v>-60.406350936006426</v>
      </c>
      <c r="I18" s="21">
        <f>-VLOOKUP($A18,Assumptions!$1:$1048576,MATCH('Valuation - DCF'!I$7,Assumptions!$5:$5,0),FALSE)</f>
        <v>-83.326035521843139</v>
      </c>
      <c r="J18" s="21">
        <f>-VLOOKUP($A18,Assumptions!$1:$1048576,MATCH('Valuation - DCF'!J$7,Assumptions!$5:$5,0),FALSE)</f>
        <v>-79.072167677504495</v>
      </c>
      <c r="K18" s="21">
        <f>-VLOOKUP($A18,Assumptions!$1:$1048576,MATCH('Valuation - DCF'!K$7,Assumptions!$5:$5,0),FALSE)</f>
        <v>-88.729857695435513</v>
      </c>
      <c r="L18" s="21">
        <f>-VLOOKUP($A18,Assumptions!$1:$1048576,MATCH('Valuation - DCF'!L$7,Assumptions!$5:$5,0),FALSE)</f>
        <v>-94.026858061203583</v>
      </c>
      <c r="M18" s="21">
        <f>-VLOOKUP($A18,Assumptions!$1:$1048576,MATCH('Valuation - DCF'!M$7,Assumptions!$5:$5,0),FALSE)</f>
        <v>-104.23413190552489</v>
      </c>
      <c r="N18" s="21">
        <f>-VLOOKUP($A18,Assumptions!$1:$1048576,MATCH('Valuation - DCF'!N$7,Assumptions!$5:$5,0),FALSE)</f>
        <v>-115.24309882780176</v>
      </c>
      <c r="O18" s="21">
        <f>-VLOOKUP($A18,Assumptions!$1:$1048576,MATCH('Valuation - DCF'!O$7,Assumptions!$5:$5,0),FALSE)</f>
        <v>-127.10864500025656</v>
      </c>
      <c r="P18" s="21">
        <f>-VLOOKUP($A18,Assumptions!$1:$1048576,MATCH('Valuation - DCF'!P$7,Assumptions!$5:$5,0),FALSE)</f>
        <v>-132.25898626943678</v>
      </c>
      <c r="Q18" s="21">
        <f>-VLOOKUP($A18,Assumptions!$1:$1048576,MATCH('Valuation - DCF'!Q$7,Assumptions!$5:$5,0),FALSE)</f>
        <v>-142.41966099971646</v>
      </c>
      <c r="R18" s="21">
        <f>-VLOOKUP($A18,Assumptions!$1:$1048576,MATCH('Valuation - DCF'!R$7,Assumptions!$5:$5,0),FALSE)</f>
        <v>-153.05375844225293</v>
      </c>
      <c r="S18" s="21">
        <f>-S19*S15</f>
        <v>-159.54700243400833</v>
      </c>
      <c r="T18" s="21">
        <f t="shared" ref="T18:AA18" si="51">-T19*T15</f>
        <v>-170.69493573007514</v>
      </c>
      <c r="U18" s="21">
        <f t="shared" si="51"/>
        <v>-182.36083501862137</v>
      </c>
      <c r="V18" s="21">
        <f t="shared" si="51"/>
        <v>-193.21898163546132</v>
      </c>
      <c r="W18" s="21">
        <f t="shared" si="51"/>
        <v>-204.55985471825431</v>
      </c>
      <c r="X18" s="21">
        <f t="shared" si="51"/>
        <v>-216.40264351791228</v>
      </c>
      <c r="Y18" s="21">
        <f t="shared" si="51"/>
        <v>-227.29911855312224</v>
      </c>
      <c r="Z18" s="21">
        <f t="shared" si="51"/>
        <v>-238.65198410213191</v>
      </c>
      <c r="AA18" s="21">
        <f t="shared" si="51"/>
        <v>-250.57188905276499</v>
      </c>
      <c r="AB18" s="21">
        <f t="shared" ref="AB18" si="52">-AB19*AB15</f>
        <v>-263.08715521343231</v>
      </c>
    </row>
    <row r="19" spans="1:28" outlineLevel="1" x14ac:dyDescent="0.25">
      <c r="B19" s="11" t="s">
        <v>264</v>
      </c>
      <c r="C19" s="22" t="s">
        <v>28</v>
      </c>
      <c r="F19" s="103" t="e">
        <f t="shared" ref="F19:K19" si="53">-F18/F15</f>
        <v>#N/A</v>
      </c>
      <c r="G19" s="103" t="e">
        <f t="shared" si="53"/>
        <v>#N/A</v>
      </c>
      <c r="H19" s="103">
        <f t="shared" si="53"/>
        <v>1.8835250883855774</v>
      </c>
      <c r="I19" s="103">
        <f t="shared" si="53"/>
        <v>2.1795862781063828</v>
      </c>
      <c r="J19" s="103">
        <f t="shared" si="53"/>
        <v>1.7587999618981283</v>
      </c>
      <c r="K19" s="103">
        <f t="shared" si="53"/>
        <v>1.7060401109329739</v>
      </c>
      <c r="L19" s="103">
        <f t="shared" ref="L19:P19" si="54">-L18/L15</f>
        <v>1.5900704120415929</v>
      </c>
      <c r="M19" s="103">
        <f t="shared" si="54"/>
        <v>1.5749683892951973</v>
      </c>
      <c r="N19" s="103">
        <f t="shared" si="54"/>
        <v>1.5660993508483649</v>
      </c>
      <c r="O19" s="103">
        <f t="shared" si="54"/>
        <v>1.5624077078838756</v>
      </c>
      <c r="P19" s="103">
        <f t="shared" si="54"/>
        <v>1.5102300083890616</v>
      </c>
      <c r="Q19" s="103">
        <f>-Q18/Q15</f>
        <v>1.5249866522065352</v>
      </c>
      <c r="R19" s="103">
        <f>-R18/R15</f>
        <v>1.541878773511997</v>
      </c>
      <c r="S19" s="151">
        <v>1.5</v>
      </c>
      <c r="T19" s="151">
        <f>+S19</f>
        <v>1.5</v>
      </c>
      <c r="U19" s="151">
        <f t="shared" ref="U19:AB19" si="55">+T19</f>
        <v>1.5</v>
      </c>
      <c r="V19" s="151">
        <f t="shared" si="55"/>
        <v>1.5</v>
      </c>
      <c r="W19" s="151">
        <f t="shared" si="55"/>
        <v>1.5</v>
      </c>
      <c r="X19" s="151">
        <f t="shared" si="55"/>
        <v>1.5</v>
      </c>
      <c r="Y19" s="151">
        <f t="shared" si="55"/>
        <v>1.5</v>
      </c>
      <c r="Z19" s="151">
        <f t="shared" si="55"/>
        <v>1.5</v>
      </c>
      <c r="AA19" s="151">
        <f t="shared" si="55"/>
        <v>1.5</v>
      </c>
      <c r="AB19" s="151">
        <f t="shared" si="55"/>
        <v>1.5</v>
      </c>
    </row>
    <row r="20" spans="1:28" outlineLevel="1" x14ac:dyDescent="0.25">
      <c r="B20" s="11" t="s">
        <v>265</v>
      </c>
      <c r="C20" s="22" t="s">
        <v>28</v>
      </c>
      <c r="F20" s="14" t="e">
        <f>-F18/F8</f>
        <v>#N/A</v>
      </c>
      <c r="G20" s="14" t="e">
        <f t="shared" ref="G20:Q20" si="56">-G18/G8</f>
        <v>#N/A</v>
      </c>
      <c r="H20" s="14">
        <f t="shared" si="56"/>
        <v>0.10107212078971649</v>
      </c>
      <c r="I20" s="14">
        <f t="shared" si="56"/>
        <v>0.11492281667949147</v>
      </c>
      <c r="J20" s="14">
        <f t="shared" si="56"/>
        <v>8.9948221778813287E-2</v>
      </c>
      <c r="K20" s="14">
        <f>-K18/K8</f>
        <v>8.4502171092919201E-2</v>
      </c>
      <c r="L20" s="14">
        <f t="shared" si="56"/>
        <v>7.6613297406356987E-2</v>
      </c>
      <c r="M20" s="14">
        <f t="shared" si="56"/>
        <v>7.3934159688861606E-2</v>
      </c>
      <c r="N20" s="14">
        <f t="shared" si="56"/>
        <v>7.1675282067240428E-2</v>
      </c>
      <c r="O20" s="14">
        <f t="shared" si="56"/>
        <v>6.9745462821985585E-2</v>
      </c>
      <c r="P20" s="14">
        <f t="shared" si="56"/>
        <v>6.5872920899158582E-2</v>
      </c>
      <c r="Q20" s="14">
        <f t="shared" si="56"/>
        <v>6.4996700472287686E-2</v>
      </c>
      <c r="R20" s="14">
        <f t="shared" ref="R20" si="57">-R18/R8</f>
        <v>6.4233845383849256E-2</v>
      </c>
      <c r="S20" s="14">
        <f t="shared" ref="S20:AA20" si="58">-S18/S8</f>
        <v>6.2489198068608226E-2</v>
      </c>
      <c r="T20" s="14">
        <f t="shared" si="58"/>
        <v>6.2489198068608212E-2</v>
      </c>
      <c r="U20" s="14">
        <f t="shared" si="58"/>
        <v>6.2489198068608212E-2</v>
      </c>
      <c r="V20" s="14">
        <f t="shared" si="58"/>
        <v>6.2489198068608212E-2</v>
      </c>
      <c r="W20" s="14">
        <f t="shared" si="58"/>
        <v>6.2489198068608198E-2</v>
      </c>
      <c r="X20" s="14">
        <f t="shared" si="58"/>
        <v>6.2489198068608205E-2</v>
      </c>
      <c r="Y20" s="14">
        <f t="shared" si="58"/>
        <v>6.2489198068608205E-2</v>
      </c>
      <c r="Z20" s="14">
        <f t="shared" si="58"/>
        <v>6.2489198068608205E-2</v>
      </c>
      <c r="AA20" s="14">
        <f t="shared" si="58"/>
        <v>6.2489198068608205E-2</v>
      </c>
      <c r="AB20" s="14">
        <f t="shared" ref="AB20" si="59">-AB18/AB8</f>
        <v>6.2489198068608198E-2</v>
      </c>
    </row>
    <row r="21" spans="1:28" outlineLevel="1" x14ac:dyDescent="0.25">
      <c r="B21" s="11"/>
      <c r="C21" s="22"/>
    </row>
    <row r="22" spans="1:28" outlineLevel="1" x14ac:dyDescent="0.25">
      <c r="B22" s="12" t="s">
        <v>268</v>
      </c>
      <c r="C22" s="56" t="s">
        <v>28</v>
      </c>
      <c r="D22" s="12"/>
      <c r="E22" s="12"/>
      <c r="F22" s="63" t="e">
        <f>F10+F13+F14+F15+F16+F18</f>
        <v>#N/A</v>
      </c>
      <c r="G22" s="63" t="e">
        <f t="shared" ref="G22:Q22" si="60">G10+G13+G14+G15+G16+G18</f>
        <v>#N/A</v>
      </c>
      <c r="H22" s="63">
        <f t="shared" ca="1" si="60"/>
        <v>-25.362063588553404</v>
      </c>
      <c r="I22" s="63">
        <f ca="1">I10+I13+I14+I15+I16+I18</f>
        <v>-16.413951911216159</v>
      </c>
      <c r="J22" s="63">
        <f t="shared" ca="1" si="60"/>
        <v>20.030779795560846</v>
      </c>
      <c r="K22" s="63">
        <f ca="1">K10+K13+K14+K15+K16+K18</f>
        <v>49.639031649821121</v>
      </c>
      <c r="L22" s="63">
        <f t="shared" ca="1" si="60"/>
        <v>80.749914089402026</v>
      </c>
      <c r="M22" s="63">
        <f t="shared" ca="1" si="60"/>
        <v>106.2823275435747</v>
      </c>
      <c r="N22" s="63">
        <f t="shared" ca="1" si="60"/>
        <v>135.06365020512706</v>
      </c>
      <c r="O22" s="63">
        <f t="shared" ca="1" si="60"/>
        <v>166.98734837602206</v>
      </c>
      <c r="P22" s="63">
        <f t="shared" ca="1" si="60"/>
        <v>199.63674678346723</v>
      </c>
      <c r="Q22" s="63">
        <f t="shared" ca="1" si="60"/>
        <v>223.50439456562381</v>
      </c>
      <c r="R22" s="63">
        <f t="shared" ref="R22" ca="1" si="61">R10+R13+R14+R15+R16+R18</f>
        <v>247.44609980907936</v>
      </c>
      <c r="S22" s="63">
        <f t="shared" ref="S22:AA22" ca="1" si="62">S10+S13+S14+S15+S16+S18</f>
        <v>274.06799377083894</v>
      </c>
      <c r="T22" s="63">
        <f t="shared" ca="1" si="62"/>
        <v>297.99806891306957</v>
      </c>
      <c r="U22" s="63">
        <f t="shared" ca="1" si="62"/>
        <v>323.47130332933955</v>
      </c>
      <c r="V22" s="63">
        <f t="shared" ca="1" si="62"/>
        <v>348.14252989237423</v>
      </c>
      <c r="W22" s="63">
        <f t="shared" ca="1" si="62"/>
        <v>374.30521441987662</v>
      </c>
      <c r="X22" s="63">
        <f t="shared" ca="1" si="62"/>
        <v>402.03556297691017</v>
      </c>
      <c r="Y22" s="63">
        <f t="shared" ca="1" si="62"/>
        <v>428.64464732389234</v>
      </c>
      <c r="Z22" s="63">
        <f t="shared" ca="1" si="62"/>
        <v>456.73749009764219</v>
      </c>
      <c r="AA22" s="63">
        <f t="shared" ca="1" si="62"/>
        <v>486.56729574210306</v>
      </c>
      <c r="AB22" s="63">
        <f t="shared" ref="AB22" ca="1" si="63">AB10+AB13+AB14+AB15+AB16+AB18</f>
        <v>510.8697792900731</v>
      </c>
    </row>
    <row r="23" spans="1:28" outlineLevel="1" x14ac:dyDescent="0.25">
      <c r="B23" s="11" t="s">
        <v>260</v>
      </c>
      <c r="C23" s="22" t="s">
        <v>29</v>
      </c>
      <c r="G23" s="14" t="e">
        <f>G22/F22-1</f>
        <v>#N/A</v>
      </c>
      <c r="H23" s="14" t="e">
        <f t="shared" ref="H23:Q23" ca="1" si="64">H22/G22-1</f>
        <v>#N/A</v>
      </c>
      <c r="I23" s="14">
        <f t="shared" ca="1" si="64"/>
        <v>-0.35281481122757585</v>
      </c>
      <c r="J23" s="14">
        <f t="shared" ca="1" si="64"/>
        <v>-2.2203508273880832</v>
      </c>
      <c r="K23" s="14">
        <f ca="1">K22/J22-1</f>
        <v>1.4781377538193472</v>
      </c>
      <c r="L23" s="14">
        <f ca="1">L22/K22-1</f>
        <v>0.62674233170084448</v>
      </c>
      <c r="M23" s="14">
        <f t="shared" ca="1" si="64"/>
        <v>0.31619121508791381</v>
      </c>
      <c r="N23" s="14">
        <f t="shared" ca="1" si="64"/>
        <v>0.27080064321843444</v>
      </c>
      <c r="O23" s="14">
        <f t="shared" ca="1" si="64"/>
        <v>0.23636039839298784</v>
      </c>
      <c r="P23" s="14">
        <f t="shared" ca="1" si="64"/>
        <v>0.19552019194846593</v>
      </c>
      <c r="Q23" s="14">
        <f t="shared" ca="1" si="64"/>
        <v>0.11955538329846771</v>
      </c>
      <c r="R23" s="14">
        <f t="shared" ref="R23" ca="1" si="65">R22/Q22-1</f>
        <v>0.1071196174463851</v>
      </c>
      <c r="S23" s="14">
        <f t="shared" ref="S23" ca="1" si="66">S22/R22-1</f>
        <v>0.10758663798823287</v>
      </c>
      <c r="T23" s="14">
        <f t="shared" ref="T23" ca="1" si="67">T22/S22-1</f>
        <v>8.7314373389545397E-2</v>
      </c>
      <c r="U23" s="14">
        <f t="shared" ref="U23" ca="1" si="68">U22/T22-1</f>
        <v>8.5481206335269455E-2</v>
      </c>
      <c r="V23" s="14">
        <f t="shared" ref="V23" ca="1" si="69">V22/U22-1</f>
        <v>7.6270217200429258E-2</v>
      </c>
      <c r="W23" s="14">
        <f t="shared" ref="W23" ca="1" si="70">W22/V22-1</f>
        <v>7.5149349134650212E-2</v>
      </c>
      <c r="X23" s="14">
        <f t="shared" ref="X23" ca="1" si="71">X22/W22-1</f>
        <v>7.4084857727702014E-2</v>
      </c>
      <c r="Y23" s="14">
        <f t="shared" ref="Y23" ca="1" si="72">Y22/X22-1</f>
        <v>6.6185896963822488E-2</v>
      </c>
      <c r="Z23" s="14">
        <f t="shared" ref="Z23" ca="1" si="73">Z22/Y22-1</f>
        <v>6.5538769582540457E-2</v>
      </c>
      <c r="AA23" s="14">
        <f t="shared" ref="AA23:AB23" ca="1" si="74">AA22/Z22-1</f>
        <v>6.5310613407460361E-2</v>
      </c>
      <c r="AB23" s="14">
        <f t="shared" ca="1" si="74"/>
        <v>4.9946808510638485E-2</v>
      </c>
    </row>
    <row r="24" spans="1:28" outlineLevel="1" x14ac:dyDescent="0.25">
      <c r="C24" s="22"/>
      <c r="M24" s="14"/>
      <c r="N24" s="14"/>
      <c r="O24" s="14"/>
      <c r="P24" s="14"/>
      <c r="Q24" s="14"/>
    </row>
    <row r="25" spans="1:28" outlineLevel="2" x14ac:dyDescent="0.25">
      <c r="C25" s="22"/>
    </row>
    <row r="26" spans="1:28" outlineLevel="2" x14ac:dyDescent="0.25">
      <c r="B26" s="8" t="s">
        <v>280</v>
      </c>
      <c r="C26" s="104">
        <v>46254</v>
      </c>
    </row>
    <row r="27" spans="1:28" outlineLevel="2" x14ac:dyDescent="0.25">
      <c r="B27" s="8" t="s">
        <v>281</v>
      </c>
      <c r="C27" s="22" t="s">
        <v>274</v>
      </c>
      <c r="I27" s="8">
        <v>1</v>
      </c>
      <c r="J27" s="8">
        <v>2</v>
      </c>
      <c r="K27" s="8">
        <v>3</v>
      </c>
      <c r="L27" s="8">
        <v>4</v>
      </c>
      <c r="M27" s="8">
        <v>5</v>
      </c>
      <c r="N27" s="8">
        <v>6</v>
      </c>
      <c r="O27" s="8">
        <v>7</v>
      </c>
      <c r="P27" s="8">
        <v>8</v>
      </c>
      <c r="Q27" s="8">
        <v>9</v>
      </c>
      <c r="R27" s="8">
        <v>10</v>
      </c>
      <c r="S27" s="8">
        <v>11</v>
      </c>
      <c r="T27" s="8">
        <v>12</v>
      </c>
      <c r="U27" s="8">
        <v>13</v>
      </c>
      <c r="V27" s="8">
        <v>14</v>
      </c>
      <c r="W27" s="8">
        <v>15</v>
      </c>
      <c r="X27" s="8">
        <v>16</v>
      </c>
      <c r="Y27" s="8">
        <v>17</v>
      </c>
      <c r="Z27" s="8">
        <v>18</v>
      </c>
      <c r="AA27" s="8">
        <v>19</v>
      </c>
      <c r="AB27" s="8">
        <v>20</v>
      </c>
    </row>
    <row r="28" spans="1:28" outlineLevel="2" x14ac:dyDescent="0.25">
      <c r="B28" s="8" t="s">
        <v>282</v>
      </c>
      <c r="C28" s="22" t="s">
        <v>283</v>
      </c>
      <c r="G28" s="85">
        <v>45838</v>
      </c>
      <c r="H28" s="85">
        <v>46203</v>
      </c>
      <c r="I28" s="85">
        <v>46568</v>
      </c>
      <c r="J28" s="85">
        <v>46934</v>
      </c>
      <c r="K28" s="85">
        <v>47299</v>
      </c>
      <c r="L28" s="85">
        <v>47664</v>
      </c>
      <c r="M28" s="85">
        <v>48029</v>
      </c>
      <c r="N28" s="85">
        <v>48395</v>
      </c>
      <c r="O28" s="85">
        <v>48760</v>
      </c>
      <c r="P28" s="85">
        <v>49125</v>
      </c>
      <c r="Q28" s="85">
        <v>49490</v>
      </c>
      <c r="R28" s="85">
        <v>49856</v>
      </c>
      <c r="S28" s="85">
        <v>50221</v>
      </c>
      <c r="T28" s="85">
        <v>50586</v>
      </c>
      <c r="U28" s="85">
        <v>50951</v>
      </c>
      <c r="V28" s="85">
        <v>51317</v>
      </c>
      <c r="W28" s="85">
        <v>51682</v>
      </c>
      <c r="X28" s="85">
        <v>52047</v>
      </c>
      <c r="Y28" s="85">
        <v>52412</v>
      </c>
      <c r="Z28" s="85">
        <v>52778</v>
      </c>
      <c r="AA28" s="85">
        <v>53143</v>
      </c>
      <c r="AB28" s="85">
        <v>53508</v>
      </c>
    </row>
    <row r="29" spans="1:28" outlineLevel="2" x14ac:dyDescent="0.25">
      <c r="B29" s="8" t="s">
        <v>284</v>
      </c>
      <c r="C29" s="22" t="s">
        <v>274</v>
      </c>
      <c r="G29" s="133">
        <f>IF(G$28&gt;365,(G$28-$C$26)/365,0)</f>
        <v>-1.1397260273972603</v>
      </c>
      <c r="H29" s="19">
        <f>IF(H$28&gt;365,(H$28-$C$26)/365,0)</f>
        <v>-0.13972602739726028</v>
      </c>
      <c r="I29" s="19">
        <f t="shared" ref="I29:Z29" si="75">IF(I$28&gt;365,(I$28-$C$26)/365,0)</f>
        <v>0.86027397260273974</v>
      </c>
      <c r="J29" s="19">
        <f t="shared" si="75"/>
        <v>1.8630136986301369</v>
      </c>
      <c r="K29" s="19">
        <f t="shared" si="75"/>
        <v>2.8630136986301369</v>
      </c>
      <c r="L29" s="19">
        <f t="shared" si="75"/>
        <v>3.8630136986301369</v>
      </c>
      <c r="M29" s="19">
        <f t="shared" si="75"/>
        <v>4.8630136986301373</v>
      </c>
      <c r="N29" s="19">
        <f t="shared" si="75"/>
        <v>5.8657534246575347</v>
      </c>
      <c r="O29" s="19">
        <f t="shared" si="75"/>
        <v>6.8657534246575347</v>
      </c>
      <c r="P29" s="19">
        <f t="shared" si="75"/>
        <v>7.8657534246575347</v>
      </c>
      <c r="Q29" s="19">
        <f t="shared" si="75"/>
        <v>8.8657534246575338</v>
      </c>
      <c r="R29" s="19">
        <f t="shared" si="75"/>
        <v>9.868493150684932</v>
      </c>
      <c r="S29" s="19">
        <f t="shared" si="75"/>
        <v>10.868493150684932</v>
      </c>
      <c r="T29" s="19">
        <f t="shared" si="75"/>
        <v>11.868493150684932</v>
      </c>
      <c r="U29" s="19">
        <f t="shared" si="75"/>
        <v>12.868493150684932</v>
      </c>
      <c r="V29" s="19">
        <f t="shared" si="75"/>
        <v>13.871232876712329</v>
      </c>
      <c r="W29" s="19">
        <f t="shared" si="75"/>
        <v>14.871232876712329</v>
      </c>
      <c r="X29" s="19">
        <f t="shared" si="75"/>
        <v>15.871232876712329</v>
      </c>
      <c r="Y29" s="19">
        <f t="shared" si="75"/>
        <v>16.87123287671233</v>
      </c>
      <c r="Z29" s="19">
        <f t="shared" si="75"/>
        <v>17.873972602739727</v>
      </c>
      <c r="AA29" s="19">
        <f>IF(AA$28&gt;365,(AA$28-$C$26)/365,0)</f>
        <v>18.873972602739727</v>
      </c>
      <c r="AB29" s="19">
        <f>IF(AB$28&gt;365,(AB$28-$C$26)/365,0)</f>
        <v>19.873972602739727</v>
      </c>
    </row>
    <row r="30" spans="1:28" outlineLevel="2" x14ac:dyDescent="0.25">
      <c r="B30" s="8" t="s">
        <v>286</v>
      </c>
      <c r="C30" s="22" t="s">
        <v>274</v>
      </c>
      <c r="G30" s="8">
        <f t="shared" ref="G30:AA30" si="76">IF(G29&gt;0,(1/(1+$D$54)^G29),0)</f>
        <v>0</v>
      </c>
      <c r="H30" s="23">
        <f t="shared" si="76"/>
        <v>0</v>
      </c>
      <c r="I30" s="23">
        <f t="shared" si="76"/>
        <v>0.92518708869235844</v>
      </c>
      <c r="J30" s="23">
        <f t="shared" si="76"/>
        <v>0.84501918757100591</v>
      </c>
      <c r="K30" s="23">
        <f t="shared" si="76"/>
        <v>0.77198902573634753</v>
      </c>
      <c r="L30" s="23">
        <f t="shared" si="76"/>
        <v>0.70527044192978938</v>
      </c>
      <c r="M30" s="23">
        <f t="shared" si="76"/>
        <v>0.64431796266196728</v>
      </c>
      <c r="N30" s="23">
        <f t="shared" si="76"/>
        <v>0.58848750485218304</v>
      </c>
      <c r="O30" s="23">
        <f t="shared" si="76"/>
        <v>0.5376279050357966</v>
      </c>
      <c r="P30" s="23">
        <f t="shared" si="76"/>
        <v>0.49116380872994386</v>
      </c>
      <c r="Q30" s="23">
        <f t="shared" si="76"/>
        <v>0.4487153377763054</v>
      </c>
      <c r="R30" s="23">
        <f t="shared" si="76"/>
        <v>0.40983394041339144</v>
      </c>
      <c r="S30" s="23">
        <f t="shared" si="76"/>
        <v>0.37441434351671055</v>
      </c>
      <c r="T30" s="23">
        <f t="shared" si="76"/>
        <v>0.34205585923324561</v>
      </c>
      <c r="U30" s="23">
        <f t="shared" si="76"/>
        <v>0.31249393315662849</v>
      </c>
      <c r="V30" s="23">
        <f t="shared" si="76"/>
        <v>0.2854161852713536</v>
      </c>
      <c r="W30" s="23">
        <f t="shared" si="76"/>
        <v>0.26074930136246449</v>
      </c>
      <c r="X30" s="23">
        <f t="shared" si="76"/>
        <v>0.23821423475467252</v>
      </c>
      <c r="Y30" s="23">
        <f t="shared" si="76"/>
        <v>0.21762674470552937</v>
      </c>
      <c r="Z30" s="23">
        <f t="shared" si="76"/>
        <v>0.19876928380475795</v>
      </c>
      <c r="AA30" s="23">
        <f t="shared" si="76"/>
        <v>0.1815907946325214</v>
      </c>
      <c r="AB30" s="23">
        <f t="shared" ref="AB30" si="77">IF(AB29&gt;0,(1/(1+$D$54)^AB29),0)</f>
        <v>0.16589694375344546</v>
      </c>
    </row>
    <row r="31" spans="1:28" outlineLevel="2" x14ac:dyDescent="0.25">
      <c r="B31" s="8" t="s">
        <v>268</v>
      </c>
      <c r="C31" s="22" t="s">
        <v>28</v>
      </c>
    </row>
    <row r="32" spans="1:28" outlineLevel="1" x14ac:dyDescent="0.25">
      <c r="B32" s="8" t="s">
        <v>287</v>
      </c>
      <c r="C32" s="22" t="s">
        <v>28</v>
      </c>
      <c r="H32" s="21">
        <f ca="1">H30*H22</f>
        <v>0</v>
      </c>
      <c r="I32" s="21">
        <f ca="1">I30*I22</f>
        <v>-15.18597638267445</v>
      </c>
      <c r="J32" s="21">
        <f t="shared" ref="J32:Q32" ca="1" si="78">J30*J22</f>
        <v>16.926393269258547</v>
      </c>
      <c r="K32" s="21">
        <f t="shared" ca="1" si="78"/>
        <v>38.320787681841125</v>
      </c>
      <c r="L32" s="21">
        <f ca="1">L30*L22</f>
        <v>56.95052759562509</v>
      </c>
      <c r="M32" s="21">
        <f t="shared" ca="1" si="78"/>
        <v>68.479612749847931</v>
      </c>
      <c r="N32" s="21">
        <f t="shared" ca="1" si="78"/>
        <v>79.483270505443258</v>
      </c>
      <c r="O32" s="21">
        <f t="shared" ca="1" si="78"/>
        <v>89.777058274883473</v>
      </c>
      <c r="P32" s="21">
        <f t="shared" ca="1" si="78"/>
        <v>98.054344912623137</v>
      </c>
      <c r="Q32" s="21">
        <f t="shared" ca="1" si="78"/>
        <v>100.28984990200253</v>
      </c>
      <c r="R32" s="21">
        <f t="shared" ref="R32:Z32" ca="1" si="79">R30*R22</f>
        <v>101.41181012468034</v>
      </c>
      <c r="S32" s="21">
        <f t="shared" ca="1" si="79"/>
        <v>102.61498796665057</v>
      </c>
      <c r="T32" s="21">
        <f t="shared" ca="1" si="79"/>
        <v>101.93198551190795</v>
      </c>
      <c r="U32" s="21">
        <f t="shared" ca="1" si="79"/>
        <v>101.08281984068613</v>
      </c>
      <c r="V32" s="21">
        <f t="shared" ca="1" si="79"/>
        <v>99.365512812599633</v>
      </c>
      <c r="W32" s="21">
        <f t="shared" ca="1" si="79"/>
        <v>97.599823156310293</v>
      </c>
      <c r="X32" s="21">
        <f t="shared" ca="1" si="79"/>
        <v>95.770593978708604</v>
      </c>
      <c r="Y32" s="21">
        <f t="shared" ca="1" si="79"/>
        <v>93.284539232548397</v>
      </c>
      <c r="Z32" s="21">
        <f t="shared" ca="1" si="79"/>
        <v>90.785383793491064</v>
      </c>
      <c r="AA32" s="21">
        <f ca="1">AA30*AA22</f>
        <v>88.356141876005537</v>
      </c>
      <c r="AB32" s="21">
        <f ca="1">AB30*AB22</f>
        <v>84.751735040220353</v>
      </c>
    </row>
    <row r="33" spans="2:27" outlineLevel="1" x14ac:dyDescent="0.25">
      <c r="C33" s="22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</row>
    <row r="34" spans="2:27" outlineLevel="1" x14ac:dyDescent="0.25">
      <c r="C34" s="22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</row>
    <row r="35" spans="2:27" outlineLevel="1" x14ac:dyDescent="0.25">
      <c r="C35" s="22"/>
    </row>
    <row r="36" spans="2:27" outlineLevel="1" x14ac:dyDescent="0.25">
      <c r="B36" s="8" t="s">
        <v>288</v>
      </c>
      <c r="C36" s="22" t="s">
        <v>28</v>
      </c>
      <c r="D36" s="21">
        <f ca="1">SUM(I32:AB32)</f>
        <v>1590.0512018426598</v>
      </c>
    </row>
    <row r="37" spans="2:27" outlineLevel="1" x14ac:dyDescent="0.25">
      <c r="B37" s="8" t="s">
        <v>289</v>
      </c>
      <c r="C37" s="22" t="s">
        <v>28</v>
      </c>
      <c r="D37" s="21">
        <f ca="1">AB32*(1+$D$55)/($D$54-$D$55)</f>
        <v>1351.3047537372593</v>
      </c>
    </row>
    <row r="38" spans="2:27" outlineLevel="1" x14ac:dyDescent="0.25">
      <c r="B38" s="12" t="s">
        <v>290</v>
      </c>
      <c r="C38" s="56" t="s">
        <v>28</v>
      </c>
      <c r="D38" s="63">
        <f ca="1">+D36+D37</f>
        <v>2941.3559555799193</v>
      </c>
    </row>
    <row r="39" spans="2:27" outlineLevel="1" x14ac:dyDescent="0.25">
      <c r="B39" s="8" t="s">
        <v>291</v>
      </c>
      <c r="C39" s="22" t="s">
        <v>28</v>
      </c>
      <c r="D39" s="267">
        <f ca="1">Assumptions!R457</f>
        <v>-269.57803351407364</v>
      </c>
      <c r="E39" s="172"/>
      <c r="F39" s="172"/>
    </row>
    <row r="40" spans="2:27" outlineLevel="1" x14ac:dyDescent="0.25">
      <c r="B40" s="8" t="s">
        <v>292</v>
      </c>
      <c r="C40" s="22" t="s">
        <v>28</v>
      </c>
      <c r="D40" s="21">
        <f ca="1">+D38-D39</f>
        <v>3210.9339890939927</v>
      </c>
    </row>
    <row r="41" spans="2:27" outlineLevel="1" x14ac:dyDescent="0.25">
      <c r="B41" s="8" t="s">
        <v>293</v>
      </c>
      <c r="C41" s="22" t="s">
        <v>245</v>
      </c>
      <c r="D41" s="21">
        <f>Assumptions!R323</f>
        <v>105.90498599999999</v>
      </c>
    </row>
    <row r="42" spans="2:27" outlineLevel="1" x14ac:dyDescent="0.25">
      <c r="C42" s="22"/>
    </row>
    <row r="43" spans="2:27" outlineLevel="1" x14ac:dyDescent="0.25">
      <c r="B43" s="78" t="s">
        <v>294</v>
      </c>
      <c r="C43" s="106" t="s">
        <v>28</v>
      </c>
      <c r="D43" s="294">
        <f ca="1">D40/D41</f>
        <v>30.319006784949604</v>
      </c>
    </row>
    <row r="44" spans="2:27" outlineLevel="1" x14ac:dyDescent="0.25">
      <c r="C44" s="22"/>
    </row>
    <row r="45" spans="2:27" outlineLevel="1" x14ac:dyDescent="0.25">
      <c r="B45" s="86" t="s">
        <v>269</v>
      </c>
      <c r="C45" s="105"/>
      <c r="D45" s="87"/>
    </row>
    <row r="46" spans="2:27" outlineLevel="1" x14ac:dyDescent="0.25">
      <c r="B46" s="8" t="s">
        <v>270</v>
      </c>
      <c r="C46" s="22" t="s">
        <v>29</v>
      </c>
      <c r="D46" s="24">
        <v>0.05</v>
      </c>
    </row>
    <row r="47" spans="2:27" outlineLevel="1" x14ac:dyDescent="0.25">
      <c r="B47" s="8" t="s">
        <v>271</v>
      </c>
      <c r="C47" s="22" t="s">
        <v>29</v>
      </c>
      <c r="D47" s="24">
        <v>0.05</v>
      </c>
    </row>
    <row r="48" spans="2:27" outlineLevel="1" x14ac:dyDescent="0.25">
      <c r="B48" s="8" t="s">
        <v>272</v>
      </c>
      <c r="C48" s="22" t="s">
        <v>29</v>
      </c>
      <c r="D48" s="24">
        <v>0.2</v>
      </c>
    </row>
    <row r="49" spans="2:10" outlineLevel="1" x14ac:dyDescent="0.25">
      <c r="B49" s="8" t="s">
        <v>273</v>
      </c>
      <c r="C49" s="22" t="s">
        <v>274</v>
      </c>
      <c r="D49" s="19">
        <v>1.19</v>
      </c>
    </row>
    <row r="50" spans="2:10" outlineLevel="1" x14ac:dyDescent="0.25">
      <c r="B50" s="8" t="s">
        <v>275</v>
      </c>
      <c r="C50" s="22" t="s">
        <v>29</v>
      </c>
      <c r="D50" s="55">
        <f>D46+(D49*D47)</f>
        <v>0.1095</v>
      </c>
    </row>
    <row r="51" spans="2:10" outlineLevel="1" x14ac:dyDescent="0.25">
      <c r="B51" s="8" t="s">
        <v>278</v>
      </c>
      <c r="C51" s="22" t="s">
        <v>29</v>
      </c>
      <c r="D51" s="24">
        <v>0.05</v>
      </c>
      <c r="J51" s="8">
        <v>31.4</v>
      </c>
    </row>
    <row r="52" spans="2:10" outlineLevel="1" x14ac:dyDescent="0.25">
      <c r="B52" s="8" t="s">
        <v>276</v>
      </c>
      <c r="C52" s="22" t="s">
        <v>29</v>
      </c>
      <c r="D52" s="24">
        <v>0.3</v>
      </c>
      <c r="J52" s="14">
        <f ca="1">+D43/J51-1</f>
        <v>-3.442653551115904E-2</v>
      </c>
    </row>
    <row r="53" spans="2:10" outlineLevel="1" x14ac:dyDescent="0.25">
      <c r="B53" s="8" t="s">
        <v>277</v>
      </c>
      <c r="C53" s="22" t="s">
        <v>29</v>
      </c>
      <c r="D53" s="55">
        <f>(1-D52)*D51</f>
        <v>3.4999999999999996E-2</v>
      </c>
    </row>
    <row r="54" spans="2:10" outlineLevel="1" x14ac:dyDescent="0.25">
      <c r="B54" s="8" t="s">
        <v>279</v>
      </c>
      <c r="C54" s="22" t="s">
        <v>29</v>
      </c>
      <c r="D54" s="55">
        <f>(D48*D53)+((1-D48)*D50)</f>
        <v>9.4600000000000017E-2</v>
      </c>
    </row>
    <row r="55" spans="2:10" outlineLevel="1" x14ac:dyDescent="0.25">
      <c r="B55" s="8" t="s">
        <v>579</v>
      </c>
      <c r="C55" s="22" t="s">
        <v>29</v>
      </c>
      <c r="D55" s="24">
        <v>0.03</v>
      </c>
    </row>
    <row r="57" spans="2:10" x14ac:dyDescent="0.25">
      <c r="B57" s="8" t="s">
        <v>576</v>
      </c>
      <c r="D57" s="266">
        <f ca="1">+D43</f>
        <v>30.319006784949604</v>
      </c>
    </row>
    <row r="58" spans="2:10" x14ac:dyDescent="0.25">
      <c r="B58" s="8" t="s">
        <v>537</v>
      </c>
      <c r="D58" s="266">
        <f ca="1">+'Valuation - Multiple'!M50</f>
        <v>31.994855530150783</v>
      </c>
      <c r="H58" s="8" t="s">
        <v>702</v>
      </c>
    </row>
    <row r="59" spans="2:10" x14ac:dyDescent="0.25">
      <c r="B59" s="8" t="s">
        <v>577</v>
      </c>
      <c r="D59" s="266">
        <f ca="1">+(D57+D58)/2</f>
        <v>31.156931157550193</v>
      </c>
    </row>
    <row r="60" spans="2:10" x14ac:dyDescent="0.25">
      <c r="B60" s="8" t="s">
        <v>540</v>
      </c>
      <c r="D60" s="266">
        <v>23.7</v>
      </c>
    </row>
    <row r="61" spans="2:10" x14ac:dyDescent="0.25">
      <c r="B61" s="8" t="s">
        <v>578</v>
      </c>
      <c r="D61" s="74">
        <f ca="1">+D59/D60-1</f>
        <v>0.31463844546625297</v>
      </c>
    </row>
    <row r="64" spans="2:10" x14ac:dyDescent="0.25">
      <c r="D64" s="12" t="s">
        <v>342</v>
      </c>
      <c r="E64" s="8" t="s">
        <v>350</v>
      </c>
      <c r="F64" s="8" t="s">
        <v>352</v>
      </c>
      <c r="G64" s="58" t="s">
        <v>351</v>
      </c>
      <c r="H64" s="8" t="s">
        <v>353</v>
      </c>
    </row>
    <row r="65" spans="4:8" x14ac:dyDescent="0.25">
      <c r="D65" s="8" t="s">
        <v>343</v>
      </c>
      <c r="E65" s="19" cm="1">
        <f t="array" ref="E65">_xll.FDS($D65,"FE_VALUATION(PE,MEAN,NTMA,,0,,,'')")</f>
        <v>18.579329000000001</v>
      </c>
      <c r="F65" s="19" cm="1">
        <f t="array" ref="F65">_xll.FDS($D65,"FE_VALUATION(PEG,MEAN,NTMA,,0,,,'')")</f>
        <v>2.0783817999999998</v>
      </c>
      <c r="G65" s="20" cm="1">
        <f t="array" ref="G65">_xll.FDS($D65,"FCS_EV_DAILY(MV,0,,,,M)")</f>
        <v>2475.3883347599999</v>
      </c>
      <c r="H65" s="21" cm="1">
        <f t="array" ref="H65">_xll.FDS($D65,"P_PRICE(0)")</f>
        <v>26.71</v>
      </c>
    </row>
    <row r="66" spans="4:8" x14ac:dyDescent="0.25">
      <c r="D66" s="8" t="s">
        <v>344</v>
      </c>
      <c r="E66" s="19" cm="1">
        <f t="array" ref="E66">_xll.FDS($D66,"FE_VALUATION(PE,MEAN,NTMA,,0,,,'')")</f>
        <v>16.991426000000001</v>
      </c>
      <c r="F66" s="19" cm="1">
        <f t="array" ref="F66">_xll.FDS($D66,"FE_VALUATION(PEG,MEAN,NTMA,,0,,,'')")</f>
        <v>0.94396809999999998</v>
      </c>
      <c r="G66" s="20" cm="1">
        <f t="array" ref="G66">_xll.FDS($D66,"FCS_EV_DAILY(MV,0,,,,M)")</f>
        <v>1016.31233768</v>
      </c>
      <c r="H66" s="21" cm="1">
        <f t="array" ref="H66">_xll.FDS($D66,"P_PRICE(0)")</f>
        <v>8.6</v>
      </c>
    </row>
    <row r="67" spans="4:8" x14ac:dyDescent="0.25">
      <c r="D67" s="8" t="s">
        <v>345</v>
      </c>
      <c r="E67" s="19" cm="1">
        <f t="array" ref="E67">_xll.FDS($D67,"FE_VALUATION(PE,MEAN,NTMA,,0,,,'')")</f>
        <v>14.980596</v>
      </c>
      <c r="F67" s="19" cm="1">
        <f t="array" ref="F67">_xll.FDS($D67,"FE_VALUATION(PEG,MEAN,NTMA,,0,,,'')")</f>
        <v>1.2948869999999999</v>
      </c>
      <c r="G67" s="20" cm="1">
        <f t="array" ref="G67">_xll.FDS($D67,"FCS_EV_DAILY(MV,0,,,,M)")</f>
        <v>8265.0116555799996</v>
      </c>
      <c r="H67" s="21" cm="1">
        <f t="array" ref="H67">_xll.FDS($D67,"P_PRICE(0)")</f>
        <v>9.99</v>
      </c>
    </row>
    <row r="68" spans="4:8" x14ac:dyDescent="0.25">
      <c r="F68" s="19"/>
      <c r="G68" s="20"/>
      <c r="H68" s="21"/>
    </row>
    <row r="69" spans="4:8" x14ac:dyDescent="0.25">
      <c r="D69" s="12" t="s">
        <v>346</v>
      </c>
      <c r="F69" s="19"/>
      <c r="G69" s="20"/>
      <c r="H69" s="21"/>
    </row>
    <row r="70" spans="4:8" x14ac:dyDescent="0.25">
      <c r="D70" s="8" t="s">
        <v>347</v>
      </c>
      <c r="E70" s="19" cm="1">
        <f t="array" ref="E70">_xll.FDS($D70,"FE_VALUATION(PE,MEAN,NTMA,,0,,,'')")</f>
        <v>37.166736999999998</v>
      </c>
      <c r="F70" s="19" cm="1">
        <f t="array" ref="F70">_xll.FDS($D70,"FE_VALUATION(PEG,MEAN,NTMA,,0,,,'')")</f>
        <v>2.4526886999999999</v>
      </c>
      <c r="G70" s="20" cm="1">
        <f t="array" ref="G70">_xll.FDS($D70,"FCS_EV_DAILY(MV,0,,,,M)")</f>
        <v>68035.118270000006</v>
      </c>
      <c r="H70" s="21" cm="1">
        <f t="array" ref="H70">_xll.FDS($D70,"P_PRICE(0)")</f>
        <v>49.98</v>
      </c>
    </row>
    <row r="71" spans="4:8" x14ac:dyDescent="0.25">
      <c r="D71" s="8" t="s">
        <v>348</v>
      </c>
      <c r="E71" s="19" cm="1">
        <f t="array" ref="E71">_xll.FDS($D71,"FE_VALUATION(PE,MEAN,NTMA,,0,,,'')")</f>
        <v>24.140566</v>
      </c>
      <c r="F71" s="19" cm="1">
        <f t="array" ref="F71">_xll.FDS($D71,"FE_VALUATION(PEG,MEAN,NTMA,,0,,,'')")</f>
        <v>2.9265542</v>
      </c>
      <c r="G71" s="20" cm="1">
        <f t="array" ref="G71">_xll.FDS($D71,"FCS_EV_DAILY(MV,0,,,,M)")</f>
        <v>15253.88320027</v>
      </c>
      <c r="H71" s="21" cm="1">
        <f t="array" ref="H71">_xll.FDS($D71,"P_PRICE(0)")</f>
        <v>430.56</v>
      </c>
    </row>
    <row r="72" spans="4:8" x14ac:dyDescent="0.25">
      <c r="D72" s="8" t="s">
        <v>349</v>
      </c>
      <c r="E72" s="19" cm="1">
        <f t="array" ref="E72">_xll.FDS($D72,"FE_VALUATION(PE,MEAN,NTMA,,0,,,'')")</f>
        <v>24.537939999999999</v>
      </c>
      <c r="F72" s="19" cm="1">
        <f t="array" ref="F72">_xll.FDS($D72,"FE_VALUATION(PEG,MEAN,NTMA,,0,,,'')")</f>
        <v>3.6491159999999998</v>
      </c>
      <c r="G72" s="20" cm="1">
        <f t="array" ref="G72">_xll.FDS($D72,"FCS_EV_DAILY(MV,0,,,,M)")</f>
        <v>228074.53134774999</v>
      </c>
      <c r="H72" s="21" cm="1">
        <f t="array" ref="H72">_xll.FDS($D72,"P_PRICE(0)")</f>
        <v>306.76</v>
      </c>
    </row>
    <row r="75" spans="4:8" x14ac:dyDescent="0.25">
      <c r="D75" s="8" t="s">
        <v>354</v>
      </c>
      <c r="E75" s="19" cm="1">
        <f t="array" ref="E75">_xll.FDS($D75,"FE_VALUATION(PE,MEAN,NTMA,,0,,,'')")</f>
        <v>137.27064999999999</v>
      </c>
      <c r="F75" s="19" cm="1">
        <f t="array" ref="F75">_xll.FDS($D75,"FE_VALUATION(PEG,MEAN,NTMA,,0,,,'')")</f>
        <v>49.916600000000003</v>
      </c>
      <c r="G75" s="20" cm="1">
        <f t="array" ref="G75">_xll.FDS($D75,"FCS_EV_DAILY(MV,0,,,,M)")</f>
        <v>3555.27519846</v>
      </c>
      <c r="H75" s="21" cm="1">
        <f t="array" ref="H75">_xll.FDS($D75,"P_PRICE(0)")</f>
        <v>32.65</v>
      </c>
    </row>
  </sheetData>
  <pageMargins left="0.7" right="0.7" top="0.75" bottom="0.75" header="0.3" footer="0.3"/>
  <pageSetup paperSize="9" orientation="landscape" horizontalDpi="300" verticalDpi="300" r:id="rId1"/>
  <ignoredErrors>
    <ignoredError sqref="G9:I9 F17:J17" formula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E8D11-B424-40CD-8C0E-DF2CDD6E81B8}">
  <sheetPr codeName="Sheet19"/>
  <dimension ref="D3:S55"/>
  <sheetViews>
    <sheetView showGridLines="0" topLeftCell="D6" zoomScaleNormal="100" workbookViewId="0">
      <selection activeCell="M27" sqref="M27:Q27"/>
    </sheetView>
  </sheetViews>
  <sheetFormatPr defaultColWidth="8.85546875" defaultRowHeight="15" outlineLevelCol="1" x14ac:dyDescent="0.25"/>
  <cols>
    <col min="1" max="3" width="8.85546875" style="8"/>
    <col min="4" max="4" width="24.7109375" style="8" customWidth="1"/>
    <col min="5" max="6" width="8.85546875" style="8"/>
    <col min="7" max="7" width="38.28515625" style="8" customWidth="1"/>
    <col min="8" max="8" width="10" style="8" customWidth="1" outlineLevel="1"/>
    <col min="9" max="18" width="10.5703125" style="8" customWidth="1"/>
    <col min="19" max="19" width="10.28515625" style="8" customWidth="1"/>
    <col min="20" max="16384" width="8.85546875" style="8"/>
  </cols>
  <sheetData>
    <row r="3" spans="6:19" x14ac:dyDescent="0.25">
      <c r="G3" s="22"/>
      <c r="H3" s="22"/>
      <c r="I3" s="22"/>
      <c r="J3" s="22">
        <v>1</v>
      </c>
      <c r="K3" s="22">
        <f>+J3+1</f>
        <v>2</v>
      </c>
      <c r="L3" s="22">
        <f t="shared" ref="L3:S3" si="0">+K3+1</f>
        <v>3</v>
      </c>
      <c r="M3" s="22">
        <f t="shared" si="0"/>
        <v>4</v>
      </c>
      <c r="N3" s="22">
        <f t="shared" si="0"/>
        <v>5</v>
      </c>
      <c r="O3" s="22">
        <f t="shared" si="0"/>
        <v>6</v>
      </c>
      <c r="P3" s="22">
        <f t="shared" si="0"/>
        <v>7</v>
      </c>
      <c r="Q3" s="22">
        <f t="shared" si="0"/>
        <v>8</v>
      </c>
      <c r="R3" s="22">
        <f t="shared" si="0"/>
        <v>9</v>
      </c>
      <c r="S3" s="22">
        <f t="shared" si="0"/>
        <v>10</v>
      </c>
    </row>
    <row r="4" spans="6:19" x14ac:dyDescent="0.25">
      <c r="H4" s="22" t="s">
        <v>376</v>
      </c>
      <c r="I4" s="22" t="s">
        <v>10</v>
      </c>
      <c r="J4" s="22" t="s">
        <v>13</v>
      </c>
      <c r="K4" s="22" t="s">
        <v>20</v>
      </c>
      <c r="L4" s="22" t="s">
        <v>252</v>
      </c>
      <c r="M4" s="22" t="s">
        <v>253</v>
      </c>
      <c r="N4" s="22" t="s">
        <v>254</v>
      </c>
      <c r="O4" s="22" t="s">
        <v>255</v>
      </c>
      <c r="P4" s="22" t="s">
        <v>256</v>
      </c>
      <c r="Q4" s="22" t="s">
        <v>257</v>
      </c>
      <c r="R4" s="22" t="s">
        <v>285</v>
      </c>
      <c r="S4" s="22" t="s">
        <v>509</v>
      </c>
    </row>
    <row r="8" spans="6:19" x14ac:dyDescent="0.25">
      <c r="F8" s="8" t="s">
        <v>280</v>
      </c>
      <c r="G8" s="241">
        <v>46254</v>
      </c>
      <c r="H8" s="242">
        <v>45838</v>
      </c>
      <c r="I8" s="242">
        <v>46203</v>
      </c>
      <c r="J8" s="242">
        <v>46568</v>
      </c>
      <c r="K8" s="242">
        <v>46934</v>
      </c>
      <c r="L8" s="242">
        <v>47299</v>
      </c>
      <c r="M8" s="242">
        <v>47664</v>
      </c>
      <c r="N8" s="242">
        <v>48029</v>
      </c>
      <c r="O8" s="242">
        <v>48395</v>
      </c>
      <c r="P8" s="242">
        <v>48760</v>
      </c>
      <c r="Q8" s="242">
        <v>49125</v>
      </c>
      <c r="R8" s="242">
        <v>49490</v>
      </c>
      <c r="S8" s="242">
        <v>49856</v>
      </c>
    </row>
    <row r="9" spans="6:19" x14ac:dyDescent="0.25">
      <c r="H9" s="23">
        <f>IF(H$8&gt;365,(H$8-$G$8)/365,0)</f>
        <v>-1.1397260273972603</v>
      </c>
      <c r="I9" s="23">
        <f>IF(I$8&gt;365,(I$8-$G$8)/365,0)</f>
        <v>-0.13972602739726028</v>
      </c>
      <c r="J9" s="23">
        <f t="shared" ref="J9:S9" si="1">IF(J$8&gt;365,(J$8-$G$8)/365,0)</f>
        <v>0.86027397260273974</v>
      </c>
      <c r="K9" s="23">
        <f t="shared" si="1"/>
        <v>1.8630136986301369</v>
      </c>
      <c r="L9" s="23">
        <f t="shared" si="1"/>
        <v>2.8630136986301369</v>
      </c>
      <c r="M9" s="23">
        <f t="shared" si="1"/>
        <v>3.8630136986301369</v>
      </c>
      <c r="N9" s="23">
        <f t="shared" si="1"/>
        <v>4.8630136986301373</v>
      </c>
      <c r="O9" s="23">
        <f t="shared" si="1"/>
        <v>5.8657534246575347</v>
      </c>
      <c r="P9" s="23">
        <f t="shared" si="1"/>
        <v>6.8657534246575347</v>
      </c>
      <c r="Q9" s="23">
        <f t="shared" si="1"/>
        <v>7.8657534246575347</v>
      </c>
      <c r="R9" s="23">
        <f t="shared" si="1"/>
        <v>8.8657534246575338</v>
      </c>
      <c r="S9" s="23">
        <f t="shared" si="1"/>
        <v>9.868493150684932</v>
      </c>
    </row>
    <row r="10" spans="6:19" x14ac:dyDescent="0.25">
      <c r="G10" s="158" t="s">
        <v>279</v>
      </c>
      <c r="H10" s="87"/>
      <c r="I10" s="87"/>
      <c r="J10" s="87"/>
      <c r="K10" s="87"/>
      <c r="L10" s="87"/>
      <c r="M10" s="87"/>
      <c r="N10" s="87"/>
      <c r="O10" s="87"/>
      <c r="P10" s="87"/>
      <c r="Q10" s="87"/>
      <c r="R10" s="87"/>
      <c r="S10" s="87"/>
    </row>
    <row r="11" spans="6:19" x14ac:dyDescent="0.25">
      <c r="G11" s="156">
        <v>0.08</v>
      </c>
      <c r="I11" s="23">
        <f>IF(I$9&gt;0,(1/(1+$G11)^I$9),0)</f>
        <v>0</v>
      </c>
      <c r="J11" s="23">
        <f t="shared" ref="J11:S15" si="2">IF(J$9&gt;0,(1/(1+$G11)^J$9),0)</f>
        <v>0.93593656185832086</v>
      </c>
      <c r="K11" s="23">
        <f t="shared" si="2"/>
        <v>0.86642522074942907</v>
      </c>
      <c r="L11" s="23">
        <f t="shared" si="2"/>
        <v>0.80224557476798997</v>
      </c>
      <c r="M11" s="23">
        <f t="shared" si="2"/>
        <v>0.7428199766370277</v>
      </c>
      <c r="N11" s="23">
        <f t="shared" si="2"/>
        <v>0.68779627466391435</v>
      </c>
      <c r="O11" s="23">
        <f t="shared" si="2"/>
        <v>0.63671413575627167</v>
      </c>
      <c r="P11" s="23">
        <f t="shared" si="2"/>
        <v>0.58955012570025145</v>
      </c>
      <c r="Q11" s="23">
        <f t="shared" si="2"/>
        <v>0.54587974601875133</v>
      </c>
      <c r="R11" s="23">
        <f t="shared" si="2"/>
        <v>0.5054442092766217</v>
      </c>
      <c r="S11" s="23">
        <f t="shared" si="2"/>
        <v>0.4679052282448497</v>
      </c>
    </row>
    <row r="12" spans="6:19" x14ac:dyDescent="0.25">
      <c r="G12" s="156">
        <f>+G11+1%</f>
        <v>0.09</v>
      </c>
      <c r="I12" s="23">
        <f t="shared" ref="I12:I13" si="3">IF(I$9&gt;0,(1/(1+$G12)^I$9),0)</f>
        <v>0</v>
      </c>
      <c r="J12" s="23">
        <f t="shared" si="2"/>
        <v>0.92854500464474765</v>
      </c>
      <c r="K12" s="23">
        <f t="shared" si="2"/>
        <v>0.8516750440409947</v>
      </c>
      <c r="L12" s="23">
        <f t="shared" si="2"/>
        <v>0.78135325141375667</v>
      </c>
      <c r="M12" s="23">
        <f t="shared" si="2"/>
        <v>0.71683784533372163</v>
      </c>
      <c r="N12" s="23">
        <f t="shared" si="2"/>
        <v>0.65764939938873523</v>
      </c>
      <c r="O12" s="23">
        <f t="shared" si="2"/>
        <v>0.60320563719173215</v>
      </c>
      <c r="P12" s="23">
        <f t="shared" si="2"/>
        <v>0.55339966714837796</v>
      </c>
      <c r="Q12" s="23">
        <f t="shared" si="2"/>
        <v>0.50770611664988807</v>
      </c>
      <c r="R12" s="23">
        <f t="shared" si="2"/>
        <v>0.46578542811916335</v>
      </c>
      <c r="S12" s="23">
        <f t="shared" si="2"/>
        <v>0.42722519966473221</v>
      </c>
    </row>
    <row r="13" spans="6:19" x14ac:dyDescent="0.25">
      <c r="G13" s="156">
        <f t="shared" ref="G13:G14" si="4">+G12+1%</f>
        <v>9.9999999999999992E-2</v>
      </c>
      <c r="I13" s="23">
        <f t="shared" si="3"/>
        <v>0</v>
      </c>
      <c r="J13" s="23">
        <f t="shared" si="2"/>
        <v>0.92127853014368633</v>
      </c>
      <c r="K13" s="23">
        <f t="shared" si="2"/>
        <v>0.83730726710676662</v>
      </c>
      <c r="L13" s="23">
        <f t="shared" si="2"/>
        <v>0.76118842464251502</v>
      </c>
      <c r="M13" s="23">
        <f t="shared" si="2"/>
        <v>0.69198947694774093</v>
      </c>
      <c r="N13" s="23">
        <f t="shared" si="2"/>
        <v>0.62908134267976445</v>
      </c>
      <c r="O13" s="23">
        <f t="shared" si="2"/>
        <v>0.57174281456976661</v>
      </c>
      <c r="P13" s="23">
        <f t="shared" si="2"/>
        <v>0.51976619506342414</v>
      </c>
      <c r="Q13" s="23">
        <f t="shared" si="2"/>
        <v>0.47251472278493095</v>
      </c>
      <c r="R13" s="23">
        <f>IF(R$9&gt;0,(1/(1+$G13)^R$9),0)</f>
        <v>0.42955883889539176</v>
      </c>
      <c r="S13" s="23">
        <f>IF(S$9&gt;0,(1/(1+$G13)^S$9),0)</f>
        <v>0.39040607773738123</v>
      </c>
    </row>
    <row r="14" spans="6:19" x14ac:dyDescent="0.25">
      <c r="G14" s="156">
        <f t="shared" si="4"/>
        <v>0.10999999999999999</v>
      </c>
      <c r="I14" s="23">
        <f>IF(I$9&gt;0,(1/(1+$G14)^I$9),0)</f>
        <v>0</v>
      </c>
      <c r="J14" s="23">
        <f t="shared" si="2"/>
        <v>0.91413391315267445</v>
      </c>
      <c r="K14" s="23">
        <f t="shared" si="2"/>
        <v>0.82330863361319051</v>
      </c>
      <c r="L14" s="23">
        <f t="shared" si="2"/>
        <v>0.74171948974161317</v>
      </c>
      <c r="M14" s="23">
        <f t="shared" si="2"/>
        <v>0.66821575652397591</v>
      </c>
      <c r="N14" s="23">
        <f t="shared" si="2"/>
        <v>0.60199617704862696</v>
      </c>
      <c r="O14" s="23">
        <f t="shared" si="2"/>
        <v>0.54218385603586272</v>
      </c>
      <c r="P14" s="23">
        <f t="shared" si="2"/>
        <v>0.4884539243566331</v>
      </c>
      <c r="Q14" s="23">
        <f t="shared" si="2"/>
        <v>0.44004858050147128</v>
      </c>
      <c r="R14" s="23">
        <f t="shared" si="2"/>
        <v>0.39644016261393816</v>
      </c>
      <c r="S14" s="23">
        <f t="shared" si="2"/>
        <v>0.35705119774564131</v>
      </c>
    </row>
    <row r="15" spans="6:19" x14ac:dyDescent="0.25">
      <c r="G15" s="265">
        <v>0.1</v>
      </c>
      <c r="I15" s="23">
        <f>IF(I$9&gt;0,(1/(1+$G15)^I$9),0)</f>
        <v>0</v>
      </c>
      <c r="J15" s="23">
        <f t="shared" si="2"/>
        <v>0.92127853014368633</v>
      </c>
      <c r="K15" s="23">
        <f>IF(K$9&gt;0,(1/(1+$G15)^K$9),0)</f>
        <v>0.83730726710676662</v>
      </c>
      <c r="L15" s="23">
        <f t="shared" si="2"/>
        <v>0.76118842464251502</v>
      </c>
      <c r="M15" s="23">
        <f>IF(M$9&gt;0,(1/(1+$G15)^M$9),0)</f>
        <v>0.69198947694774093</v>
      </c>
      <c r="N15" s="23">
        <f t="shared" si="2"/>
        <v>0.62908134267976445</v>
      </c>
      <c r="O15" s="23">
        <f t="shared" si="2"/>
        <v>0.57174281456976661</v>
      </c>
      <c r="P15" s="23">
        <f t="shared" si="2"/>
        <v>0.51976619506342414</v>
      </c>
      <c r="Q15" s="23">
        <f>IF(Q$9&gt;0,(1/(1+$G15)^Q$9),0)</f>
        <v>0.47251472278493095</v>
      </c>
      <c r="R15" s="23">
        <f>IF(R$9&gt;0,(1/(1+$G15)^R$9),0)</f>
        <v>0.42955883889539176</v>
      </c>
      <c r="S15" s="23">
        <f t="shared" si="2"/>
        <v>0.39040607773738123</v>
      </c>
    </row>
    <row r="17" spans="4:19" ht="15.75" thickBot="1" x14ac:dyDescent="0.3">
      <c r="D17" s="8" t="s">
        <v>558</v>
      </c>
      <c r="G17" s="22" t="s">
        <v>559</v>
      </c>
      <c r="H17" s="234">
        <f>VLOOKUP($D$17,Assumptions!$1:$1048576,MATCH('Valuation - Multiple'!H$4,Assumptions!$5:$5,0),FALSE)</f>
        <v>52.7928</v>
      </c>
      <c r="I17" s="234">
        <f>VLOOKUP($D$17,Assumptions!$1:$1048576,MATCH('Valuation - Multiple'!I$4,Assumptions!$5:$5,0),FALSE)</f>
        <v>71.577032924436963</v>
      </c>
      <c r="J17" s="234">
        <f>VLOOKUP($D$17,Assumptions!$1:$1048576,MATCH('Valuation - Multiple'!J$4,Assumptions!$5:$5,0),FALSE)</f>
        <v>106.38301662873903</v>
      </c>
      <c r="K17" s="234">
        <f>VLOOKUP($D$17,Assumptions!$1:$1048576,MATCH('Valuation - Multiple'!K$4,Assumptions!$5:$5,0),FALSE)</f>
        <v>147.16973460335481</v>
      </c>
      <c r="L17" s="234">
        <f>VLOOKUP($D$17,Assumptions!$1:$1048576,MATCH('Valuation - Multiple'!L$4,Assumptions!$5:$5,0),FALSE)</f>
        <v>197.76042628172539</v>
      </c>
      <c r="M17" s="234">
        <f>VLOOKUP($D$17,Assumptions!$1:$1048576,MATCH('Valuation - Multiple'!M$4,Assumptions!$5:$5,0),FALSE)</f>
        <v>249.41546001984597</v>
      </c>
      <c r="N17" s="234">
        <f>VLOOKUP($D$17,Assumptions!$1:$1048576,MATCH('Valuation - Multiple'!N$4,Assumptions!$5:$5,0),FALSE)</f>
        <v>301.74618913058703</v>
      </c>
      <c r="O17" s="234">
        <f>VLOOKUP($D$17,Assumptions!$1:$1048576,MATCH('Valuation - Multiple'!O$4,Assumptions!$5:$5,0),FALSE)</f>
        <v>359.64495289269064</v>
      </c>
      <c r="P17" s="234">
        <f>VLOOKUP($D$17,Assumptions!$1:$1048576,MATCH('Valuation - Multiple'!P$4,Assumptions!$5:$5,0),FALSE)</f>
        <v>423.58249040288229</v>
      </c>
      <c r="Q17" s="234">
        <f>VLOOKUP($D$17,Assumptions!$1:$1048576,MATCH('Valuation - Multiple'!Q$4,Assumptions!$5:$5,0),FALSE)</f>
        <v>476.83329686735334</v>
      </c>
      <c r="R17" s="234">
        <f>VLOOKUP($D$17,Assumptions!$1:$1048576,MATCH('Valuation - Multiple'!R$4,Assumptions!$5:$5,0),FALSE)</f>
        <v>525.69076751345995</v>
      </c>
      <c r="S17" s="234">
        <f>VLOOKUP($D$17,Assumptions!$1:$1048576,MATCH('Valuation - Multiple'!S$4,Assumptions!$5:$5,0),FALSE)</f>
        <v>575.96470771973236</v>
      </c>
    </row>
    <row r="18" spans="4:19" x14ac:dyDescent="0.25">
      <c r="D18" s="8" t="s">
        <v>561</v>
      </c>
      <c r="G18" s="157" t="s">
        <v>563</v>
      </c>
      <c r="H18" s="243">
        <f ca="1">VLOOKUP($D$18,Assumptions!$1:$1048576,MATCH('Valuation - Multiple'!H$4,Assumptions!$5:$5,0),FALSE)</f>
        <v>-281.74299999999999</v>
      </c>
      <c r="I18" s="234">
        <f ca="1">VLOOKUP($D$18,Assumptions!$1:$1048576,MATCH('Valuation - Multiple'!I$4,Assumptions!$5:$5,0),FALSE)</f>
        <v>-269.57803351407364</v>
      </c>
      <c r="J18" s="234">
        <f ca="1">VLOOKUP($D$18,Assumptions!$1:$1048576,MATCH('Valuation - Multiple'!J$4,Assumptions!$5:$5,0),FALSE)</f>
        <v>-242.88345875289414</v>
      </c>
      <c r="K18" s="234">
        <f ca="1">VLOOKUP($D$18,Assumptions!$1:$1048576,MATCH('Valuation - Multiple'!K$4,Assumptions!$5:$5,0),FALSE)</f>
        <v>-233.9267120884567</v>
      </c>
      <c r="L18" s="234">
        <f ca="1">VLOOKUP($D$18,Assumptions!$1:$1048576,MATCH('Valuation - Multiple'!L$4,Assumptions!$5:$5,0),FALSE)</f>
        <v>-229.80971387405557</v>
      </c>
      <c r="M18" s="234">
        <f ca="1">VLOOKUP($D$18,Assumptions!$1:$1048576,MATCH('Valuation - Multiple'!M$4,Assumptions!$5:$5,0),FALSE)</f>
        <v>-236.91066360781673</v>
      </c>
      <c r="N18" s="234">
        <f ca="1">VLOOKUP($D$18,Assumptions!$1:$1048576,MATCH('Valuation - Multiple'!N$4,Assumptions!$5:$5,0),FALSE)</f>
        <v>-251.67311088888908</v>
      </c>
      <c r="O18" s="234">
        <f ca="1">VLOOKUP($D$18,Assumptions!$1:$1048576,MATCH('Valuation - Multiple'!O$4,Assumptions!$5:$5,0),FALSE)</f>
        <v>-274.99607371055538</v>
      </c>
      <c r="P18" s="234">
        <f ca="1">VLOOKUP($D$18,Assumptions!$1:$1048576,MATCH('Valuation - Multiple'!P$4,Assumptions!$5:$5,0),FALSE)</f>
        <v>-308.23696655096103</v>
      </c>
      <c r="Q18" s="234">
        <f ca="1">VLOOKUP($D$18,Assumptions!$1:$1048576,MATCH('Valuation - Multiple'!Q$4,Assumptions!$5:$5,0),FALSE)</f>
        <v>-353.64244393130514</v>
      </c>
      <c r="R18" s="234">
        <f ca="1">VLOOKUP($D$18,Assumptions!$1:$1048576,MATCH('Valuation - Multiple'!R$4,Assumptions!$5:$5,0),FALSE)</f>
        <v>-406.02425389287646</v>
      </c>
      <c r="S18" s="234">
        <f ca="1">VLOOKUP($D$18,Assumptions!$1:$1048576,MATCH('Valuation - Multiple'!S$4,Assumptions!$5:$5,0),FALSE)</f>
        <v>-466.06891820254361</v>
      </c>
    </row>
    <row r="19" spans="4:19" ht="15.75" thickBot="1" x14ac:dyDescent="0.3">
      <c r="D19" s="8" t="s">
        <v>560</v>
      </c>
      <c r="G19" s="157" t="s">
        <v>562</v>
      </c>
      <c r="H19" s="244">
        <f>VLOOKUP($D$19,Assumptions!$1:$1048576,MATCH('Valuation - Multiple'!H$4,Assumptions!$5:$5,0),FALSE)</f>
        <v>105.90498599999999</v>
      </c>
      <c r="I19" s="21">
        <f>VLOOKUP($D$19,Assumptions!$1:$1048576,MATCH('Valuation - Multiple'!I$4,Assumptions!$5:$5,0),FALSE)</f>
        <v>105.90498599999999</v>
      </c>
      <c r="J19" s="21">
        <f>VLOOKUP($D$19,Assumptions!$1:$1048576,MATCH('Valuation - Multiple'!J$4,Assumptions!$5:$5,0),FALSE)</f>
        <v>105.90498599999999</v>
      </c>
      <c r="K19" s="21">
        <f>VLOOKUP($D$19,Assumptions!$1:$1048576,MATCH('Valuation - Multiple'!K$4,Assumptions!$5:$5,0),FALSE)</f>
        <v>105.90498599999999</v>
      </c>
      <c r="L19" s="21">
        <f>VLOOKUP($D$19,Assumptions!$1:$1048576,MATCH('Valuation - Multiple'!L$4,Assumptions!$5:$5,0),FALSE)</f>
        <v>105.90498599999999</v>
      </c>
      <c r="M19" s="21">
        <f>VLOOKUP($D$19,Assumptions!$1:$1048576,MATCH('Valuation - Multiple'!M$4,Assumptions!$5:$5,0),FALSE)</f>
        <v>105.90498599999999</v>
      </c>
      <c r="N19" s="21">
        <f>VLOOKUP($D$19,Assumptions!$1:$1048576,MATCH('Valuation - Multiple'!N$4,Assumptions!$5:$5,0),FALSE)</f>
        <v>105.90498599999999</v>
      </c>
      <c r="O19" s="21">
        <f>VLOOKUP($D$19,Assumptions!$1:$1048576,MATCH('Valuation - Multiple'!O$4,Assumptions!$5:$5,0),FALSE)</f>
        <v>105.90498599999999</v>
      </c>
      <c r="P19" s="21">
        <f>VLOOKUP($D$19,Assumptions!$1:$1048576,MATCH('Valuation - Multiple'!P$4,Assumptions!$5:$5,0),FALSE)</f>
        <v>105.90498599999999</v>
      </c>
      <c r="Q19" s="21">
        <f>VLOOKUP($D$19,Assumptions!$1:$1048576,MATCH('Valuation - Multiple'!Q$4,Assumptions!$5:$5,0),FALSE)</f>
        <v>105.90498599999999</v>
      </c>
      <c r="R19" s="21">
        <f>VLOOKUP($D$19,Assumptions!$1:$1048576,MATCH('Valuation - Multiple'!R$4,Assumptions!$5:$5,0),FALSE)</f>
        <v>105.90498599999999</v>
      </c>
      <c r="S19" s="21">
        <f>VLOOKUP($D$19,Assumptions!$1:$1048576,MATCH('Valuation - Multiple'!S$4,Assumptions!$5:$5,0),FALSE)</f>
        <v>105.90498599999999</v>
      </c>
    </row>
    <row r="20" spans="4:19" x14ac:dyDescent="0.25">
      <c r="G20" s="157"/>
    </row>
    <row r="21" spans="4:19" x14ac:dyDescent="0.25">
      <c r="G21" s="239"/>
      <c r="I21" s="86" t="s">
        <v>564</v>
      </c>
      <c r="J21" s="86"/>
      <c r="K21" s="86"/>
      <c r="L21" s="86"/>
      <c r="M21" s="86"/>
      <c r="N21" s="86"/>
      <c r="O21" s="86"/>
      <c r="P21" s="86"/>
      <c r="Q21" s="86"/>
      <c r="R21" s="86"/>
      <c r="S21" s="86"/>
    </row>
    <row r="22" spans="4:19" x14ac:dyDescent="0.25">
      <c r="G22" s="239" t="s">
        <v>557</v>
      </c>
      <c r="I22" s="158" t="str">
        <f>+I4</f>
        <v>FY26e</v>
      </c>
      <c r="J22" s="158" t="str">
        <f t="shared" ref="J22:R22" si="5">+J4</f>
        <v>FY27e</v>
      </c>
      <c r="K22" s="158" t="str">
        <f t="shared" si="5"/>
        <v>FY28e</v>
      </c>
      <c r="L22" s="158" t="str">
        <f t="shared" si="5"/>
        <v>FY29e</v>
      </c>
      <c r="M22" s="158" t="str">
        <f t="shared" si="5"/>
        <v>FY30e</v>
      </c>
      <c r="N22" s="158" t="str">
        <f t="shared" si="5"/>
        <v>FY31e</v>
      </c>
      <c r="O22" s="158" t="str">
        <f t="shared" si="5"/>
        <v>FY32e</v>
      </c>
      <c r="P22" s="158" t="str">
        <f t="shared" si="5"/>
        <v>FY33e</v>
      </c>
      <c r="Q22" s="158" t="str">
        <f t="shared" si="5"/>
        <v>FY34e</v>
      </c>
      <c r="R22" s="158" t="str">
        <f t="shared" si="5"/>
        <v>FY35e</v>
      </c>
      <c r="S22" s="158" t="str">
        <f t="shared" ref="S22" si="6">+S4</f>
        <v>FY36e</v>
      </c>
    </row>
    <row r="23" spans="4:19" x14ac:dyDescent="0.25">
      <c r="G23" s="240">
        <v>15</v>
      </c>
      <c r="I23" s="235">
        <f>$G23*I$17</f>
        <v>1073.6554938665545</v>
      </c>
      <c r="J23" s="236">
        <f t="shared" ref="J23:S31" si="7">$G23*J$17</f>
        <v>1595.7452494310855</v>
      </c>
      <c r="K23" s="236">
        <f t="shared" si="7"/>
        <v>2207.5460190503222</v>
      </c>
      <c r="L23" s="236">
        <f t="shared" si="7"/>
        <v>2966.4063942258808</v>
      </c>
      <c r="M23" s="236">
        <f t="shared" si="7"/>
        <v>3741.2319002976897</v>
      </c>
      <c r="N23" s="236">
        <f t="shared" si="7"/>
        <v>4526.1928369588059</v>
      </c>
      <c r="O23" s="236">
        <f t="shared" si="7"/>
        <v>5394.6742933903597</v>
      </c>
      <c r="P23" s="236">
        <f t="shared" si="7"/>
        <v>6353.7373560432343</v>
      </c>
      <c r="Q23" s="236">
        <f>$G23*Q$17</f>
        <v>7152.4994530103004</v>
      </c>
      <c r="R23" s="236">
        <f>$G23*R$17</f>
        <v>7885.3615127018993</v>
      </c>
      <c r="S23" s="236">
        <f>$G23*S$17</f>
        <v>8639.4706157959845</v>
      </c>
    </row>
    <row r="24" spans="4:19" x14ac:dyDescent="0.25">
      <c r="G24" s="240">
        <f>+G23+1</f>
        <v>16</v>
      </c>
      <c r="I24" s="237">
        <f t="shared" ref="I24:I31" si="8">$G24*I$17</f>
        <v>1145.2325267909914</v>
      </c>
      <c r="J24" s="238">
        <f t="shared" si="7"/>
        <v>1702.1282660598245</v>
      </c>
      <c r="K24" s="238">
        <f t="shared" si="7"/>
        <v>2354.715753653677</v>
      </c>
      <c r="L24" s="238">
        <f t="shared" si="7"/>
        <v>3164.1668205076062</v>
      </c>
      <c r="M24" s="238">
        <f t="shared" si="7"/>
        <v>3990.6473603175355</v>
      </c>
      <c r="N24" s="238">
        <f t="shared" si="7"/>
        <v>4827.9390260893924</v>
      </c>
      <c r="O24" s="238">
        <f t="shared" si="7"/>
        <v>5754.3192462830502</v>
      </c>
      <c r="P24" s="238">
        <f t="shared" si="7"/>
        <v>6777.3198464461166</v>
      </c>
      <c r="Q24" s="238">
        <f t="shared" si="7"/>
        <v>7629.3327498776534</v>
      </c>
      <c r="R24" s="238">
        <f t="shared" si="7"/>
        <v>8411.0522802153591</v>
      </c>
      <c r="S24" s="238">
        <f t="shared" si="7"/>
        <v>9215.4353235157178</v>
      </c>
    </row>
    <row r="25" spans="4:19" x14ac:dyDescent="0.25">
      <c r="G25" s="240">
        <f t="shared" ref="G25:G31" si="9">+G24+1</f>
        <v>17</v>
      </c>
      <c r="I25" s="237">
        <f t="shared" si="8"/>
        <v>1216.8095597154283</v>
      </c>
      <c r="J25" s="238">
        <f t="shared" si="7"/>
        <v>1808.5112826885634</v>
      </c>
      <c r="K25" s="238">
        <f t="shared" si="7"/>
        <v>2501.8854882570317</v>
      </c>
      <c r="L25" s="238">
        <f t="shared" si="7"/>
        <v>3361.9272467893315</v>
      </c>
      <c r="M25" s="238">
        <f t="shared" si="7"/>
        <v>4240.0628203373817</v>
      </c>
      <c r="N25" s="238">
        <f t="shared" si="7"/>
        <v>5129.685215219979</v>
      </c>
      <c r="O25" s="238">
        <f t="shared" si="7"/>
        <v>6113.9641991757408</v>
      </c>
      <c r="P25" s="238">
        <f t="shared" si="7"/>
        <v>7200.9023368489989</v>
      </c>
      <c r="Q25" s="238">
        <f t="shared" si="7"/>
        <v>8106.1660467450065</v>
      </c>
      <c r="R25" s="238">
        <f>$G25*R$17</f>
        <v>8936.7430477288199</v>
      </c>
      <c r="S25" s="238">
        <f t="shared" si="7"/>
        <v>9791.400031235451</v>
      </c>
    </row>
    <row r="26" spans="4:19" x14ac:dyDescent="0.25">
      <c r="G26" s="240">
        <f t="shared" si="9"/>
        <v>18</v>
      </c>
      <c r="I26" s="237">
        <f t="shared" si="8"/>
        <v>1288.3865926398653</v>
      </c>
      <c r="J26" s="238">
        <f t="shared" si="7"/>
        <v>1914.8942993173025</v>
      </c>
      <c r="K26" s="238">
        <f t="shared" si="7"/>
        <v>2649.0552228603865</v>
      </c>
      <c r="L26" s="238">
        <f t="shared" si="7"/>
        <v>3559.6876730710569</v>
      </c>
      <c r="M26" s="238">
        <f t="shared" si="7"/>
        <v>4489.478280357227</v>
      </c>
      <c r="N26" s="238">
        <f t="shared" si="7"/>
        <v>5431.4314043505665</v>
      </c>
      <c r="O26" s="238">
        <f t="shared" si="7"/>
        <v>6473.6091520684313</v>
      </c>
      <c r="P26" s="238">
        <f t="shared" si="7"/>
        <v>7624.4848272518811</v>
      </c>
      <c r="Q26" s="238">
        <f>$G26*Q$17</f>
        <v>8582.9993436123605</v>
      </c>
      <c r="R26" s="238">
        <f t="shared" si="7"/>
        <v>9462.4338152422788</v>
      </c>
      <c r="S26" s="238">
        <f t="shared" si="7"/>
        <v>10367.364738955182</v>
      </c>
    </row>
    <row r="27" spans="4:19" x14ac:dyDescent="0.25">
      <c r="G27" s="240">
        <f t="shared" si="9"/>
        <v>19</v>
      </c>
      <c r="I27" s="237">
        <f t="shared" si="8"/>
        <v>1359.9636255643022</v>
      </c>
      <c r="J27" s="238">
        <f t="shared" si="7"/>
        <v>2021.2773159460417</v>
      </c>
      <c r="K27" s="238">
        <f t="shared" si="7"/>
        <v>2796.2249574637412</v>
      </c>
      <c r="L27" s="238">
        <f t="shared" si="7"/>
        <v>3757.4480993527823</v>
      </c>
      <c r="M27" s="238">
        <f t="shared" si="7"/>
        <v>4738.8937403770733</v>
      </c>
      <c r="N27" s="238">
        <f t="shared" si="7"/>
        <v>5733.177593481154</v>
      </c>
      <c r="O27" s="238">
        <f t="shared" si="7"/>
        <v>6833.2541049611218</v>
      </c>
      <c r="P27" s="238">
        <f t="shared" si="7"/>
        <v>8048.0673176547634</v>
      </c>
      <c r="Q27" s="238">
        <f>$G27*Q$17</f>
        <v>9059.8326404797135</v>
      </c>
      <c r="R27" s="238">
        <f t="shared" si="7"/>
        <v>9988.1245827557395</v>
      </c>
      <c r="S27" s="238">
        <f t="shared" si="7"/>
        <v>10943.329446674914</v>
      </c>
    </row>
    <row r="28" spans="4:19" x14ac:dyDescent="0.25">
      <c r="G28" s="240">
        <f t="shared" si="9"/>
        <v>20</v>
      </c>
      <c r="I28" s="237">
        <f t="shared" si="8"/>
        <v>1431.5406584887392</v>
      </c>
      <c r="J28" s="238">
        <f t="shared" si="7"/>
        <v>2127.6603325747806</v>
      </c>
      <c r="K28" s="238">
        <f t="shared" si="7"/>
        <v>2943.394692067096</v>
      </c>
      <c r="L28" s="238">
        <f t="shared" si="7"/>
        <v>3955.2085256345076</v>
      </c>
      <c r="M28" s="238">
        <f t="shared" si="7"/>
        <v>4988.3092003969196</v>
      </c>
      <c r="N28" s="238">
        <f t="shared" si="7"/>
        <v>6034.9237826117405</v>
      </c>
      <c r="O28" s="238">
        <f t="shared" si="7"/>
        <v>7192.8990578538123</v>
      </c>
      <c r="P28" s="238">
        <f t="shared" si="7"/>
        <v>8471.6498080576457</v>
      </c>
      <c r="Q28" s="238">
        <f t="shared" si="7"/>
        <v>9536.6659373470666</v>
      </c>
      <c r="R28" s="238">
        <f t="shared" si="7"/>
        <v>10513.815350269198</v>
      </c>
      <c r="S28" s="238">
        <f t="shared" si="7"/>
        <v>11519.294154394647</v>
      </c>
    </row>
    <row r="29" spans="4:19" x14ac:dyDescent="0.25">
      <c r="G29" s="240">
        <f t="shared" si="9"/>
        <v>21</v>
      </c>
      <c r="I29" s="237">
        <f t="shared" si="8"/>
        <v>1503.1176914131763</v>
      </c>
      <c r="J29" s="238">
        <f t="shared" si="7"/>
        <v>2234.0433492035195</v>
      </c>
      <c r="K29" s="238">
        <f t="shared" si="7"/>
        <v>3090.5644266704512</v>
      </c>
      <c r="L29" s="238">
        <f t="shared" si="7"/>
        <v>4152.968951916233</v>
      </c>
      <c r="M29" s="238">
        <f t="shared" si="7"/>
        <v>5237.7246604167649</v>
      </c>
      <c r="N29" s="238">
        <f t="shared" si="7"/>
        <v>6336.6699717423271</v>
      </c>
      <c r="O29" s="238">
        <f t="shared" si="7"/>
        <v>7552.5440107465038</v>
      </c>
      <c r="P29" s="238">
        <f t="shared" si="7"/>
        <v>8895.2322984605271</v>
      </c>
      <c r="Q29" s="238">
        <f t="shared" si="7"/>
        <v>10013.49923421442</v>
      </c>
      <c r="R29" s="238">
        <f t="shared" si="7"/>
        <v>11039.506117782659</v>
      </c>
      <c r="S29" s="238">
        <f t="shared" si="7"/>
        <v>12095.25886211438</v>
      </c>
    </row>
    <row r="30" spans="4:19" x14ac:dyDescent="0.25">
      <c r="G30" s="240">
        <f t="shared" si="9"/>
        <v>22</v>
      </c>
      <c r="I30" s="237">
        <f t="shared" si="8"/>
        <v>1574.6947243376133</v>
      </c>
      <c r="J30" s="238">
        <f t="shared" si="7"/>
        <v>2340.4263658322589</v>
      </c>
      <c r="K30" s="238">
        <f t="shared" si="7"/>
        <v>3237.734161273806</v>
      </c>
      <c r="L30" s="238">
        <f t="shared" si="7"/>
        <v>4350.7293781979588</v>
      </c>
      <c r="M30" s="238">
        <f t="shared" si="7"/>
        <v>5487.1401204366111</v>
      </c>
      <c r="N30" s="238">
        <f t="shared" si="7"/>
        <v>6638.4161608729146</v>
      </c>
      <c r="O30" s="238">
        <f t="shared" si="7"/>
        <v>7912.1889636391943</v>
      </c>
      <c r="P30" s="238">
        <f t="shared" si="7"/>
        <v>9318.8147888634103</v>
      </c>
      <c r="Q30" s="238">
        <f t="shared" si="7"/>
        <v>10490.332531081773</v>
      </c>
      <c r="R30" s="238">
        <f t="shared" si="7"/>
        <v>11565.196885296118</v>
      </c>
      <c r="S30" s="238">
        <f t="shared" si="7"/>
        <v>12671.223569834112</v>
      </c>
    </row>
    <row r="31" spans="4:19" x14ac:dyDescent="0.25">
      <c r="G31" s="240">
        <f t="shared" si="9"/>
        <v>23</v>
      </c>
      <c r="I31" s="237">
        <f t="shared" si="8"/>
        <v>1646.2717572620502</v>
      </c>
      <c r="J31" s="238">
        <f t="shared" si="7"/>
        <v>2446.8093824609978</v>
      </c>
      <c r="K31" s="238">
        <f t="shared" si="7"/>
        <v>3384.9038958771607</v>
      </c>
      <c r="L31" s="238">
        <f t="shared" si="7"/>
        <v>4548.4898044796837</v>
      </c>
      <c r="M31" s="238">
        <f t="shared" si="7"/>
        <v>5736.5555804564574</v>
      </c>
      <c r="N31" s="238">
        <f t="shared" si="7"/>
        <v>6940.1623500035021</v>
      </c>
      <c r="O31" s="238">
        <f t="shared" si="7"/>
        <v>8271.8339165318848</v>
      </c>
      <c r="P31" s="238">
        <f t="shared" si="7"/>
        <v>9742.3972792662935</v>
      </c>
      <c r="Q31" s="238">
        <f t="shared" si="7"/>
        <v>10967.165827949128</v>
      </c>
      <c r="R31" s="238">
        <f t="shared" si="7"/>
        <v>12090.887652809579</v>
      </c>
      <c r="S31" s="238">
        <f t="shared" si="7"/>
        <v>13247.188277553843</v>
      </c>
    </row>
    <row r="33" spans="7:19" x14ac:dyDescent="0.25">
      <c r="G33" s="239"/>
      <c r="I33" s="86" t="s">
        <v>565</v>
      </c>
      <c r="J33" s="86"/>
      <c r="K33" s="86"/>
      <c r="L33" s="86"/>
      <c r="M33" s="86"/>
      <c r="N33" s="86"/>
      <c r="O33" s="86"/>
      <c r="P33" s="86"/>
      <c r="Q33" s="86"/>
      <c r="R33" s="86"/>
      <c r="S33" s="86"/>
    </row>
    <row r="34" spans="7:19" x14ac:dyDescent="0.25">
      <c r="G34" s="239" t="s">
        <v>557</v>
      </c>
      <c r="I34" s="158" t="str">
        <f>+I22</f>
        <v>FY26e</v>
      </c>
      <c r="J34" s="158" t="str">
        <f t="shared" ref="J34:R34" si="10">+J22</f>
        <v>FY27e</v>
      </c>
      <c r="K34" s="158" t="str">
        <f t="shared" si="10"/>
        <v>FY28e</v>
      </c>
      <c r="L34" s="158" t="str">
        <f t="shared" si="10"/>
        <v>FY29e</v>
      </c>
      <c r="M34" s="158" t="str">
        <f t="shared" si="10"/>
        <v>FY30e</v>
      </c>
      <c r="N34" s="158" t="str">
        <f t="shared" si="10"/>
        <v>FY31e</v>
      </c>
      <c r="O34" s="158" t="str">
        <f t="shared" si="10"/>
        <v>FY32e</v>
      </c>
      <c r="P34" s="158" t="str">
        <f t="shared" si="10"/>
        <v>FY33e</v>
      </c>
      <c r="Q34" s="158" t="str">
        <f t="shared" si="10"/>
        <v>FY34e</v>
      </c>
      <c r="R34" s="158" t="str">
        <f t="shared" si="10"/>
        <v>FY35e</v>
      </c>
      <c r="S34" s="158" t="str">
        <f t="shared" ref="S34" si="11">+S22</f>
        <v>FY36e</v>
      </c>
    </row>
    <row r="35" spans="7:19" x14ac:dyDescent="0.25">
      <c r="G35" s="240">
        <f>G23</f>
        <v>15</v>
      </c>
      <c r="I35" s="238">
        <f>I23*I$15</f>
        <v>0</v>
      </c>
      <c r="J35" s="238">
        <f t="shared" ref="J35:R35" si="12">J23*J$15</f>
        <v>1470.1258378796406</v>
      </c>
      <c r="K35" s="238">
        <f t="shared" si="12"/>
        <v>1848.3943242234475</v>
      </c>
      <c r="L35" s="238">
        <f t="shared" si="12"/>
        <v>2257.9942100702815</v>
      </c>
      <c r="M35" s="238">
        <f t="shared" si="12"/>
        <v>2588.893105827201</v>
      </c>
      <c r="N35" s="238">
        <f t="shared" si="12"/>
        <v>2847.343467101578</v>
      </c>
      <c r="O35" s="238">
        <f t="shared" si="12"/>
        <v>3084.366264190171</v>
      </c>
      <c r="P35" s="238">
        <f t="shared" si="12"/>
        <v>3302.4578899829326</v>
      </c>
      <c r="Q35" s="238">
        <f>Q23*Q$15</f>
        <v>3379.6612962585323</v>
      </c>
      <c r="R35" s="238">
        <f t="shared" si="12"/>
        <v>3387.226735666638</v>
      </c>
      <c r="S35" s="238">
        <f t="shared" ref="S35" si="13">S23*S$15</f>
        <v>3372.9018368402681</v>
      </c>
    </row>
    <row r="36" spans="7:19" x14ac:dyDescent="0.25">
      <c r="G36" s="240">
        <f t="shared" ref="G36:G43" si="14">G24</f>
        <v>16</v>
      </c>
      <c r="I36" s="238">
        <f>I24*I$15</f>
        <v>0</v>
      </c>
      <c r="J36" s="238">
        <f t="shared" ref="J36:P37" si="15">J24*J$15</f>
        <v>1568.1342270716166</v>
      </c>
      <c r="K36" s="238">
        <f t="shared" si="15"/>
        <v>1971.6206125050105</v>
      </c>
      <c r="L36" s="238">
        <f t="shared" si="15"/>
        <v>2408.5271574083004</v>
      </c>
      <c r="M36" s="238">
        <f t="shared" si="15"/>
        <v>2761.4859795490142</v>
      </c>
      <c r="N36" s="238">
        <f t="shared" si="15"/>
        <v>3037.1663649083494</v>
      </c>
      <c r="O36" s="238">
        <f t="shared" si="15"/>
        <v>3289.9906818028489</v>
      </c>
      <c r="P36" s="238">
        <f t="shared" si="15"/>
        <v>3522.621749315128</v>
      </c>
      <c r="Q36" s="238">
        <f>Q24*Q$15</f>
        <v>3604.9720493424343</v>
      </c>
      <c r="R36" s="238">
        <f>R24*R$15</f>
        <v>3613.0418513777468</v>
      </c>
      <c r="S36" s="238">
        <f>S24*S$15</f>
        <v>3597.761959296286</v>
      </c>
    </row>
    <row r="37" spans="7:19" x14ac:dyDescent="0.25">
      <c r="G37" s="240">
        <f t="shared" si="14"/>
        <v>17</v>
      </c>
      <c r="I37" s="238">
        <f>I25*I$15</f>
        <v>0</v>
      </c>
      <c r="J37" s="238">
        <f t="shared" si="15"/>
        <v>1666.1426162635923</v>
      </c>
      <c r="K37" s="238">
        <f t="shared" si="15"/>
        <v>2094.8469007865738</v>
      </c>
      <c r="L37" s="238">
        <f t="shared" si="15"/>
        <v>2559.0601047463192</v>
      </c>
      <c r="M37" s="238">
        <f t="shared" si="15"/>
        <v>2934.0788532708279</v>
      </c>
      <c r="N37" s="238">
        <f t="shared" si="15"/>
        <v>3226.9892627151207</v>
      </c>
      <c r="O37" s="238">
        <f t="shared" si="15"/>
        <v>3495.6150994155273</v>
      </c>
      <c r="P37" s="238">
        <f t="shared" si="15"/>
        <v>3742.7856086473234</v>
      </c>
      <c r="Q37" s="238">
        <f>Q25*Q$15</f>
        <v>3830.2828024263363</v>
      </c>
      <c r="R37" s="238">
        <f>R25*R$15</f>
        <v>3838.8569670888564</v>
      </c>
      <c r="S37" s="238">
        <f t="shared" ref="R37:S43" si="16">S25*S$15</f>
        <v>3822.6220817523044</v>
      </c>
    </row>
    <row r="38" spans="7:19" x14ac:dyDescent="0.25">
      <c r="G38" s="240">
        <f t="shared" si="14"/>
        <v>18</v>
      </c>
      <c r="I38" s="238">
        <f t="shared" ref="I38" si="17">I26*I$15</f>
        <v>0</v>
      </c>
      <c r="J38" s="238">
        <f t="shared" ref="J38" si="18">J26*J$15</f>
        <v>1764.1510054555686</v>
      </c>
      <c r="K38" s="238">
        <f t="shared" ref="K38" si="19">K26*K$15</f>
        <v>2218.0731890681368</v>
      </c>
      <c r="L38" s="238">
        <f t="shared" ref="L38" si="20">L26*L$15</f>
        <v>2709.5930520843376</v>
      </c>
      <c r="M38" s="238">
        <f>M26*M$15</f>
        <v>3106.6717269926412</v>
      </c>
      <c r="N38" s="238">
        <f t="shared" ref="N38" si="21">N26*N$15</f>
        <v>3416.812160521893</v>
      </c>
      <c r="O38" s="238">
        <f t="shared" ref="O38" si="22">O26*O$15</f>
        <v>3701.2395170282052</v>
      </c>
      <c r="P38" s="238">
        <f t="shared" ref="P38:Q43" si="23">P26*P$15</f>
        <v>3962.9494679795189</v>
      </c>
      <c r="Q38" s="238">
        <f t="shared" si="23"/>
        <v>4055.5935555102387</v>
      </c>
      <c r="R38" s="238">
        <f>R26*R$15</f>
        <v>4064.6720827999652</v>
      </c>
      <c r="S38" s="238">
        <f t="shared" si="16"/>
        <v>4047.4822042083219</v>
      </c>
    </row>
    <row r="39" spans="7:19" x14ac:dyDescent="0.25">
      <c r="G39" s="240">
        <f t="shared" si="14"/>
        <v>19</v>
      </c>
      <c r="I39" s="238">
        <f t="shared" ref="I39" si="24">I27*I$15</f>
        <v>0</v>
      </c>
      <c r="J39" s="238">
        <f t="shared" ref="J39" si="25">J27*J$15</f>
        <v>1862.1593946475448</v>
      </c>
      <c r="K39" s="238">
        <f t="shared" ref="K39" si="26">K27*K$15</f>
        <v>2341.2994773496998</v>
      </c>
      <c r="L39" s="238">
        <f t="shared" ref="L39" si="27">L27*L$15</f>
        <v>2860.1259994223565</v>
      </c>
      <c r="M39" s="238">
        <f t="shared" ref="M39" si="28">M27*M$15</f>
        <v>3279.2646007144544</v>
      </c>
      <c r="N39" s="238">
        <f t="shared" ref="N39" si="29">N27*N$15</f>
        <v>3606.6350583286653</v>
      </c>
      <c r="O39" s="238">
        <f t="shared" ref="O39" si="30">O27*O$15</f>
        <v>3906.8639346408831</v>
      </c>
      <c r="P39" s="238">
        <f t="shared" si="23"/>
        <v>4183.1133273117148</v>
      </c>
      <c r="Q39" s="238">
        <f>Q27*Q$15</f>
        <v>4280.9043085941412</v>
      </c>
      <c r="R39" s="238">
        <f t="shared" si="16"/>
        <v>4290.4871985110749</v>
      </c>
      <c r="S39" s="238">
        <f t="shared" si="16"/>
        <v>4272.3423266643395</v>
      </c>
    </row>
    <row r="40" spans="7:19" x14ac:dyDescent="0.25">
      <c r="G40" s="240">
        <f t="shared" si="14"/>
        <v>20</v>
      </c>
      <c r="I40" s="238">
        <f t="shared" ref="I40" si="31">I28*I$15</f>
        <v>0</v>
      </c>
      <c r="J40" s="238">
        <f t="shared" ref="J40" si="32">J28*J$15</f>
        <v>1960.1677838395206</v>
      </c>
      <c r="K40" s="238">
        <f t="shared" ref="K40" si="33">K28*K$15</f>
        <v>2464.5257656312629</v>
      </c>
      <c r="L40" s="238">
        <f t="shared" ref="L40" si="34">L28*L$15</f>
        <v>3010.6589467603753</v>
      </c>
      <c r="M40" s="238">
        <f t="shared" ref="M40" si="35">M28*M$15</f>
        <v>3451.8574744362681</v>
      </c>
      <c r="N40" s="238">
        <f t="shared" ref="N40" si="36">N28*N$15</f>
        <v>3796.4579561354367</v>
      </c>
      <c r="O40" s="238">
        <f t="shared" ref="O40" si="37">O28*O$15</f>
        <v>4112.4883522535611</v>
      </c>
      <c r="P40" s="238">
        <f t="shared" si="23"/>
        <v>4403.2771866439098</v>
      </c>
      <c r="Q40" s="238">
        <f>Q28*Q$15</f>
        <v>4506.2150616780427</v>
      </c>
      <c r="R40" s="238">
        <f t="shared" si="16"/>
        <v>4516.3023142221837</v>
      </c>
      <c r="S40" s="238">
        <f t="shared" si="16"/>
        <v>4497.2024491203574</v>
      </c>
    </row>
    <row r="41" spans="7:19" x14ac:dyDescent="0.25">
      <c r="G41" s="240">
        <f t="shared" si="14"/>
        <v>21</v>
      </c>
      <c r="I41" s="238">
        <f t="shared" ref="I41" si="38">I29*I$15</f>
        <v>0</v>
      </c>
      <c r="J41" s="238">
        <f t="shared" ref="J41" si="39">J29*J$15</f>
        <v>2058.1761730314965</v>
      </c>
      <c r="K41" s="238">
        <f t="shared" ref="K41" si="40">K29*K$15</f>
        <v>2587.7520539128263</v>
      </c>
      <c r="L41" s="238">
        <f t="shared" ref="L41" si="41">L29*L$15</f>
        <v>3161.1918940983942</v>
      </c>
      <c r="M41" s="238">
        <f t="shared" ref="M41" si="42">M29*M$15</f>
        <v>3624.4503481580809</v>
      </c>
      <c r="N41" s="238">
        <f t="shared" ref="N41" si="43">N29*N$15</f>
        <v>3986.2808539422081</v>
      </c>
      <c r="O41" s="238">
        <f t="shared" ref="O41" si="44">O29*O$15</f>
        <v>4318.1127698662394</v>
      </c>
      <c r="P41" s="238">
        <f t="shared" si="23"/>
        <v>4623.4410459761048</v>
      </c>
      <c r="Q41" s="238">
        <f t="shared" si="23"/>
        <v>4731.5258147619452</v>
      </c>
      <c r="R41" s="238">
        <f t="shared" si="16"/>
        <v>4742.1174299332934</v>
      </c>
      <c r="S41" s="238">
        <f t="shared" si="16"/>
        <v>4722.0625715763763</v>
      </c>
    </row>
    <row r="42" spans="7:19" x14ac:dyDescent="0.25">
      <c r="G42" s="240">
        <f t="shared" si="14"/>
        <v>22</v>
      </c>
      <c r="I42" s="238">
        <f t="shared" ref="I42" si="45">I30*I$15</f>
        <v>0</v>
      </c>
      <c r="J42" s="238">
        <f t="shared" ref="J42" si="46">J30*J$15</f>
        <v>2156.1845622234728</v>
      </c>
      <c r="K42" s="238">
        <f t="shared" ref="K42" si="47">K30*K$15</f>
        <v>2710.9783421943898</v>
      </c>
      <c r="L42" s="238">
        <f t="shared" ref="L42" si="48">L30*L$15</f>
        <v>3311.724841436413</v>
      </c>
      <c r="M42" s="238">
        <f t="shared" ref="M42" si="49">M30*M$15</f>
        <v>3797.0432218798946</v>
      </c>
      <c r="N42" s="238">
        <f t="shared" ref="N42" si="50">N30*N$15</f>
        <v>4176.1037517489804</v>
      </c>
      <c r="O42" s="238">
        <f t="shared" ref="O42" si="51">O30*O$15</f>
        <v>4523.7371874789178</v>
      </c>
      <c r="P42" s="238">
        <f t="shared" si="23"/>
        <v>4843.6049053083007</v>
      </c>
      <c r="Q42" s="238">
        <f t="shared" si="23"/>
        <v>4956.8365678458467</v>
      </c>
      <c r="R42" s="238">
        <f t="shared" si="16"/>
        <v>4967.9325456444021</v>
      </c>
      <c r="S42" s="238">
        <f t="shared" si="16"/>
        <v>4946.9226940323933</v>
      </c>
    </row>
    <row r="43" spans="7:19" x14ac:dyDescent="0.25">
      <c r="G43" s="240">
        <f t="shared" si="14"/>
        <v>23</v>
      </c>
      <c r="I43" s="238">
        <f t="shared" ref="I43" si="52">I31*I$15</f>
        <v>0</v>
      </c>
      <c r="J43" s="238">
        <f t="shared" ref="J43" si="53">J31*J$15</f>
        <v>2254.192951415449</v>
      </c>
      <c r="K43" s="238">
        <f t="shared" ref="K43" si="54">K31*K$15</f>
        <v>2834.2046304759529</v>
      </c>
      <c r="L43" s="238">
        <f t="shared" ref="L43" si="55">L31*L$15</f>
        <v>3462.2577887744314</v>
      </c>
      <c r="M43" s="238">
        <f t="shared" ref="M43" si="56">M31*M$15</f>
        <v>3969.6360956017083</v>
      </c>
      <c r="N43" s="238">
        <f t="shared" ref="N43" si="57">N31*N$15</f>
        <v>4365.9266495557522</v>
      </c>
      <c r="O43" s="238">
        <f t="shared" ref="O43" si="58">O31*O$15</f>
        <v>4729.3616050915962</v>
      </c>
      <c r="P43" s="238">
        <f t="shared" si="23"/>
        <v>5063.7687646404966</v>
      </c>
      <c r="Q43" s="238">
        <f t="shared" si="23"/>
        <v>5182.1473209297501</v>
      </c>
      <c r="R43" s="238">
        <f t="shared" si="16"/>
        <v>5193.7476613555109</v>
      </c>
      <c r="S43" s="238">
        <f t="shared" si="16"/>
        <v>5171.7828164884113</v>
      </c>
    </row>
    <row r="45" spans="7:19" x14ac:dyDescent="0.25">
      <c r="G45" s="239"/>
      <c r="I45" s="86" t="s">
        <v>568</v>
      </c>
      <c r="J45" s="86"/>
      <c r="K45" s="86"/>
      <c r="L45" s="86"/>
      <c r="M45" s="86"/>
      <c r="N45" s="86"/>
      <c r="O45" s="86"/>
      <c r="P45" s="86"/>
      <c r="Q45" s="86"/>
      <c r="R45" s="86"/>
      <c r="S45" s="86"/>
    </row>
    <row r="46" spans="7:19" ht="15.75" thickBot="1" x14ac:dyDescent="0.3">
      <c r="G46" s="239" t="s">
        <v>557</v>
      </c>
      <c r="I46" s="158" t="str">
        <f>+I34</f>
        <v>FY26e</v>
      </c>
      <c r="J46" s="158" t="str">
        <f t="shared" ref="J46:R46" si="59">+J34</f>
        <v>FY27e</v>
      </c>
      <c r="K46" s="158" t="str">
        <f t="shared" si="59"/>
        <v>FY28e</v>
      </c>
      <c r="L46" s="158" t="str">
        <f t="shared" si="59"/>
        <v>FY29e</v>
      </c>
      <c r="M46" s="158" t="str">
        <f t="shared" si="59"/>
        <v>FY30e</v>
      </c>
      <c r="N46" s="158" t="str">
        <f t="shared" si="59"/>
        <v>FY31e</v>
      </c>
      <c r="O46" s="158" t="str">
        <f t="shared" si="59"/>
        <v>FY32e</v>
      </c>
      <c r="P46" s="158" t="str">
        <f t="shared" si="59"/>
        <v>FY33e</v>
      </c>
      <c r="Q46" s="158" t="str">
        <f t="shared" si="59"/>
        <v>FY34e</v>
      </c>
      <c r="R46" s="158" t="str">
        <f t="shared" si="59"/>
        <v>FY35e</v>
      </c>
      <c r="S46" s="158" t="str">
        <f t="shared" ref="S46" si="60">+S34</f>
        <v>FY36e</v>
      </c>
    </row>
    <row r="47" spans="7:19" x14ac:dyDescent="0.25">
      <c r="G47" s="240">
        <f>G35</f>
        <v>15</v>
      </c>
      <c r="I47" s="235">
        <f ca="1">(I35-$H$18)/$H$19</f>
        <v>2.6603374462463929</v>
      </c>
      <c r="J47" s="236">
        <f t="shared" ref="J47:P47" ca="1" si="61">(J35-$H$18)/$H$19</f>
        <v>16.541891973619077</v>
      </c>
      <c r="K47" s="236">
        <f t="shared" ca="1" si="61"/>
        <v>20.113664187854646</v>
      </c>
      <c r="L47" s="236">
        <f t="shared" ca="1" si="61"/>
        <v>23.981280825345479</v>
      </c>
      <c r="M47" s="236">
        <f t="shared" ca="1" si="61"/>
        <v>27.105769182833384</v>
      </c>
      <c r="N47" s="236">
        <f t="shared" ca="1" si="61"/>
        <v>29.546167610102682</v>
      </c>
      <c r="O47" s="236">
        <f t="shared" ca="1" si="61"/>
        <v>31.784237846839158</v>
      </c>
      <c r="P47" s="236">
        <f t="shared" ca="1" si="61"/>
        <v>33.843551898330198</v>
      </c>
      <c r="Q47" s="236">
        <f t="shared" ref="Q47:Q52" ca="1" si="62">(Q35-$H$18)/$H$19</f>
        <v>34.572539353893426</v>
      </c>
      <c r="R47" s="491">
        <f ca="1">(R35-$I$18)/$I$19</f>
        <v>34.529108659536689</v>
      </c>
      <c r="S47" s="258">
        <f ca="1">(S35-$H$18)/$H$19</f>
        <v>34.508713658111134</v>
      </c>
    </row>
    <row r="48" spans="7:19" x14ac:dyDescent="0.25">
      <c r="G48" s="240">
        <f t="shared" ref="G48:G55" si="63">G36</f>
        <v>16</v>
      </c>
      <c r="I48" s="237">
        <f t="shared" ref="I48:P48" ca="1" si="64">(I36-$H$18)/$H$19</f>
        <v>2.6603374462463929</v>
      </c>
      <c r="J48" s="238">
        <f t="shared" ca="1" si="64"/>
        <v>17.467328942110587</v>
      </c>
      <c r="K48" s="238">
        <f t="shared" ca="1" si="64"/>
        <v>21.277219303961864</v>
      </c>
      <c r="L48" s="238">
        <f t="shared" ca="1" si="64"/>
        <v>25.402677050618752</v>
      </c>
      <c r="M48" s="238">
        <f t="shared" ca="1" si="64"/>
        <v>28.735464631939184</v>
      </c>
      <c r="N48" s="238">
        <f t="shared" ca="1" si="64"/>
        <v>31.338556287693098</v>
      </c>
      <c r="O48" s="238">
        <f t="shared" ca="1" si="64"/>
        <v>33.725831206878674</v>
      </c>
      <c r="P48" s="238">
        <f t="shared" ca="1" si="64"/>
        <v>35.922432861802449</v>
      </c>
      <c r="Q48" s="238">
        <f t="shared" ca="1" si="62"/>
        <v>36.700019481069894</v>
      </c>
      <c r="R48" s="492">
        <f t="shared" ref="R48:R55" ca="1" si="65">(R36-$I$18)/$I$19</f>
        <v>36.661351193529455</v>
      </c>
      <c r="S48" s="259">
        <f ca="1">(S36-$H$18)/$H$19</f>
        <v>36.631938738902114</v>
      </c>
    </row>
    <row r="49" spans="7:19" ht="15.75" thickBot="1" x14ac:dyDescent="0.3">
      <c r="G49" s="240">
        <f t="shared" si="63"/>
        <v>17</v>
      </c>
      <c r="I49" s="237">
        <f t="shared" ref="I49:P49" ca="1" si="66">(I37-$H$18)/$H$19</f>
        <v>2.6603374462463929</v>
      </c>
      <c r="J49" s="238">
        <f t="shared" ca="1" si="66"/>
        <v>18.392765910602098</v>
      </c>
      <c r="K49" s="238">
        <f t="shared" ca="1" si="66"/>
        <v>22.440774420069079</v>
      </c>
      <c r="L49" s="238">
        <f t="shared" ca="1" si="66"/>
        <v>26.824073275892026</v>
      </c>
      <c r="M49" s="238">
        <f t="shared" ca="1" si="66"/>
        <v>30.365160081044987</v>
      </c>
      <c r="N49" s="238">
        <f t="shared" ca="1" si="66"/>
        <v>33.130944965283511</v>
      </c>
      <c r="O49" s="238">
        <f t="shared" ca="1" si="66"/>
        <v>35.667424566918193</v>
      </c>
      <c r="P49" s="238">
        <f t="shared" ca="1" si="66"/>
        <v>38.0013138252747</v>
      </c>
      <c r="Q49" s="238">
        <f t="shared" ca="1" si="62"/>
        <v>38.827499608246363</v>
      </c>
      <c r="R49" s="492">
        <f ca="1">(R37-$I$18)/$I$19</f>
        <v>38.793593727522236</v>
      </c>
      <c r="S49" s="259">
        <f t="shared" ref="S49" ca="1" si="67">(S37-$H$18)/$H$19</f>
        <v>38.755163819693109</v>
      </c>
    </row>
    <row r="50" spans="7:19" ht="15.75" thickBot="1" x14ac:dyDescent="0.3">
      <c r="G50" s="255">
        <f t="shared" si="63"/>
        <v>18</v>
      </c>
      <c r="H50" s="155"/>
      <c r="I50" s="256">
        <f t="shared" ref="I50:P50" ca="1" si="68">(I38-$H$18)/$H$19</f>
        <v>2.6603374462463929</v>
      </c>
      <c r="J50" s="257">
        <f t="shared" ca="1" si="68"/>
        <v>19.318202879093612</v>
      </c>
      <c r="K50" s="257">
        <f t="shared" ca="1" si="68"/>
        <v>23.604329536176294</v>
      </c>
      <c r="L50" s="257">
        <f t="shared" ca="1" si="68"/>
        <v>28.245469501165296</v>
      </c>
      <c r="M50" s="257">
        <f t="shared" ca="1" si="68"/>
        <v>31.994855530150783</v>
      </c>
      <c r="N50" s="257">
        <f t="shared" ca="1" si="68"/>
        <v>34.923333642873935</v>
      </c>
      <c r="O50" s="257">
        <f t="shared" ca="1" si="68"/>
        <v>37.609017926957712</v>
      </c>
      <c r="P50" s="257">
        <f t="shared" ca="1" si="68"/>
        <v>40.080194788746958</v>
      </c>
      <c r="Q50" s="257">
        <f t="shared" ca="1" si="62"/>
        <v>40.954979735422839</v>
      </c>
      <c r="R50" s="492">
        <f t="shared" ca="1" si="65"/>
        <v>40.925836261515002</v>
      </c>
      <c r="S50" s="260">
        <f t="shared" ref="S50" ca="1" si="69">(S38-$H$18)/$H$19</f>
        <v>40.878388900484083</v>
      </c>
    </row>
    <row r="51" spans="7:19" ht="15.75" thickBot="1" x14ac:dyDescent="0.3">
      <c r="G51" s="255">
        <f t="shared" si="63"/>
        <v>19</v>
      </c>
      <c r="H51" s="155"/>
      <c r="I51" s="256">
        <f ca="1">(I39-$H$18)/$H$19</f>
        <v>2.6603374462463929</v>
      </c>
      <c r="J51" s="257">
        <f t="shared" ref="J51:P51" ca="1" si="70">(J39-$H$18)/$H$19</f>
        <v>20.243639847585129</v>
      </c>
      <c r="K51" s="257">
        <f t="shared" ca="1" si="70"/>
        <v>24.767884652283509</v>
      </c>
      <c r="L51" s="257">
        <f t="shared" ca="1" si="70"/>
        <v>29.666865726438569</v>
      </c>
      <c r="M51" s="257">
        <f t="shared" ca="1" si="70"/>
        <v>33.624550979256583</v>
      </c>
      <c r="N51" s="257">
        <f t="shared" ca="1" si="70"/>
        <v>36.715722320464359</v>
      </c>
      <c r="O51" s="257">
        <f t="shared" ca="1" si="70"/>
        <v>39.550611286997224</v>
      </c>
      <c r="P51" s="257">
        <f t="shared" ca="1" si="70"/>
        <v>42.159075752219216</v>
      </c>
      <c r="Q51" s="257">
        <f t="shared" ca="1" si="62"/>
        <v>43.082459862599308</v>
      </c>
      <c r="R51" s="492">
        <f t="shared" ca="1" si="65"/>
        <v>43.058078795507782</v>
      </c>
      <c r="S51" s="260">
        <f t="shared" ref="S51" ca="1" si="71">(S39-$H$18)/$H$19</f>
        <v>43.001613981275064</v>
      </c>
    </row>
    <row r="52" spans="7:19" ht="15.75" thickBot="1" x14ac:dyDescent="0.3">
      <c r="G52" s="261">
        <f t="shared" si="63"/>
        <v>20</v>
      </c>
      <c r="H52" s="154"/>
      <c r="I52" s="262">
        <f t="shared" ref="I52:P52" ca="1" si="72">(I40-$H$18)/$H$19</f>
        <v>2.6603374462463929</v>
      </c>
      <c r="J52" s="263">
        <f t="shared" ca="1" si="72"/>
        <v>21.169076816076636</v>
      </c>
      <c r="K52" s="263">
        <f t="shared" ca="1" si="72"/>
        <v>25.931439768390725</v>
      </c>
      <c r="L52" s="263">
        <f t="shared" ca="1" si="72"/>
        <v>31.088261951711843</v>
      </c>
      <c r="M52" s="263">
        <f t="shared" ca="1" si="72"/>
        <v>35.254246428362386</v>
      </c>
      <c r="N52" s="263">
        <f t="shared" ca="1" si="72"/>
        <v>38.508110998054775</v>
      </c>
      <c r="O52" s="263">
        <f t="shared" ca="1" si="72"/>
        <v>41.49220464703675</v>
      </c>
      <c r="P52" s="263">
        <f t="shared" ca="1" si="72"/>
        <v>44.23795671569146</v>
      </c>
      <c r="Q52" s="263">
        <f t="shared" ca="1" si="62"/>
        <v>45.209939989775776</v>
      </c>
      <c r="R52" s="492">
        <f t="shared" ca="1" si="65"/>
        <v>45.190321329500556</v>
      </c>
      <c r="S52" s="264">
        <f t="shared" ref="S52" ca="1" si="73">(S40-$H$18)/$H$19</f>
        <v>45.124839062066052</v>
      </c>
    </row>
    <row r="53" spans="7:19" x14ac:dyDescent="0.25">
      <c r="G53" s="240">
        <f t="shared" si="63"/>
        <v>21</v>
      </c>
      <c r="I53" s="237">
        <f t="shared" ref="I53:Q53" ca="1" si="74">(I41-$H$18)/$H$19</f>
        <v>2.6603374462463929</v>
      </c>
      <c r="J53" s="238">
        <f t="shared" ca="1" si="74"/>
        <v>22.094513784568147</v>
      </c>
      <c r="K53" s="238">
        <f t="shared" ca="1" si="74"/>
        <v>27.094994884497943</v>
      </c>
      <c r="L53" s="238">
        <f t="shared" ca="1" si="74"/>
        <v>32.50965817698512</v>
      </c>
      <c r="M53" s="238">
        <f t="shared" ca="1" si="74"/>
        <v>36.883941877468175</v>
      </c>
      <c r="N53" s="238">
        <f t="shared" ca="1" si="74"/>
        <v>40.300499675645192</v>
      </c>
      <c r="O53" s="238">
        <f t="shared" ca="1" si="74"/>
        <v>43.43379800707627</v>
      </c>
      <c r="P53" s="238">
        <f t="shared" ca="1" si="74"/>
        <v>46.316837679163712</v>
      </c>
      <c r="Q53" s="238">
        <f t="shared" ca="1" si="74"/>
        <v>47.337420116952245</v>
      </c>
      <c r="R53" s="492">
        <f t="shared" ca="1" si="65"/>
        <v>47.322563863493329</v>
      </c>
      <c r="S53" s="259">
        <f t="shared" ref="S53" ca="1" si="75">(S41-$H$18)/$H$19</f>
        <v>47.248064142857039</v>
      </c>
    </row>
    <row r="54" spans="7:19" x14ac:dyDescent="0.25">
      <c r="G54" s="240">
        <f t="shared" si="63"/>
        <v>22</v>
      </c>
      <c r="I54" s="237">
        <f t="shared" ref="I54:Q54" ca="1" si="76">(I42-$H$18)/$H$19</f>
        <v>2.6603374462463929</v>
      </c>
      <c r="J54" s="238">
        <f t="shared" ca="1" si="76"/>
        <v>23.019950753059661</v>
      </c>
      <c r="K54" s="238">
        <f t="shared" ca="1" si="76"/>
        <v>28.258550000605165</v>
      </c>
      <c r="L54" s="238">
        <f t="shared" ca="1" si="76"/>
        <v>33.93105440225839</v>
      </c>
      <c r="M54" s="238">
        <f t="shared" ca="1" si="76"/>
        <v>38.513637326573978</v>
      </c>
      <c r="N54" s="238">
        <f t="shared" ca="1" si="76"/>
        <v>42.092888353235615</v>
      </c>
      <c r="O54" s="238">
        <f t="shared" ca="1" si="76"/>
        <v>45.375391367115789</v>
      </c>
      <c r="P54" s="238">
        <f t="shared" ca="1" si="76"/>
        <v>48.39571864263597</v>
      </c>
      <c r="Q54" s="238">
        <f t="shared" ca="1" si="76"/>
        <v>49.464900244128707</v>
      </c>
      <c r="R54" s="492">
        <f t="shared" ca="1" si="65"/>
        <v>49.454806397486102</v>
      </c>
      <c r="S54" s="259">
        <f t="shared" ref="S54" ca="1" si="77">(S42-$H$18)/$H$19</f>
        <v>49.371289223648013</v>
      </c>
    </row>
    <row r="55" spans="7:19" ht="15.75" thickBot="1" x14ac:dyDescent="0.3">
      <c r="G55" s="240">
        <f t="shared" si="63"/>
        <v>23</v>
      </c>
      <c r="I55" s="237">
        <f t="shared" ref="I55:Q55" ca="1" si="78">(I43-$H$18)/$H$19</f>
        <v>2.6603374462463929</v>
      </c>
      <c r="J55" s="238">
        <f t="shared" ca="1" si="78"/>
        <v>23.945387721551175</v>
      </c>
      <c r="K55" s="238">
        <f t="shared" ca="1" si="78"/>
        <v>29.42210511671238</v>
      </c>
      <c r="L55" s="238">
        <f t="shared" ca="1" si="78"/>
        <v>35.35245062753166</v>
      </c>
      <c r="M55" s="238">
        <f t="shared" ca="1" si="78"/>
        <v>40.143332775679781</v>
      </c>
      <c r="N55" s="238">
        <f t="shared" ca="1" si="78"/>
        <v>43.885277030826039</v>
      </c>
      <c r="O55" s="238">
        <f t="shared" ca="1" si="78"/>
        <v>47.316984727155308</v>
      </c>
      <c r="P55" s="238">
        <f t="shared" ca="1" si="78"/>
        <v>50.474599606108228</v>
      </c>
      <c r="Q55" s="238">
        <f t="shared" ca="1" si="78"/>
        <v>51.59238037130519</v>
      </c>
      <c r="R55" s="493">
        <f t="shared" ca="1" si="65"/>
        <v>51.587048931478868</v>
      </c>
      <c r="S55" s="259">
        <f t="shared" ref="S55" ca="1" si="79">(S43-$H$18)/$H$19</f>
        <v>51.494514304439001</v>
      </c>
    </row>
  </sheetData>
  <phoneticPr fontId="33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32918-5300-4007-96F0-B3B7BB4261B9}">
  <sheetPr codeName="Sheet7">
    <tabColor rgb="FFCCECFF"/>
  </sheetPr>
  <dimension ref="B1:BG148"/>
  <sheetViews>
    <sheetView showGridLines="0" topLeftCell="F101" zoomScaleNormal="100" workbookViewId="0">
      <selection activeCell="AD114" sqref="AD114"/>
    </sheetView>
  </sheetViews>
  <sheetFormatPr defaultRowHeight="15" x14ac:dyDescent="0.25"/>
  <cols>
    <col min="2" max="2" width="18.7109375" customWidth="1"/>
    <col min="5" max="5" width="29.7109375" customWidth="1"/>
    <col min="6" max="12" width="7.85546875" customWidth="1"/>
    <col min="13" max="13" width="19.5703125" customWidth="1"/>
    <col min="14" max="14" width="9.42578125" customWidth="1"/>
    <col min="15" max="15" width="15.28515625" customWidth="1"/>
    <col min="17" max="17" width="8.85546875" customWidth="1"/>
  </cols>
  <sheetData>
    <row r="1" spans="2:59" x14ac:dyDescent="0.25">
      <c r="O1" t="str">
        <f>O4</f>
        <v>FY24</v>
      </c>
      <c r="P1" t="str">
        <f t="shared" ref="P1:AH1" si="0">P4&amp;"e"</f>
        <v>FY25e</v>
      </c>
      <c r="Q1" t="str">
        <f t="shared" si="0"/>
        <v>FY26e</v>
      </c>
      <c r="R1" t="str">
        <f t="shared" si="0"/>
        <v>FY27e</v>
      </c>
      <c r="S1" t="str">
        <f t="shared" si="0"/>
        <v>FY28e</v>
      </c>
      <c r="T1" t="str">
        <f t="shared" si="0"/>
        <v>FY29e</v>
      </c>
      <c r="U1" t="str">
        <f t="shared" si="0"/>
        <v>FY30e</v>
      </c>
      <c r="V1" t="str">
        <f t="shared" si="0"/>
        <v>FY31e</v>
      </c>
      <c r="W1" t="str">
        <f t="shared" si="0"/>
        <v>FY32e</v>
      </c>
      <c r="X1" t="str">
        <f t="shared" si="0"/>
        <v>FY33e</v>
      </c>
      <c r="Y1" t="str">
        <f t="shared" si="0"/>
        <v>FY34e</v>
      </c>
      <c r="Z1" t="str">
        <f t="shared" si="0"/>
        <v>FY35e</v>
      </c>
      <c r="AA1" t="str">
        <f t="shared" si="0"/>
        <v>FY36e</v>
      </c>
      <c r="AB1" t="str">
        <f t="shared" si="0"/>
        <v>FY37e</v>
      </c>
      <c r="AC1" t="str">
        <f t="shared" si="0"/>
        <v>FY38e</v>
      </c>
      <c r="AD1" t="str">
        <f t="shared" si="0"/>
        <v>FY39e</v>
      </c>
      <c r="AE1" t="str">
        <f t="shared" si="0"/>
        <v>FY40e</v>
      </c>
      <c r="AF1" t="str">
        <f t="shared" si="0"/>
        <v>FY41e</v>
      </c>
      <c r="AG1" t="str">
        <f t="shared" si="0"/>
        <v>FY42e</v>
      </c>
      <c r="AH1" t="str">
        <f t="shared" si="0"/>
        <v>FY43e</v>
      </c>
    </row>
    <row r="3" spans="2:59" x14ac:dyDescent="0.25">
      <c r="B3" t="s">
        <v>567</v>
      </c>
      <c r="E3" s="123"/>
      <c r="F3" s="123"/>
      <c r="G3" s="123"/>
      <c r="H3" s="123"/>
      <c r="I3" s="123"/>
      <c r="J3" s="123"/>
      <c r="K3" s="123"/>
      <c r="L3" s="123"/>
      <c r="M3" s="125"/>
      <c r="N3" s="125"/>
      <c r="O3" s="125">
        <v>1</v>
      </c>
      <c r="P3" s="125">
        <v>2</v>
      </c>
      <c r="Q3" s="125">
        <v>3</v>
      </c>
      <c r="R3" s="125">
        <v>4</v>
      </c>
      <c r="S3" s="125">
        <v>5</v>
      </c>
      <c r="T3" s="125">
        <v>6</v>
      </c>
      <c r="U3" s="125">
        <v>7</v>
      </c>
      <c r="V3" s="125">
        <v>8</v>
      </c>
      <c r="W3" s="125">
        <v>9</v>
      </c>
      <c r="X3" s="125">
        <v>10</v>
      </c>
      <c r="Y3" s="125">
        <v>11</v>
      </c>
      <c r="Z3" s="125">
        <v>12</v>
      </c>
      <c r="AA3" s="125">
        <v>13</v>
      </c>
      <c r="AB3" s="125">
        <v>14</v>
      </c>
      <c r="AC3" s="125">
        <v>15</v>
      </c>
      <c r="AD3" s="125">
        <v>16</v>
      </c>
      <c r="AE3" s="125">
        <v>17</v>
      </c>
      <c r="AF3" s="125">
        <v>18</v>
      </c>
      <c r="AG3" s="125">
        <v>19</v>
      </c>
      <c r="AH3" s="125">
        <v>20</v>
      </c>
      <c r="AI3" s="125">
        <v>21</v>
      </c>
      <c r="AL3" s="125">
        <v>1</v>
      </c>
      <c r="AM3" s="125">
        <v>2</v>
      </c>
      <c r="AN3" s="125">
        <v>3</v>
      </c>
      <c r="AO3" s="125">
        <v>4</v>
      </c>
      <c r="AP3" s="125">
        <v>5</v>
      </c>
      <c r="AQ3" s="125">
        <v>6</v>
      </c>
      <c r="AR3" s="125">
        <v>7</v>
      </c>
      <c r="AS3" s="125">
        <v>8</v>
      </c>
      <c r="AT3" s="125">
        <v>9</v>
      </c>
      <c r="AU3" s="125">
        <v>10</v>
      </c>
      <c r="AV3" s="125">
        <v>11</v>
      </c>
      <c r="AW3" s="125">
        <v>12</v>
      </c>
      <c r="AX3" s="125">
        <v>13</v>
      </c>
      <c r="AY3" s="125">
        <v>14</v>
      </c>
      <c r="AZ3" s="125">
        <v>15</v>
      </c>
      <c r="BA3" s="125">
        <v>16</v>
      </c>
      <c r="BB3" s="125">
        <v>17</v>
      </c>
      <c r="BC3" s="125">
        <v>18</v>
      </c>
      <c r="BD3" s="125">
        <v>19</v>
      </c>
      <c r="BE3" s="125">
        <v>20</v>
      </c>
      <c r="BF3" s="125">
        <v>21</v>
      </c>
    </row>
    <row r="4" spans="2:59" x14ac:dyDescent="0.25">
      <c r="E4" s="124" t="s">
        <v>341</v>
      </c>
      <c r="F4" s="124" t="s">
        <v>432</v>
      </c>
      <c r="G4" s="124" t="s">
        <v>433</v>
      </c>
      <c r="H4" s="124" t="s">
        <v>434</v>
      </c>
      <c r="I4" s="124" t="s">
        <v>435</v>
      </c>
      <c r="J4" s="124" t="s">
        <v>436</v>
      </c>
      <c r="K4" s="124" t="s">
        <v>16</v>
      </c>
      <c r="L4" s="124" t="s">
        <v>17</v>
      </c>
      <c r="M4" s="125" t="s">
        <v>1</v>
      </c>
      <c r="N4" s="125" t="s">
        <v>4</v>
      </c>
      <c r="O4" s="125" t="s">
        <v>375</v>
      </c>
      <c r="P4" s="125" t="s">
        <v>376</v>
      </c>
      <c r="Q4" s="125" t="s">
        <v>377</v>
      </c>
      <c r="R4" s="125" t="s">
        <v>378</v>
      </c>
      <c r="S4" s="125" t="s">
        <v>379</v>
      </c>
      <c r="T4" s="125" t="s">
        <v>380</v>
      </c>
      <c r="U4" s="125" t="s">
        <v>381</v>
      </c>
      <c r="V4" s="125" t="s">
        <v>382</v>
      </c>
      <c r="W4" s="125" t="s">
        <v>383</v>
      </c>
      <c r="X4" s="125" t="s">
        <v>384</v>
      </c>
      <c r="Y4" s="125" t="s">
        <v>385</v>
      </c>
      <c r="Z4" s="125" t="s">
        <v>386</v>
      </c>
      <c r="AA4" s="125" t="s">
        <v>387</v>
      </c>
      <c r="AB4" s="125" t="s">
        <v>388</v>
      </c>
      <c r="AC4" s="125" t="s">
        <v>389</v>
      </c>
      <c r="AD4" s="125" t="s">
        <v>390</v>
      </c>
      <c r="AE4" s="125" t="s">
        <v>391</v>
      </c>
      <c r="AF4" s="125" t="s">
        <v>392</v>
      </c>
      <c r="AG4" s="125" t="s">
        <v>393</v>
      </c>
      <c r="AH4" s="125" t="s">
        <v>394</v>
      </c>
      <c r="AI4" s="125" t="s">
        <v>520</v>
      </c>
      <c r="AL4" s="125" t="s">
        <v>375</v>
      </c>
      <c r="AM4" s="125" t="s">
        <v>376</v>
      </c>
      <c r="AN4" s="125" t="s">
        <v>377</v>
      </c>
      <c r="AO4" s="125" t="s">
        <v>378</v>
      </c>
      <c r="AP4" s="125" t="s">
        <v>379</v>
      </c>
      <c r="AQ4" s="125" t="s">
        <v>380</v>
      </c>
      <c r="AR4" s="125" t="s">
        <v>381</v>
      </c>
      <c r="AS4" s="125" t="s">
        <v>382</v>
      </c>
      <c r="AT4" s="125" t="s">
        <v>383</v>
      </c>
      <c r="AU4" s="125" t="s">
        <v>384</v>
      </c>
      <c r="AV4" s="125" t="s">
        <v>385</v>
      </c>
      <c r="AW4" s="125" t="s">
        <v>386</v>
      </c>
      <c r="AX4" s="125" t="s">
        <v>387</v>
      </c>
      <c r="AY4" s="125" t="s">
        <v>388</v>
      </c>
      <c r="AZ4" s="125" t="s">
        <v>389</v>
      </c>
      <c r="BA4" s="125" t="s">
        <v>390</v>
      </c>
      <c r="BB4" s="125" t="s">
        <v>391</v>
      </c>
      <c r="BC4" s="125" t="s">
        <v>392</v>
      </c>
      <c r="BD4" s="125" t="s">
        <v>393</v>
      </c>
      <c r="BE4" s="125" t="s">
        <v>394</v>
      </c>
      <c r="BF4" s="125" t="s">
        <v>520</v>
      </c>
    </row>
    <row r="5" spans="2:59" x14ac:dyDescent="0.25">
      <c r="E5" s="124" t="s">
        <v>395</v>
      </c>
      <c r="F5" s="213"/>
      <c r="G5" s="213"/>
      <c r="H5" s="213"/>
      <c r="I5" s="213"/>
      <c r="J5" s="213"/>
      <c r="K5" s="213"/>
      <c r="L5" s="213"/>
      <c r="N5" s="120">
        <f>+M7</f>
        <v>104</v>
      </c>
      <c r="O5" s="120">
        <f>+N7</f>
        <v>116</v>
      </c>
      <c r="P5" s="120">
        <f t="shared" ref="P5:AI5" si="1">+O7</f>
        <v>131</v>
      </c>
      <c r="Q5" s="120">
        <f t="shared" si="1"/>
        <v>144</v>
      </c>
      <c r="R5" s="120">
        <f t="shared" si="1"/>
        <v>164</v>
      </c>
      <c r="S5" s="120">
        <f t="shared" si="1"/>
        <v>185</v>
      </c>
      <c r="T5" s="120">
        <f t="shared" si="1"/>
        <v>209</v>
      </c>
      <c r="U5" s="120">
        <f t="shared" si="1"/>
        <v>233</v>
      </c>
      <c r="V5" s="120">
        <f t="shared" si="1"/>
        <v>254</v>
      </c>
      <c r="W5" s="120">
        <f t="shared" si="1"/>
        <v>275</v>
      </c>
      <c r="X5" s="120">
        <f t="shared" si="1"/>
        <v>296</v>
      </c>
      <c r="Y5" s="120">
        <f t="shared" si="1"/>
        <v>317</v>
      </c>
      <c r="Z5" s="120">
        <f t="shared" si="1"/>
        <v>335</v>
      </c>
      <c r="AA5" s="120">
        <f t="shared" si="1"/>
        <v>353</v>
      </c>
      <c r="AB5" s="120">
        <f t="shared" si="1"/>
        <v>371</v>
      </c>
      <c r="AC5" s="120">
        <f t="shared" si="1"/>
        <v>386</v>
      </c>
      <c r="AD5" s="120">
        <f t="shared" si="1"/>
        <v>401</v>
      </c>
      <c r="AE5" s="120">
        <f t="shared" si="1"/>
        <v>416</v>
      </c>
      <c r="AF5" s="120">
        <f t="shared" si="1"/>
        <v>428</v>
      </c>
      <c r="AG5" s="120">
        <f t="shared" si="1"/>
        <v>440</v>
      </c>
      <c r="AH5" s="120">
        <f t="shared" si="1"/>
        <v>452</v>
      </c>
      <c r="AI5" s="120">
        <f t="shared" si="1"/>
        <v>461</v>
      </c>
      <c r="AL5">
        <f>+O19</f>
        <v>195</v>
      </c>
      <c r="AM5">
        <f t="shared" ref="AM5:AN5" si="2">+P19</f>
        <v>225</v>
      </c>
      <c r="AN5">
        <f t="shared" si="2"/>
        <v>257</v>
      </c>
      <c r="AO5">
        <f>+R19</f>
        <v>292</v>
      </c>
      <c r="AP5">
        <f>+AO5+AP6</f>
        <v>332</v>
      </c>
      <c r="AQ5">
        <f t="shared" ref="AQ5:AR5" si="3">+AP5+AQ6</f>
        <v>372</v>
      </c>
      <c r="AR5">
        <f t="shared" si="3"/>
        <v>417</v>
      </c>
      <c r="AS5">
        <f>+AR5+AS6</f>
        <v>462</v>
      </c>
      <c r="AT5">
        <f t="shared" ref="AT5:AU5" si="4">+AS5+AT6</f>
        <v>507</v>
      </c>
      <c r="AU5">
        <f t="shared" si="4"/>
        <v>552</v>
      </c>
      <c r="AV5">
        <f t="shared" ref="AV5" si="5">+AU5+AV6</f>
        <v>597</v>
      </c>
      <c r="AW5">
        <f t="shared" ref="AW5" si="6">+AV5+AW6</f>
        <v>642</v>
      </c>
      <c r="AX5">
        <f t="shared" ref="AX5" si="7">+AW5+AX6</f>
        <v>687</v>
      </c>
      <c r="AY5">
        <f t="shared" ref="AY5" si="8">+AX5+AY6</f>
        <v>727</v>
      </c>
      <c r="AZ5">
        <f t="shared" ref="AZ5" si="9">+AY5+AZ6</f>
        <v>767</v>
      </c>
      <c r="BA5">
        <f t="shared" ref="BA5" si="10">+AZ5+BA6</f>
        <v>807</v>
      </c>
      <c r="BB5">
        <f t="shared" ref="BB5" si="11">+BA5+BB6</f>
        <v>847</v>
      </c>
      <c r="BC5">
        <f t="shared" ref="BC5" si="12">+BB5+BC6</f>
        <v>887</v>
      </c>
      <c r="BD5">
        <f t="shared" ref="BD5" si="13">+BC5+BD6</f>
        <v>927</v>
      </c>
      <c r="BE5">
        <f t="shared" ref="BE5:BF5" si="14">+BD5+BE6</f>
        <v>967</v>
      </c>
      <c r="BF5">
        <f t="shared" si="14"/>
        <v>1007</v>
      </c>
    </row>
    <row r="6" spans="2:59" x14ac:dyDescent="0.25">
      <c r="E6" s="124" t="s">
        <v>396</v>
      </c>
      <c r="F6" s="213"/>
      <c r="G6" s="213"/>
      <c r="H6" s="213"/>
      <c r="I6" s="213"/>
      <c r="J6" s="213"/>
      <c r="K6" s="213"/>
      <c r="L6" s="213"/>
      <c r="N6" s="137">
        <v>12</v>
      </c>
      <c r="O6" s="451">
        <v>15</v>
      </c>
      <c r="P6" s="115">
        <v>13</v>
      </c>
      <c r="Q6" s="138">
        <f>+Q35</f>
        <v>20</v>
      </c>
      <c r="R6" s="138">
        <f t="shared" ref="R6:AH6" si="15">+R35</f>
        <v>21</v>
      </c>
      <c r="S6" s="138">
        <f t="shared" si="15"/>
        <v>24</v>
      </c>
      <c r="T6" s="138">
        <f>+T35</f>
        <v>24</v>
      </c>
      <c r="U6" s="138">
        <f t="shared" si="15"/>
        <v>21</v>
      </c>
      <c r="V6" s="138">
        <f t="shared" si="15"/>
        <v>21</v>
      </c>
      <c r="W6" s="138">
        <f t="shared" si="15"/>
        <v>21</v>
      </c>
      <c r="X6" s="138">
        <f t="shared" si="15"/>
        <v>21</v>
      </c>
      <c r="Y6" s="138">
        <f t="shared" si="15"/>
        <v>18</v>
      </c>
      <c r="Z6" s="138">
        <f t="shared" si="15"/>
        <v>18</v>
      </c>
      <c r="AA6" s="138">
        <f t="shared" si="15"/>
        <v>18</v>
      </c>
      <c r="AB6" s="138">
        <f t="shared" si="15"/>
        <v>15</v>
      </c>
      <c r="AC6" s="138">
        <f t="shared" si="15"/>
        <v>15</v>
      </c>
      <c r="AD6" s="138">
        <f t="shared" si="15"/>
        <v>15</v>
      </c>
      <c r="AE6" s="138">
        <f t="shared" si="15"/>
        <v>12</v>
      </c>
      <c r="AF6" s="138">
        <f t="shared" si="15"/>
        <v>12</v>
      </c>
      <c r="AG6" s="138">
        <f t="shared" si="15"/>
        <v>12</v>
      </c>
      <c r="AH6" s="138">
        <f t="shared" si="15"/>
        <v>9</v>
      </c>
      <c r="AI6" s="138">
        <f t="shared" ref="AI6" si="16">+AI35</f>
        <v>9</v>
      </c>
      <c r="AM6">
        <f>+AM5-AL5</f>
        <v>30</v>
      </c>
      <c r="AN6">
        <f t="shared" ref="AN6:AO6" si="17">+AN5-AM5</f>
        <v>32</v>
      </c>
      <c r="AO6">
        <f t="shared" si="17"/>
        <v>35</v>
      </c>
      <c r="AP6">
        <v>40</v>
      </c>
      <c r="AQ6">
        <f>+AP6</f>
        <v>40</v>
      </c>
      <c r="AR6">
        <v>45</v>
      </c>
      <c r="AS6">
        <v>45</v>
      </c>
      <c r="AT6">
        <f>+AS6</f>
        <v>45</v>
      </c>
      <c r="AU6">
        <v>45</v>
      </c>
      <c r="AV6">
        <v>45</v>
      </c>
      <c r="AW6">
        <v>45</v>
      </c>
      <c r="AX6">
        <v>45</v>
      </c>
      <c r="AY6">
        <v>40</v>
      </c>
      <c r="AZ6">
        <v>40</v>
      </c>
      <c r="BA6">
        <v>40</v>
      </c>
      <c r="BB6">
        <v>40</v>
      </c>
      <c r="BC6">
        <v>40</v>
      </c>
      <c r="BD6">
        <v>40</v>
      </c>
      <c r="BE6">
        <v>40</v>
      </c>
      <c r="BF6">
        <v>40</v>
      </c>
    </row>
    <row r="7" spans="2:59" x14ac:dyDescent="0.25">
      <c r="E7" s="124" t="s">
        <v>397</v>
      </c>
      <c r="F7" s="213"/>
      <c r="G7" s="213"/>
      <c r="H7" s="213"/>
      <c r="I7" s="213"/>
      <c r="J7" s="213"/>
      <c r="K7" s="213"/>
      <c r="L7" s="213"/>
      <c r="M7">
        <v>104</v>
      </c>
      <c r="N7">
        <f>+N5+N6</f>
        <v>116</v>
      </c>
      <c r="O7">
        <f>+O5+O6</f>
        <v>131</v>
      </c>
      <c r="P7">
        <f>+P5+P6</f>
        <v>144</v>
      </c>
      <c r="Q7">
        <f t="shared" ref="Q7:AH7" si="18">+Q5+Q6</f>
        <v>164</v>
      </c>
      <c r="R7">
        <f t="shared" si="18"/>
        <v>185</v>
      </c>
      <c r="S7">
        <f t="shared" si="18"/>
        <v>209</v>
      </c>
      <c r="T7">
        <f t="shared" si="18"/>
        <v>233</v>
      </c>
      <c r="U7">
        <f t="shared" si="18"/>
        <v>254</v>
      </c>
      <c r="V7">
        <f t="shared" si="18"/>
        <v>275</v>
      </c>
      <c r="W7">
        <f t="shared" si="18"/>
        <v>296</v>
      </c>
      <c r="X7">
        <f t="shared" si="18"/>
        <v>317</v>
      </c>
      <c r="Y7">
        <f t="shared" si="18"/>
        <v>335</v>
      </c>
      <c r="Z7">
        <f t="shared" si="18"/>
        <v>353</v>
      </c>
      <c r="AA7">
        <f t="shared" si="18"/>
        <v>371</v>
      </c>
      <c r="AB7">
        <f t="shared" si="18"/>
        <v>386</v>
      </c>
      <c r="AC7">
        <f t="shared" si="18"/>
        <v>401</v>
      </c>
      <c r="AD7">
        <f t="shared" si="18"/>
        <v>416</v>
      </c>
      <c r="AE7">
        <f t="shared" si="18"/>
        <v>428</v>
      </c>
      <c r="AF7">
        <f t="shared" si="18"/>
        <v>440</v>
      </c>
      <c r="AG7">
        <f t="shared" si="18"/>
        <v>452</v>
      </c>
      <c r="AH7">
        <f t="shared" si="18"/>
        <v>461</v>
      </c>
      <c r="AI7">
        <f t="shared" ref="AI7" si="19">+AI5+AI6</f>
        <v>470</v>
      </c>
      <c r="AR7" s="91">
        <f>+AR5/AQ5-1</f>
        <v>0.12096774193548376</v>
      </c>
      <c r="AS7" s="91">
        <f t="shared" ref="AS7:BF7" si="20">+AS5/AR5-1</f>
        <v>0.1079136690647482</v>
      </c>
      <c r="AT7" s="91">
        <f t="shared" si="20"/>
        <v>9.740259740259738E-2</v>
      </c>
      <c r="AU7" s="91">
        <f t="shared" si="20"/>
        <v>8.8757396449704151E-2</v>
      </c>
      <c r="AV7" s="91">
        <f t="shared" si="20"/>
        <v>8.1521739130434812E-2</v>
      </c>
      <c r="AW7" s="91">
        <f t="shared" si="20"/>
        <v>7.5376884422110546E-2</v>
      </c>
      <c r="AX7" s="91">
        <f t="shared" si="20"/>
        <v>7.0093457943925186E-2</v>
      </c>
      <c r="AY7" s="91">
        <f t="shared" si="20"/>
        <v>5.8224163027656539E-2</v>
      </c>
      <c r="AZ7" s="91">
        <f t="shared" si="20"/>
        <v>5.502063273727642E-2</v>
      </c>
      <c r="BA7" s="91">
        <f t="shared" si="20"/>
        <v>5.2151238591916504E-2</v>
      </c>
      <c r="BB7" s="91">
        <f t="shared" si="20"/>
        <v>4.9566294919454856E-2</v>
      </c>
      <c r="BC7" s="91">
        <f t="shared" si="20"/>
        <v>4.7225501770956413E-2</v>
      </c>
      <c r="BD7" s="91">
        <f t="shared" si="20"/>
        <v>4.5095828635851154E-2</v>
      </c>
      <c r="BE7" s="91">
        <f t="shared" si="20"/>
        <v>4.3149946062567501E-2</v>
      </c>
      <c r="BF7" s="91">
        <f t="shared" si="20"/>
        <v>4.1365046535677408E-2</v>
      </c>
    </row>
    <row r="8" spans="2:59" x14ac:dyDescent="0.25">
      <c r="E8" s="124" t="s">
        <v>482</v>
      </c>
      <c r="F8" s="213"/>
      <c r="G8" s="213"/>
      <c r="H8" s="213"/>
      <c r="I8" s="213"/>
      <c r="J8" s="213"/>
      <c r="K8" s="213"/>
      <c r="L8" s="213"/>
      <c r="AQ8" s="114" t="s">
        <v>437</v>
      </c>
      <c r="AR8">
        <f>0.4*AR6</f>
        <v>18</v>
      </c>
      <c r="AS8">
        <f t="shared" ref="AS8:BF8" si="21">0.4*AS6</f>
        <v>18</v>
      </c>
      <c r="AT8">
        <f t="shared" si="21"/>
        <v>18</v>
      </c>
      <c r="AU8">
        <f t="shared" si="21"/>
        <v>18</v>
      </c>
      <c r="AV8">
        <f t="shared" si="21"/>
        <v>18</v>
      </c>
      <c r="AW8">
        <f t="shared" si="21"/>
        <v>18</v>
      </c>
      <c r="AX8">
        <f t="shared" si="21"/>
        <v>18</v>
      </c>
      <c r="AY8">
        <f t="shared" si="21"/>
        <v>16</v>
      </c>
      <c r="AZ8">
        <f t="shared" si="21"/>
        <v>16</v>
      </c>
      <c r="BA8">
        <f t="shared" si="21"/>
        <v>16</v>
      </c>
      <c r="BB8">
        <f t="shared" si="21"/>
        <v>16</v>
      </c>
      <c r="BC8">
        <f t="shared" si="21"/>
        <v>16</v>
      </c>
      <c r="BD8">
        <f t="shared" si="21"/>
        <v>16</v>
      </c>
      <c r="BE8">
        <f t="shared" si="21"/>
        <v>16</v>
      </c>
      <c r="BF8">
        <f t="shared" si="21"/>
        <v>16</v>
      </c>
    </row>
    <row r="9" spans="2:59" x14ac:dyDescent="0.25">
      <c r="E9" s="124" t="s">
        <v>483</v>
      </c>
      <c r="F9" s="213"/>
      <c r="G9" s="213"/>
      <c r="H9" s="213"/>
      <c r="I9" s="213"/>
      <c r="J9" s="213"/>
      <c r="K9" s="213"/>
      <c r="L9" s="213"/>
      <c r="AR9">
        <f>+AR8+T13</f>
        <v>157</v>
      </c>
      <c r="AS9">
        <f>+AS8+AR9</f>
        <v>175</v>
      </c>
      <c r="AT9">
        <f t="shared" ref="AT9:BF9" si="22">+AT8+AS9</f>
        <v>193</v>
      </c>
      <c r="AU9">
        <f t="shared" si="22"/>
        <v>211</v>
      </c>
      <c r="AV9">
        <f t="shared" si="22"/>
        <v>229</v>
      </c>
      <c r="AW9">
        <f t="shared" si="22"/>
        <v>247</v>
      </c>
      <c r="AX9">
        <f t="shared" si="22"/>
        <v>265</v>
      </c>
      <c r="AY9">
        <f t="shared" si="22"/>
        <v>281</v>
      </c>
      <c r="AZ9">
        <f t="shared" si="22"/>
        <v>297</v>
      </c>
      <c r="BA9">
        <f t="shared" si="22"/>
        <v>313</v>
      </c>
      <c r="BB9">
        <f t="shared" si="22"/>
        <v>329</v>
      </c>
      <c r="BC9">
        <f t="shared" si="22"/>
        <v>345</v>
      </c>
      <c r="BD9">
        <f t="shared" si="22"/>
        <v>361</v>
      </c>
      <c r="BE9">
        <f t="shared" si="22"/>
        <v>377</v>
      </c>
      <c r="BF9">
        <f t="shared" si="22"/>
        <v>393</v>
      </c>
    </row>
    <row r="10" spans="2:59" x14ac:dyDescent="0.25">
      <c r="E10" s="124"/>
      <c r="F10" s="213"/>
      <c r="G10" s="213"/>
      <c r="H10" s="213"/>
      <c r="I10" s="213"/>
      <c r="J10" s="213"/>
      <c r="K10" s="213"/>
      <c r="L10" s="213"/>
      <c r="AR10" s="91">
        <f>+AR9/T13-1</f>
        <v>0.12949640287769792</v>
      </c>
      <c r="AS10" s="91">
        <f>+AS9/AR9-1</f>
        <v>0.11464968152866239</v>
      </c>
      <c r="AT10" s="91">
        <f t="shared" ref="AT10:BF10" si="23">+AT9/AS9-1</f>
        <v>0.10285714285714276</v>
      </c>
      <c r="AU10" s="91">
        <f t="shared" si="23"/>
        <v>9.3264248704663322E-2</v>
      </c>
      <c r="AV10" s="91">
        <f t="shared" si="23"/>
        <v>8.5308056872037907E-2</v>
      </c>
      <c r="AW10" s="91">
        <f t="shared" si="23"/>
        <v>7.8602620087336206E-2</v>
      </c>
      <c r="AX10" s="91">
        <f t="shared" si="23"/>
        <v>7.2874493927125528E-2</v>
      </c>
      <c r="AY10" s="91">
        <f t="shared" si="23"/>
        <v>6.0377358490566024E-2</v>
      </c>
      <c r="AZ10" s="91">
        <f t="shared" si="23"/>
        <v>5.6939501779359469E-2</v>
      </c>
      <c r="BA10" s="91">
        <f t="shared" si="23"/>
        <v>5.3872053872053849E-2</v>
      </c>
      <c r="BB10" s="91">
        <f t="shared" si="23"/>
        <v>5.1118210862619806E-2</v>
      </c>
      <c r="BC10" s="91">
        <f t="shared" si="23"/>
        <v>4.8632218844984809E-2</v>
      </c>
      <c r="BD10" s="91">
        <f t="shared" si="23"/>
        <v>4.6376811594202927E-2</v>
      </c>
      <c r="BE10" s="91">
        <f t="shared" si="23"/>
        <v>4.4321329639889218E-2</v>
      </c>
      <c r="BF10" s="91">
        <f t="shared" si="23"/>
        <v>4.244031830238737E-2</v>
      </c>
      <c r="BG10" s="91"/>
    </row>
    <row r="11" spans="2:59" x14ac:dyDescent="0.25">
      <c r="E11" s="124" t="s">
        <v>398</v>
      </c>
      <c r="F11" s="213"/>
      <c r="G11" s="213"/>
      <c r="H11" s="213"/>
      <c r="I11" s="213"/>
      <c r="J11" s="213"/>
      <c r="K11" s="213"/>
      <c r="L11" s="213"/>
      <c r="N11">
        <f>+M13</f>
        <v>46</v>
      </c>
      <c r="O11">
        <f>+N13</f>
        <v>55</v>
      </c>
      <c r="P11">
        <f t="shared" ref="P11:AI11" si="24">+O13</f>
        <v>64</v>
      </c>
      <c r="Q11">
        <f t="shared" si="24"/>
        <v>81</v>
      </c>
      <c r="R11">
        <f t="shared" si="24"/>
        <v>93</v>
      </c>
      <c r="S11">
        <f t="shared" si="24"/>
        <v>107</v>
      </c>
      <c r="T11">
        <f t="shared" si="24"/>
        <v>123</v>
      </c>
      <c r="U11">
        <f t="shared" si="24"/>
        <v>139</v>
      </c>
      <c r="V11">
        <f t="shared" si="24"/>
        <v>153</v>
      </c>
      <c r="W11">
        <f t="shared" si="24"/>
        <v>167</v>
      </c>
      <c r="X11">
        <f t="shared" si="24"/>
        <v>181</v>
      </c>
      <c r="Y11">
        <f t="shared" si="24"/>
        <v>195</v>
      </c>
      <c r="Z11">
        <f t="shared" si="24"/>
        <v>207</v>
      </c>
      <c r="AA11">
        <f t="shared" si="24"/>
        <v>219</v>
      </c>
      <c r="AB11">
        <f t="shared" si="24"/>
        <v>231</v>
      </c>
      <c r="AC11">
        <f t="shared" si="24"/>
        <v>241</v>
      </c>
      <c r="AD11">
        <f t="shared" si="24"/>
        <v>251</v>
      </c>
      <c r="AE11">
        <f t="shared" si="24"/>
        <v>261</v>
      </c>
      <c r="AF11">
        <f t="shared" si="24"/>
        <v>269</v>
      </c>
      <c r="AG11">
        <f t="shared" si="24"/>
        <v>277</v>
      </c>
      <c r="AH11">
        <f t="shared" si="24"/>
        <v>285</v>
      </c>
      <c r="AI11">
        <f t="shared" si="24"/>
        <v>291</v>
      </c>
      <c r="AQ11" t="s">
        <v>439</v>
      </c>
      <c r="AR11">
        <f>0.6*AR6</f>
        <v>27</v>
      </c>
      <c r="AS11">
        <f>+AS6-AS8</f>
        <v>27</v>
      </c>
      <c r="AT11">
        <f t="shared" ref="AT11:BF11" si="25">+AT6-AT8</f>
        <v>27</v>
      </c>
      <c r="AU11">
        <f t="shared" si="25"/>
        <v>27</v>
      </c>
      <c r="AV11">
        <f t="shared" si="25"/>
        <v>27</v>
      </c>
      <c r="AW11">
        <f t="shared" si="25"/>
        <v>27</v>
      </c>
      <c r="AX11">
        <f t="shared" si="25"/>
        <v>27</v>
      </c>
      <c r="AY11">
        <f t="shared" si="25"/>
        <v>24</v>
      </c>
      <c r="AZ11">
        <f t="shared" si="25"/>
        <v>24</v>
      </c>
      <c r="BA11">
        <f t="shared" si="25"/>
        <v>24</v>
      </c>
      <c r="BB11">
        <f t="shared" si="25"/>
        <v>24</v>
      </c>
      <c r="BC11">
        <f t="shared" si="25"/>
        <v>24</v>
      </c>
      <c r="BD11">
        <f t="shared" si="25"/>
        <v>24</v>
      </c>
      <c r="BE11">
        <f t="shared" si="25"/>
        <v>24</v>
      </c>
      <c r="BF11">
        <f t="shared" si="25"/>
        <v>24</v>
      </c>
    </row>
    <row r="12" spans="2:59" x14ac:dyDescent="0.25">
      <c r="E12" s="124" t="s">
        <v>396</v>
      </c>
      <c r="F12" s="213"/>
      <c r="G12" s="213"/>
      <c r="H12" s="213"/>
      <c r="I12" s="213"/>
      <c r="J12" s="213"/>
      <c r="K12" s="213"/>
      <c r="L12" s="213"/>
      <c r="N12" s="137">
        <v>9</v>
      </c>
      <c r="O12" s="451">
        <v>9</v>
      </c>
      <c r="P12" s="115">
        <v>17</v>
      </c>
      <c r="Q12" s="138">
        <f>+Q37</f>
        <v>12</v>
      </c>
      <c r="R12" s="138">
        <f t="shared" ref="R12:AH12" si="26">+R37</f>
        <v>14</v>
      </c>
      <c r="S12" s="138">
        <f t="shared" si="26"/>
        <v>16</v>
      </c>
      <c r="T12" s="138">
        <f t="shared" si="26"/>
        <v>16</v>
      </c>
      <c r="U12" s="138">
        <f t="shared" si="26"/>
        <v>14</v>
      </c>
      <c r="V12" s="138">
        <f t="shared" si="26"/>
        <v>14</v>
      </c>
      <c r="W12" s="138">
        <f t="shared" si="26"/>
        <v>14</v>
      </c>
      <c r="X12" s="138">
        <f t="shared" si="26"/>
        <v>14</v>
      </c>
      <c r="Y12" s="138">
        <f t="shared" si="26"/>
        <v>12</v>
      </c>
      <c r="Z12" s="138">
        <f t="shared" si="26"/>
        <v>12</v>
      </c>
      <c r="AA12" s="138">
        <f t="shared" si="26"/>
        <v>12</v>
      </c>
      <c r="AB12" s="138">
        <f t="shared" si="26"/>
        <v>10</v>
      </c>
      <c r="AC12" s="138">
        <f t="shared" si="26"/>
        <v>10</v>
      </c>
      <c r="AD12" s="138">
        <f t="shared" si="26"/>
        <v>10</v>
      </c>
      <c r="AE12" s="138">
        <f t="shared" si="26"/>
        <v>8</v>
      </c>
      <c r="AF12" s="138">
        <f t="shared" si="26"/>
        <v>8</v>
      </c>
      <c r="AG12" s="138">
        <f t="shared" si="26"/>
        <v>8</v>
      </c>
      <c r="AH12" s="138">
        <f t="shared" si="26"/>
        <v>6</v>
      </c>
      <c r="AI12" s="138">
        <f t="shared" ref="AI12" si="27">+AI37</f>
        <v>6</v>
      </c>
      <c r="AR12">
        <f>+AR11+T7</f>
        <v>260</v>
      </c>
      <c r="AS12">
        <f>+AS11+AR12</f>
        <v>287</v>
      </c>
      <c r="AT12">
        <f t="shared" ref="AT12:BF12" si="28">+AT11+AS12</f>
        <v>314</v>
      </c>
      <c r="AU12">
        <f t="shared" si="28"/>
        <v>341</v>
      </c>
      <c r="AV12">
        <f t="shared" si="28"/>
        <v>368</v>
      </c>
      <c r="AW12">
        <f t="shared" si="28"/>
        <v>395</v>
      </c>
      <c r="AX12">
        <f t="shared" si="28"/>
        <v>422</v>
      </c>
      <c r="AY12">
        <f t="shared" si="28"/>
        <v>446</v>
      </c>
      <c r="AZ12">
        <f t="shared" si="28"/>
        <v>470</v>
      </c>
      <c r="BA12">
        <f t="shared" si="28"/>
        <v>494</v>
      </c>
      <c r="BB12">
        <f t="shared" si="28"/>
        <v>518</v>
      </c>
      <c r="BC12">
        <f t="shared" si="28"/>
        <v>542</v>
      </c>
      <c r="BD12">
        <f t="shared" si="28"/>
        <v>566</v>
      </c>
      <c r="BE12">
        <f t="shared" si="28"/>
        <v>590</v>
      </c>
      <c r="BF12">
        <f t="shared" si="28"/>
        <v>614</v>
      </c>
    </row>
    <row r="13" spans="2:59" x14ac:dyDescent="0.25">
      <c r="E13" s="124" t="s">
        <v>418</v>
      </c>
      <c r="F13" s="213"/>
      <c r="G13" s="213"/>
      <c r="H13" s="213"/>
      <c r="I13" s="213"/>
      <c r="J13" s="213"/>
      <c r="K13" s="213"/>
      <c r="L13" s="213"/>
      <c r="M13">
        <v>46</v>
      </c>
      <c r="N13">
        <f>+N11+N12</f>
        <v>55</v>
      </c>
      <c r="O13">
        <f>+O11+O12</f>
        <v>64</v>
      </c>
      <c r="P13">
        <f>+P11+P12</f>
        <v>81</v>
      </c>
      <c r="Q13">
        <f t="shared" ref="Q13:AH13" si="29">+Q11+Q12</f>
        <v>93</v>
      </c>
      <c r="R13">
        <f t="shared" si="29"/>
        <v>107</v>
      </c>
      <c r="S13">
        <f t="shared" si="29"/>
        <v>123</v>
      </c>
      <c r="T13">
        <f t="shared" si="29"/>
        <v>139</v>
      </c>
      <c r="U13">
        <f t="shared" si="29"/>
        <v>153</v>
      </c>
      <c r="V13">
        <f t="shared" si="29"/>
        <v>167</v>
      </c>
      <c r="W13">
        <f t="shared" si="29"/>
        <v>181</v>
      </c>
      <c r="X13">
        <f t="shared" si="29"/>
        <v>195</v>
      </c>
      <c r="Y13">
        <f t="shared" si="29"/>
        <v>207</v>
      </c>
      <c r="Z13">
        <f t="shared" si="29"/>
        <v>219</v>
      </c>
      <c r="AA13">
        <f t="shared" si="29"/>
        <v>231</v>
      </c>
      <c r="AB13">
        <f t="shared" si="29"/>
        <v>241</v>
      </c>
      <c r="AC13">
        <f t="shared" si="29"/>
        <v>251</v>
      </c>
      <c r="AD13">
        <f t="shared" si="29"/>
        <v>261</v>
      </c>
      <c r="AE13">
        <f t="shared" si="29"/>
        <v>269</v>
      </c>
      <c r="AF13">
        <f t="shared" si="29"/>
        <v>277</v>
      </c>
      <c r="AG13">
        <f t="shared" si="29"/>
        <v>285</v>
      </c>
      <c r="AH13">
        <f t="shared" si="29"/>
        <v>291</v>
      </c>
      <c r="AI13">
        <f t="shared" ref="AI13" si="30">+AI11+AI12</f>
        <v>297</v>
      </c>
      <c r="AS13" s="91">
        <f>+AS12/AR12-1</f>
        <v>0.10384615384615392</v>
      </c>
      <c r="AT13" s="91">
        <f t="shared" ref="AT13:BF13" si="31">+AT12/AS12-1</f>
        <v>9.4076655052264702E-2</v>
      </c>
      <c r="AU13" s="91">
        <f t="shared" si="31"/>
        <v>8.5987261146496907E-2</v>
      </c>
      <c r="AV13" s="91">
        <f t="shared" si="31"/>
        <v>7.9178885630498463E-2</v>
      </c>
      <c r="AW13" s="91">
        <f t="shared" si="31"/>
        <v>7.3369565217391353E-2</v>
      </c>
      <c r="AX13" s="91">
        <f t="shared" si="31"/>
        <v>6.8354430379746756E-2</v>
      </c>
      <c r="AY13" s="91">
        <f t="shared" si="31"/>
        <v>5.6872037914691864E-2</v>
      </c>
      <c r="AZ13" s="91">
        <f t="shared" si="31"/>
        <v>5.3811659192825045E-2</v>
      </c>
      <c r="BA13" s="91">
        <f t="shared" si="31"/>
        <v>5.1063829787234116E-2</v>
      </c>
      <c r="BB13" s="91">
        <f t="shared" si="31"/>
        <v>4.8582995951417018E-2</v>
      </c>
      <c r="BC13" s="91">
        <f t="shared" si="31"/>
        <v>4.6332046332046239E-2</v>
      </c>
      <c r="BD13" s="91">
        <f t="shared" si="31"/>
        <v>4.4280442804428111E-2</v>
      </c>
      <c r="BE13" s="91">
        <f t="shared" si="31"/>
        <v>4.2402826855123754E-2</v>
      </c>
      <c r="BF13" s="91">
        <f t="shared" si="31"/>
        <v>4.067796610169494E-2</v>
      </c>
    </row>
    <row r="14" spans="2:59" x14ac:dyDescent="0.25">
      <c r="E14" s="124" t="s">
        <v>482</v>
      </c>
      <c r="F14" s="213"/>
      <c r="G14" s="213"/>
      <c r="H14" s="213"/>
      <c r="I14" s="213"/>
      <c r="J14" s="213"/>
      <c r="K14" s="213"/>
      <c r="L14" s="213"/>
      <c r="P14" s="91">
        <f>P13/O13-1</f>
        <v>0.265625</v>
      </c>
      <c r="Q14" s="91">
        <f t="shared" ref="Q14:AI14" si="32">Q13/P13-1</f>
        <v>0.14814814814814814</v>
      </c>
      <c r="R14" s="91">
        <f t="shared" si="32"/>
        <v>0.15053763440860224</v>
      </c>
      <c r="S14" s="91">
        <f t="shared" si="32"/>
        <v>0.14953271028037385</v>
      </c>
      <c r="T14" s="91">
        <f t="shared" si="32"/>
        <v>0.13008130081300817</v>
      </c>
      <c r="U14" s="91">
        <f t="shared" si="32"/>
        <v>0.10071942446043169</v>
      </c>
      <c r="V14" s="91">
        <f t="shared" si="32"/>
        <v>9.1503267973856106E-2</v>
      </c>
      <c r="W14" s="91">
        <f t="shared" si="32"/>
        <v>8.3832335329341312E-2</v>
      </c>
      <c r="X14" s="91">
        <f t="shared" si="32"/>
        <v>7.7348066298342566E-2</v>
      </c>
      <c r="Y14" s="91">
        <f t="shared" si="32"/>
        <v>6.1538461538461542E-2</v>
      </c>
      <c r="Z14" s="91">
        <f t="shared" si="32"/>
        <v>5.7971014492753659E-2</v>
      </c>
      <c r="AA14" s="91">
        <f t="shared" si="32"/>
        <v>5.4794520547945202E-2</v>
      </c>
      <c r="AB14" s="91">
        <f t="shared" si="32"/>
        <v>4.3290043290043378E-2</v>
      </c>
      <c r="AC14" s="91">
        <f t="shared" si="32"/>
        <v>4.1493775933610033E-2</v>
      </c>
      <c r="AD14" s="91">
        <f t="shared" si="32"/>
        <v>3.9840637450199168E-2</v>
      </c>
      <c r="AE14" s="91">
        <f t="shared" si="32"/>
        <v>3.0651340996168619E-2</v>
      </c>
      <c r="AF14" s="91">
        <f t="shared" si="32"/>
        <v>2.9739776951672958E-2</v>
      </c>
      <c r="AG14" s="91">
        <f t="shared" si="32"/>
        <v>2.8880866425992746E-2</v>
      </c>
      <c r="AH14" s="91">
        <f t="shared" si="32"/>
        <v>2.1052631578947434E-2</v>
      </c>
      <c r="AI14" s="91">
        <f t="shared" si="32"/>
        <v>2.0618556701030855E-2</v>
      </c>
    </row>
    <row r="15" spans="2:59" x14ac:dyDescent="0.25">
      <c r="E15" s="124" t="s">
        <v>483</v>
      </c>
      <c r="F15" s="213"/>
      <c r="G15" s="213"/>
      <c r="H15" s="213"/>
      <c r="I15" s="213"/>
      <c r="J15" s="213"/>
      <c r="K15" s="213"/>
      <c r="L15" s="213"/>
      <c r="AR15">
        <f>+AR9+AR12</f>
        <v>417</v>
      </c>
      <c r="AS15">
        <f t="shared" ref="AS15:BF15" si="33">+AS9+AS12</f>
        <v>462</v>
      </c>
      <c r="AT15">
        <f t="shared" si="33"/>
        <v>507</v>
      </c>
      <c r="AU15">
        <f t="shared" si="33"/>
        <v>552</v>
      </c>
      <c r="AV15">
        <f t="shared" si="33"/>
        <v>597</v>
      </c>
      <c r="AW15">
        <f t="shared" si="33"/>
        <v>642</v>
      </c>
      <c r="AX15">
        <f t="shared" si="33"/>
        <v>687</v>
      </c>
      <c r="AY15">
        <f t="shared" si="33"/>
        <v>727</v>
      </c>
      <c r="AZ15">
        <f t="shared" si="33"/>
        <v>767</v>
      </c>
      <c r="BA15">
        <f t="shared" si="33"/>
        <v>807</v>
      </c>
      <c r="BB15">
        <f t="shared" si="33"/>
        <v>847</v>
      </c>
      <c r="BC15">
        <f t="shared" si="33"/>
        <v>887</v>
      </c>
      <c r="BD15">
        <f t="shared" si="33"/>
        <v>927</v>
      </c>
      <c r="BE15">
        <f t="shared" si="33"/>
        <v>967</v>
      </c>
      <c r="BF15">
        <f t="shared" si="33"/>
        <v>1007</v>
      </c>
    </row>
    <row r="16" spans="2:59" x14ac:dyDescent="0.25">
      <c r="E16" s="124"/>
      <c r="F16" s="213"/>
      <c r="G16" s="213"/>
      <c r="H16" s="213"/>
      <c r="I16" s="213"/>
      <c r="J16" s="213"/>
      <c r="K16" s="213"/>
      <c r="L16" s="213"/>
      <c r="T16" s="91">
        <f>(T19/O19)^(1/5)-1</f>
        <v>0.1378936286438408</v>
      </c>
    </row>
    <row r="17" spans="2:45" x14ac:dyDescent="0.25">
      <c r="E17" s="124" t="s">
        <v>399</v>
      </c>
      <c r="F17" s="213"/>
      <c r="G17" s="213"/>
      <c r="H17" s="213"/>
      <c r="I17" s="213"/>
      <c r="J17" s="213"/>
      <c r="K17" s="213"/>
      <c r="L17" s="213"/>
      <c r="M17">
        <f t="shared" ref="M17:AH17" si="34">+M5+M11</f>
        <v>0</v>
      </c>
      <c r="N17">
        <f t="shared" si="34"/>
        <v>150</v>
      </c>
      <c r="O17">
        <f t="shared" si="34"/>
        <v>171</v>
      </c>
      <c r="P17">
        <f t="shared" si="34"/>
        <v>195</v>
      </c>
      <c r="Q17">
        <f t="shared" si="34"/>
        <v>225</v>
      </c>
      <c r="R17">
        <f t="shared" si="34"/>
        <v>257</v>
      </c>
      <c r="S17">
        <f t="shared" si="34"/>
        <v>292</v>
      </c>
      <c r="T17">
        <f>+T5+T11</f>
        <v>332</v>
      </c>
      <c r="U17">
        <f t="shared" si="34"/>
        <v>372</v>
      </c>
      <c r="V17">
        <f t="shared" si="34"/>
        <v>407</v>
      </c>
      <c r="W17">
        <f t="shared" si="34"/>
        <v>442</v>
      </c>
      <c r="X17">
        <f t="shared" si="34"/>
        <v>477</v>
      </c>
      <c r="Y17">
        <f t="shared" si="34"/>
        <v>512</v>
      </c>
      <c r="Z17">
        <f t="shared" si="34"/>
        <v>542</v>
      </c>
      <c r="AA17">
        <f t="shared" si="34"/>
        <v>572</v>
      </c>
      <c r="AB17">
        <f t="shared" si="34"/>
        <v>602</v>
      </c>
      <c r="AC17">
        <f t="shared" si="34"/>
        <v>627</v>
      </c>
      <c r="AD17">
        <f t="shared" si="34"/>
        <v>652</v>
      </c>
      <c r="AE17">
        <f t="shared" si="34"/>
        <v>677</v>
      </c>
      <c r="AF17">
        <f t="shared" si="34"/>
        <v>697</v>
      </c>
      <c r="AG17">
        <f t="shared" si="34"/>
        <v>717</v>
      </c>
      <c r="AH17">
        <f t="shared" si="34"/>
        <v>737</v>
      </c>
      <c r="AI17">
        <f t="shared" ref="AI17" si="35">+AI5+AI11</f>
        <v>752</v>
      </c>
    </row>
    <row r="18" spans="2:45" x14ac:dyDescent="0.25">
      <c r="E18" s="124" t="s">
        <v>396</v>
      </c>
      <c r="F18" s="213"/>
      <c r="G18" s="213"/>
      <c r="H18" s="213"/>
      <c r="I18" s="213"/>
      <c r="J18" s="213"/>
      <c r="K18" s="213"/>
      <c r="L18" s="213"/>
      <c r="M18">
        <f t="shared" ref="M18:AH18" si="36">+M6+M12</f>
        <v>0</v>
      </c>
      <c r="N18">
        <f t="shared" si="36"/>
        <v>21</v>
      </c>
      <c r="O18">
        <f t="shared" si="36"/>
        <v>24</v>
      </c>
      <c r="P18">
        <f t="shared" si="36"/>
        <v>30</v>
      </c>
      <c r="Q18">
        <f t="shared" si="36"/>
        <v>32</v>
      </c>
      <c r="R18">
        <f>+R6+R12</f>
        <v>35</v>
      </c>
      <c r="S18">
        <f t="shared" si="36"/>
        <v>40</v>
      </c>
      <c r="T18">
        <f t="shared" si="36"/>
        <v>40</v>
      </c>
      <c r="U18">
        <f t="shared" si="36"/>
        <v>35</v>
      </c>
      <c r="V18">
        <f t="shared" si="36"/>
        <v>35</v>
      </c>
      <c r="W18">
        <f t="shared" si="36"/>
        <v>35</v>
      </c>
      <c r="X18">
        <f t="shared" si="36"/>
        <v>35</v>
      </c>
      <c r="Y18">
        <f t="shared" si="36"/>
        <v>30</v>
      </c>
      <c r="Z18">
        <f t="shared" si="36"/>
        <v>30</v>
      </c>
      <c r="AA18">
        <f t="shared" si="36"/>
        <v>30</v>
      </c>
      <c r="AB18">
        <f t="shared" si="36"/>
        <v>25</v>
      </c>
      <c r="AC18">
        <f t="shared" si="36"/>
        <v>25</v>
      </c>
      <c r="AD18">
        <f t="shared" si="36"/>
        <v>25</v>
      </c>
      <c r="AE18">
        <f t="shared" si="36"/>
        <v>20</v>
      </c>
      <c r="AF18">
        <f t="shared" si="36"/>
        <v>20</v>
      </c>
      <c r="AG18">
        <f t="shared" si="36"/>
        <v>20</v>
      </c>
      <c r="AH18">
        <f t="shared" si="36"/>
        <v>15</v>
      </c>
      <c r="AI18">
        <f t="shared" ref="AI18" si="37">+AI6+AI12</f>
        <v>15</v>
      </c>
      <c r="AR18">
        <f>370+45</f>
        <v>415</v>
      </c>
      <c r="AS18">
        <f>+AR18+45</f>
        <v>460</v>
      </c>
    </row>
    <row r="19" spans="2:45" x14ac:dyDescent="0.25">
      <c r="E19" s="124" t="s">
        <v>400</v>
      </c>
      <c r="F19" s="217">
        <v>60</v>
      </c>
      <c r="G19" s="217">
        <v>71</v>
      </c>
      <c r="H19" s="217">
        <v>84</v>
      </c>
      <c r="I19" s="217">
        <v>106</v>
      </c>
      <c r="J19" s="217">
        <v>115</v>
      </c>
      <c r="K19" s="217">
        <v>122</v>
      </c>
      <c r="L19" s="217">
        <v>140</v>
      </c>
      <c r="M19">
        <f>+M13+M7</f>
        <v>150</v>
      </c>
      <c r="N19">
        <f t="shared" ref="N19:AH19" si="38">+N13+N7</f>
        <v>171</v>
      </c>
      <c r="O19">
        <f t="shared" si="38"/>
        <v>195</v>
      </c>
      <c r="P19">
        <f t="shared" si="38"/>
        <v>225</v>
      </c>
      <c r="Q19">
        <f t="shared" si="38"/>
        <v>257</v>
      </c>
      <c r="R19">
        <f t="shared" si="38"/>
        <v>292</v>
      </c>
      <c r="S19">
        <f t="shared" si="38"/>
        <v>332</v>
      </c>
      <c r="T19">
        <f>+T13+T7</f>
        <v>372</v>
      </c>
      <c r="U19">
        <f t="shared" si="38"/>
        <v>407</v>
      </c>
      <c r="V19">
        <f t="shared" si="38"/>
        <v>442</v>
      </c>
      <c r="W19">
        <f t="shared" si="38"/>
        <v>477</v>
      </c>
      <c r="X19">
        <f t="shared" si="38"/>
        <v>512</v>
      </c>
      <c r="Y19">
        <f t="shared" si="38"/>
        <v>542</v>
      </c>
      <c r="Z19">
        <f t="shared" si="38"/>
        <v>572</v>
      </c>
      <c r="AA19">
        <f t="shared" si="38"/>
        <v>602</v>
      </c>
      <c r="AB19">
        <f t="shared" si="38"/>
        <v>627</v>
      </c>
      <c r="AC19">
        <f t="shared" si="38"/>
        <v>652</v>
      </c>
      <c r="AD19">
        <f t="shared" si="38"/>
        <v>677</v>
      </c>
      <c r="AE19">
        <f t="shared" si="38"/>
        <v>697</v>
      </c>
      <c r="AF19">
        <f t="shared" si="38"/>
        <v>717</v>
      </c>
      <c r="AG19">
        <f t="shared" si="38"/>
        <v>737</v>
      </c>
      <c r="AH19">
        <f t="shared" si="38"/>
        <v>752</v>
      </c>
      <c r="AI19">
        <f t="shared" ref="AI19" si="39">+AI13+AI7</f>
        <v>767</v>
      </c>
    </row>
    <row r="20" spans="2:45" x14ac:dyDescent="0.25">
      <c r="E20" s="124" t="s">
        <v>507</v>
      </c>
      <c r="F20" s="92"/>
      <c r="G20" s="92">
        <f t="shared" ref="G20:P20" si="40">+G19/F19-1</f>
        <v>0.18333333333333335</v>
      </c>
      <c r="H20" s="92">
        <f t="shared" si="40"/>
        <v>0.18309859154929575</v>
      </c>
      <c r="I20" s="92">
        <f t="shared" si="40"/>
        <v>0.26190476190476186</v>
      </c>
      <c r="J20" s="92">
        <f t="shared" si="40"/>
        <v>8.4905660377358583E-2</v>
      </c>
      <c r="K20" s="92">
        <f t="shared" si="40"/>
        <v>6.0869565217391397E-2</v>
      </c>
      <c r="L20" s="218">
        <f t="shared" si="40"/>
        <v>0.14754098360655732</v>
      </c>
      <c r="M20" s="218">
        <f t="shared" si="40"/>
        <v>7.1428571428571397E-2</v>
      </c>
      <c r="N20" s="92">
        <f t="shared" si="40"/>
        <v>0.1399999999999999</v>
      </c>
      <c r="O20" s="92">
        <f t="shared" si="40"/>
        <v>0.14035087719298245</v>
      </c>
      <c r="P20" s="92">
        <f t="shared" si="40"/>
        <v>0.15384615384615374</v>
      </c>
      <c r="Q20" s="92">
        <f t="shared" ref="Q20:AI20" si="41">+Q19/P19-1</f>
        <v>0.14222222222222225</v>
      </c>
      <c r="R20" s="92">
        <f t="shared" si="41"/>
        <v>0.13618677042801552</v>
      </c>
      <c r="S20" s="92">
        <f t="shared" si="41"/>
        <v>0.13698630136986312</v>
      </c>
      <c r="T20" s="92">
        <f t="shared" si="41"/>
        <v>0.12048192771084332</v>
      </c>
      <c r="U20" s="92">
        <f t="shared" si="41"/>
        <v>9.4086021505376261E-2</v>
      </c>
      <c r="V20" s="92">
        <f t="shared" si="41"/>
        <v>8.5995085995085985E-2</v>
      </c>
      <c r="W20" s="92">
        <f t="shared" si="41"/>
        <v>7.9185520361990891E-2</v>
      </c>
      <c r="X20" s="92">
        <f t="shared" si="41"/>
        <v>7.3375262054507395E-2</v>
      </c>
      <c r="Y20" s="92">
        <f t="shared" si="41"/>
        <v>5.859375E-2</v>
      </c>
      <c r="Z20" s="92">
        <f t="shared" si="41"/>
        <v>5.5350553505534972E-2</v>
      </c>
      <c r="AA20" s="92">
        <f>+AA19/Z19-1</f>
        <v>5.2447552447552503E-2</v>
      </c>
      <c r="AB20" s="92">
        <f t="shared" si="41"/>
        <v>4.1528239202657913E-2</v>
      </c>
      <c r="AC20" s="92">
        <f t="shared" si="41"/>
        <v>3.9872408293460948E-2</v>
      </c>
      <c r="AD20" s="92">
        <f t="shared" si="41"/>
        <v>3.8343558282208479E-2</v>
      </c>
      <c r="AE20" s="92">
        <f t="shared" si="41"/>
        <v>2.9542097488921781E-2</v>
      </c>
      <c r="AF20" s="92">
        <f t="shared" si="41"/>
        <v>2.8694404591104838E-2</v>
      </c>
      <c r="AG20" s="92">
        <f t="shared" si="41"/>
        <v>2.7894002789400352E-2</v>
      </c>
      <c r="AH20" s="92">
        <f t="shared" si="41"/>
        <v>2.0352781546811416E-2</v>
      </c>
      <c r="AI20" s="92">
        <f t="shared" si="41"/>
        <v>1.9946808510638236E-2</v>
      </c>
    </row>
    <row r="21" spans="2:45" x14ac:dyDescent="0.25">
      <c r="E21" s="124" t="s">
        <v>508</v>
      </c>
      <c r="G21">
        <f t="shared" ref="G21:P21" si="42">+G19-F19</f>
        <v>11</v>
      </c>
      <c r="H21">
        <f t="shared" si="42"/>
        <v>13</v>
      </c>
      <c r="I21">
        <f t="shared" si="42"/>
        <v>22</v>
      </c>
      <c r="J21">
        <f t="shared" si="42"/>
        <v>9</v>
      </c>
      <c r="K21">
        <f t="shared" si="42"/>
        <v>7</v>
      </c>
      <c r="L21">
        <f t="shared" si="42"/>
        <v>18</v>
      </c>
      <c r="M21">
        <f t="shared" si="42"/>
        <v>10</v>
      </c>
      <c r="N21">
        <f t="shared" si="42"/>
        <v>21</v>
      </c>
      <c r="O21">
        <f t="shared" si="42"/>
        <v>24</v>
      </c>
      <c r="P21">
        <f t="shared" si="42"/>
        <v>30</v>
      </c>
      <c r="Q21">
        <f t="shared" ref="Q21:AI21" si="43">+Q19-P19</f>
        <v>32</v>
      </c>
      <c r="R21">
        <f t="shared" si="43"/>
        <v>35</v>
      </c>
      <c r="S21">
        <f t="shared" si="43"/>
        <v>40</v>
      </c>
      <c r="T21">
        <f>+T19-S19</f>
        <v>40</v>
      </c>
      <c r="U21">
        <f t="shared" si="43"/>
        <v>35</v>
      </c>
      <c r="V21">
        <f t="shared" si="43"/>
        <v>35</v>
      </c>
      <c r="W21">
        <f t="shared" si="43"/>
        <v>35</v>
      </c>
      <c r="X21">
        <f t="shared" si="43"/>
        <v>35</v>
      </c>
      <c r="Y21">
        <f t="shared" si="43"/>
        <v>30</v>
      </c>
      <c r="Z21">
        <f t="shared" si="43"/>
        <v>30</v>
      </c>
      <c r="AA21">
        <f t="shared" si="43"/>
        <v>30</v>
      </c>
      <c r="AB21">
        <f t="shared" si="43"/>
        <v>25</v>
      </c>
      <c r="AC21">
        <f t="shared" si="43"/>
        <v>25</v>
      </c>
      <c r="AD21">
        <f t="shared" si="43"/>
        <v>25</v>
      </c>
      <c r="AE21">
        <f t="shared" si="43"/>
        <v>20</v>
      </c>
      <c r="AF21">
        <f t="shared" si="43"/>
        <v>20</v>
      </c>
      <c r="AG21">
        <f t="shared" si="43"/>
        <v>20</v>
      </c>
      <c r="AH21">
        <f t="shared" si="43"/>
        <v>15</v>
      </c>
      <c r="AI21">
        <f t="shared" si="43"/>
        <v>15</v>
      </c>
    </row>
    <row r="22" spans="2:45" x14ac:dyDescent="0.25">
      <c r="E22" s="124" t="s">
        <v>448</v>
      </c>
      <c r="O22" s="92">
        <f>+(O19/J19)^(1/5)-1</f>
        <v>0.11139222486886502</v>
      </c>
      <c r="R22" s="91">
        <f>(R19/O19)^(1/3)-1</f>
        <v>0.14406161171486076</v>
      </c>
      <c r="T22" s="92">
        <f>+(T19/O19)^(1/5)-1</f>
        <v>0.1378936286438408</v>
      </c>
      <c r="AI22" s="92">
        <f>+(AI19/O19)^(1/20)-1</f>
        <v>7.0873169702819316E-2</v>
      </c>
    </row>
    <row r="23" spans="2:45" x14ac:dyDescent="0.25">
      <c r="E23" s="123"/>
      <c r="F23" s="123"/>
      <c r="G23" s="123"/>
      <c r="H23" s="123"/>
      <c r="I23" s="123"/>
      <c r="J23" s="123"/>
      <c r="K23" s="123"/>
      <c r="L23" s="123"/>
      <c r="M23" s="125" t="str">
        <f>M4</f>
        <v>FY22</v>
      </c>
      <c r="N23" s="125" t="str">
        <f t="shared" ref="N23:AI23" si="44">N4</f>
        <v>FY23</v>
      </c>
      <c r="O23" s="125" t="str">
        <f t="shared" si="44"/>
        <v>FY24</v>
      </c>
      <c r="P23" s="125" t="str">
        <f t="shared" si="44"/>
        <v>FY25</v>
      </c>
      <c r="Q23" s="125" t="str">
        <f t="shared" si="44"/>
        <v>FY26</v>
      </c>
      <c r="R23" s="125" t="str">
        <f t="shared" si="44"/>
        <v>FY27</v>
      </c>
      <c r="S23" s="125" t="str">
        <f t="shared" si="44"/>
        <v>FY28</v>
      </c>
      <c r="T23" s="125" t="str">
        <f t="shared" si="44"/>
        <v>FY29</v>
      </c>
      <c r="U23" s="125" t="str">
        <f t="shared" si="44"/>
        <v>FY30</v>
      </c>
      <c r="V23" s="125" t="str">
        <f t="shared" si="44"/>
        <v>FY31</v>
      </c>
      <c r="W23" s="125" t="str">
        <f t="shared" si="44"/>
        <v>FY32</v>
      </c>
      <c r="X23" s="125" t="str">
        <f t="shared" si="44"/>
        <v>FY33</v>
      </c>
      <c r="Y23" s="125" t="str">
        <f t="shared" si="44"/>
        <v>FY34</v>
      </c>
      <c r="Z23" s="125" t="str">
        <f t="shared" si="44"/>
        <v>FY35</v>
      </c>
      <c r="AA23" s="125" t="str">
        <f t="shared" si="44"/>
        <v>FY36</v>
      </c>
      <c r="AB23" s="125" t="str">
        <f t="shared" si="44"/>
        <v>FY37</v>
      </c>
      <c r="AC23" s="125" t="str">
        <f t="shared" si="44"/>
        <v>FY38</v>
      </c>
      <c r="AD23" s="125" t="str">
        <f t="shared" si="44"/>
        <v>FY39</v>
      </c>
      <c r="AE23" s="125" t="str">
        <f t="shared" si="44"/>
        <v>FY40</v>
      </c>
      <c r="AF23" s="125" t="str">
        <f t="shared" si="44"/>
        <v>FY41</v>
      </c>
      <c r="AG23" s="125" t="str">
        <f t="shared" si="44"/>
        <v>FY42</v>
      </c>
      <c r="AH23" s="125" t="str">
        <f t="shared" si="44"/>
        <v>FY43</v>
      </c>
      <c r="AI23" s="125" t="str">
        <f t="shared" si="44"/>
        <v>FY44</v>
      </c>
    </row>
    <row r="24" spans="2:45" x14ac:dyDescent="0.25">
      <c r="E24" s="124" t="s">
        <v>403</v>
      </c>
      <c r="F24" s="213"/>
      <c r="G24" s="213"/>
      <c r="H24" s="213"/>
      <c r="I24" s="213"/>
      <c r="J24" s="213"/>
      <c r="K24" s="213"/>
      <c r="L24" s="213"/>
      <c r="M24" s="213"/>
      <c r="N24" s="213"/>
      <c r="O24" s="122">
        <f>ROUND(88/185*O19,0)</f>
        <v>93</v>
      </c>
      <c r="P24" s="120">
        <f>+O24+P25</f>
        <v>113</v>
      </c>
      <c r="Q24" s="120">
        <f>+P24+Q25</f>
        <v>137</v>
      </c>
      <c r="R24" s="120">
        <f>+Q24+R25</f>
        <v>166</v>
      </c>
      <c r="S24" s="120">
        <f t="shared" ref="S24:AH24" si="45">+R24+S25</f>
        <v>200</v>
      </c>
      <c r="T24" s="120">
        <f t="shared" si="45"/>
        <v>234</v>
      </c>
      <c r="U24" s="120">
        <f t="shared" si="45"/>
        <v>263</v>
      </c>
      <c r="V24" s="120">
        <f t="shared" si="45"/>
        <v>292</v>
      </c>
      <c r="W24" s="120">
        <f t="shared" si="45"/>
        <v>321</v>
      </c>
      <c r="X24" s="120">
        <f t="shared" si="45"/>
        <v>350</v>
      </c>
      <c r="Y24" s="120">
        <f t="shared" si="45"/>
        <v>375</v>
      </c>
      <c r="Z24" s="120">
        <f t="shared" si="45"/>
        <v>400</v>
      </c>
      <c r="AA24" s="120">
        <f t="shared" si="45"/>
        <v>425</v>
      </c>
      <c r="AB24" s="120">
        <f t="shared" si="45"/>
        <v>446</v>
      </c>
      <c r="AC24" s="120">
        <f t="shared" si="45"/>
        <v>467</v>
      </c>
      <c r="AD24" s="120">
        <f t="shared" si="45"/>
        <v>488</v>
      </c>
      <c r="AE24" s="120">
        <f t="shared" si="45"/>
        <v>505</v>
      </c>
      <c r="AF24" s="120">
        <f t="shared" si="45"/>
        <v>522</v>
      </c>
      <c r="AG24" s="120">
        <f t="shared" si="45"/>
        <v>539</v>
      </c>
      <c r="AH24" s="120">
        <f t="shared" si="45"/>
        <v>551</v>
      </c>
      <c r="AI24" s="120">
        <f>+AH24+AI25</f>
        <v>563</v>
      </c>
    </row>
    <row r="25" spans="2:45" x14ac:dyDescent="0.25">
      <c r="E25" s="123" t="s">
        <v>404</v>
      </c>
      <c r="F25" s="214"/>
      <c r="G25" s="214"/>
      <c r="H25" s="214"/>
      <c r="I25" s="214"/>
      <c r="J25" s="214"/>
      <c r="K25" s="214"/>
      <c r="L25" s="214"/>
      <c r="M25" s="214"/>
      <c r="N25" s="214"/>
      <c r="O25" s="451">
        <v>18</v>
      </c>
      <c r="P25" s="138">
        <f>20</f>
        <v>20</v>
      </c>
      <c r="Q25" s="115">
        <v>24</v>
      </c>
      <c r="R25">
        <f>ROUNDDOWN(0.85*R32,0)</f>
        <v>29</v>
      </c>
      <c r="S25">
        <f>ROUNDDOWN(0.85*S32,0)</f>
        <v>34</v>
      </c>
      <c r="T25">
        <f t="shared" ref="T25:AH25" si="46">ROUNDDOWN(0.85*T32,0)</f>
        <v>34</v>
      </c>
      <c r="U25">
        <f t="shared" si="46"/>
        <v>29</v>
      </c>
      <c r="V25">
        <f t="shared" si="46"/>
        <v>29</v>
      </c>
      <c r="W25">
        <f t="shared" si="46"/>
        <v>29</v>
      </c>
      <c r="X25">
        <f t="shared" si="46"/>
        <v>29</v>
      </c>
      <c r="Y25">
        <f t="shared" si="46"/>
        <v>25</v>
      </c>
      <c r="Z25">
        <f t="shared" si="46"/>
        <v>25</v>
      </c>
      <c r="AA25">
        <f t="shared" si="46"/>
        <v>25</v>
      </c>
      <c r="AB25">
        <f t="shared" si="46"/>
        <v>21</v>
      </c>
      <c r="AC25">
        <f t="shared" si="46"/>
        <v>21</v>
      </c>
      <c r="AD25">
        <f t="shared" si="46"/>
        <v>21</v>
      </c>
      <c r="AE25">
        <f t="shared" si="46"/>
        <v>17</v>
      </c>
      <c r="AF25">
        <f t="shared" si="46"/>
        <v>17</v>
      </c>
      <c r="AG25">
        <f t="shared" si="46"/>
        <v>17</v>
      </c>
      <c r="AH25">
        <f t="shared" si="46"/>
        <v>12</v>
      </c>
      <c r="AI25">
        <f>ROUNDDOWN(0.85*AI32,0)</f>
        <v>12</v>
      </c>
    </row>
    <row r="26" spans="2:45" x14ac:dyDescent="0.25">
      <c r="E26" s="126" t="s">
        <v>412</v>
      </c>
      <c r="F26" s="215"/>
      <c r="G26" s="215"/>
      <c r="H26" s="215"/>
      <c r="I26" s="215"/>
      <c r="J26" s="215"/>
      <c r="K26" s="215"/>
      <c r="L26" s="215"/>
      <c r="M26" s="215"/>
      <c r="N26" s="215"/>
      <c r="O26" s="121">
        <f>O25/(O25+O29)</f>
        <v>0.75</v>
      </c>
      <c r="P26" s="121">
        <f>P25/(P25+P29)</f>
        <v>0.66666666666666663</v>
      </c>
      <c r="Q26" s="121">
        <f>Q25/(Q25+Q29)</f>
        <v>0.75</v>
      </c>
      <c r="R26" s="121">
        <f>R25/(R25+R29)</f>
        <v>0.82857142857142863</v>
      </c>
      <c r="S26" s="121">
        <f t="shared" ref="S26:AH26" si="47">S25/(S25+S29)</f>
        <v>0.85</v>
      </c>
      <c r="T26" s="121">
        <f t="shared" si="47"/>
        <v>0.85</v>
      </c>
      <c r="U26" s="121">
        <f>U25/(U25+U29)</f>
        <v>0.82857142857142863</v>
      </c>
      <c r="V26" s="121">
        <f t="shared" si="47"/>
        <v>0.82857142857142863</v>
      </c>
      <c r="W26" s="121">
        <f t="shared" si="47"/>
        <v>0.82857142857142863</v>
      </c>
      <c r="X26" s="121">
        <f t="shared" si="47"/>
        <v>0.82857142857142863</v>
      </c>
      <c r="Y26" s="121">
        <f t="shared" si="47"/>
        <v>0.83333333333333337</v>
      </c>
      <c r="Z26" s="121">
        <f t="shared" si="47"/>
        <v>0.83333333333333337</v>
      </c>
      <c r="AA26" s="121">
        <f t="shared" si="47"/>
        <v>0.83333333333333337</v>
      </c>
      <c r="AB26" s="121">
        <f t="shared" si="47"/>
        <v>0.84</v>
      </c>
      <c r="AC26" s="121">
        <f t="shared" si="47"/>
        <v>0.84</v>
      </c>
      <c r="AD26" s="121">
        <f t="shared" si="47"/>
        <v>0.84</v>
      </c>
      <c r="AE26" s="121">
        <f t="shared" si="47"/>
        <v>0.85</v>
      </c>
      <c r="AF26" s="121">
        <f t="shared" si="47"/>
        <v>0.85</v>
      </c>
      <c r="AG26" s="121">
        <f t="shared" si="47"/>
        <v>0.85</v>
      </c>
      <c r="AH26" s="121">
        <f t="shared" si="47"/>
        <v>0.8</v>
      </c>
      <c r="AI26" s="121">
        <f t="shared" ref="AI26" si="48">AI25/(AI25+AI29)</f>
        <v>0.8</v>
      </c>
    </row>
    <row r="27" spans="2:45" ht="6.6" customHeight="1" x14ac:dyDescent="0.25">
      <c r="E27" s="126"/>
      <c r="F27" s="215"/>
      <c r="G27" s="215"/>
      <c r="H27" s="215"/>
      <c r="I27" s="215"/>
      <c r="J27" s="215"/>
      <c r="K27" s="215"/>
      <c r="L27" s="215"/>
      <c r="M27" s="215"/>
      <c r="N27" s="215"/>
      <c r="O27" s="115"/>
      <c r="P27" s="121"/>
      <c r="Q27" s="121"/>
      <c r="R27" s="121"/>
      <c r="S27" s="121"/>
      <c r="T27" s="121"/>
      <c r="U27" s="121"/>
      <c r="V27" s="121"/>
      <c r="W27" s="121"/>
      <c r="X27" s="121"/>
      <c r="Y27" s="121"/>
      <c r="Z27" s="121"/>
      <c r="AA27" s="121"/>
      <c r="AB27" s="121"/>
      <c r="AC27" s="121"/>
      <c r="AD27" s="121"/>
      <c r="AE27" s="121"/>
      <c r="AF27" s="121"/>
      <c r="AG27" s="121"/>
      <c r="AH27" s="121"/>
      <c r="AI27" s="121"/>
    </row>
    <row r="28" spans="2:45" x14ac:dyDescent="0.25">
      <c r="E28" s="124" t="s">
        <v>401</v>
      </c>
      <c r="F28" s="213"/>
      <c r="G28" s="213"/>
      <c r="H28" s="213"/>
      <c r="I28" s="213"/>
      <c r="J28" s="213"/>
      <c r="K28" s="213"/>
      <c r="L28" s="213"/>
      <c r="M28" s="213"/>
      <c r="N28" s="213"/>
      <c r="O28" s="115">
        <f>O19-O24</f>
        <v>102</v>
      </c>
      <c r="P28">
        <f>+O28+P29</f>
        <v>112</v>
      </c>
      <c r="Q28">
        <f>+P28+Q29</f>
        <v>120</v>
      </c>
      <c r="R28">
        <f>+Q28+R29</f>
        <v>126</v>
      </c>
      <c r="S28">
        <f t="shared" ref="S28:AI28" si="49">+R28+S29</f>
        <v>132</v>
      </c>
      <c r="T28">
        <f t="shared" si="49"/>
        <v>138</v>
      </c>
      <c r="U28">
        <f t="shared" si="49"/>
        <v>144</v>
      </c>
      <c r="V28">
        <f t="shared" si="49"/>
        <v>150</v>
      </c>
      <c r="W28">
        <f t="shared" si="49"/>
        <v>156</v>
      </c>
      <c r="X28">
        <f t="shared" si="49"/>
        <v>162</v>
      </c>
      <c r="Y28">
        <f t="shared" si="49"/>
        <v>167</v>
      </c>
      <c r="Z28">
        <f t="shared" si="49"/>
        <v>172</v>
      </c>
      <c r="AA28">
        <f t="shared" si="49"/>
        <v>177</v>
      </c>
      <c r="AB28">
        <f t="shared" si="49"/>
        <v>181</v>
      </c>
      <c r="AC28">
        <f t="shared" si="49"/>
        <v>185</v>
      </c>
      <c r="AD28">
        <f t="shared" si="49"/>
        <v>189</v>
      </c>
      <c r="AE28">
        <f t="shared" si="49"/>
        <v>192</v>
      </c>
      <c r="AF28">
        <f t="shared" si="49"/>
        <v>195</v>
      </c>
      <c r="AG28">
        <f t="shared" si="49"/>
        <v>198</v>
      </c>
      <c r="AH28">
        <f t="shared" si="49"/>
        <v>201</v>
      </c>
      <c r="AI28">
        <f t="shared" si="49"/>
        <v>204</v>
      </c>
    </row>
    <row r="29" spans="2:45" x14ac:dyDescent="0.25">
      <c r="E29" s="123" t="s">
        <v>404</v>
      </c>
      <c r="F29" s="214"/>
      <c r="G29" s="214"/>
      <c r="H29" s="214"/>
      <c r="I29" s="214"/>
      <c r="J29" s="214"/>
      <c r="K29" s="214"/>
      <c r="L29" s="214"/>
      <c r="M29" s="214"/>
      <c r="N29" s="214"/>
      <c r="O29">
        <f>O6+O12-O25</f>
        <v>6</v>
      </c>
      <c r="P29">
        <f>P6+P12-P25</f>
        <v>10</v>
      </c>
      <c r="Q29" s="224">
        <f>+Q32-Q25</f>
        <v>8</v>
      </c>
      <c r="R29">
        <f>R32-R25</f>
        <v>6</v>
      </c>
      <c r="S29">
        <f>S32-S25</f>
        <v>6</v>
      </c>
      <c r="T29">
        <f>T32-T25</f>
        <v>6</v>
      </c>
      <c r="U29">
        <f t="shared" ref="U29:AH29" si="50">U32-U25</f>
        <v>6</v>
      </c>
      <c r="V29">
        <f t="shared" si="50"/>
        <v>6</v>
      </c>
      <c r="W29">
        <f t="shared" si="50"/>
        <v>6</v>
      </c>
      <c r="X29">
        <f t="shared" si="50"/>
        <v>6</v>
      </c>
      <c r="Y29">
        <f t="shared" si="50"/>
        <v>5</v>
      </c>
      <c r="Z29">
        <f t="shared" si="50"/>
        <v>5</v>
      </c>
      <c r="AA29">
        <f t="shared" si="50"/>
        <v>5</v>
      </c>
      <c r="AB29">
        <f t="shared" si="50"/>
        <v>4</v>
      </c>
      <c r="AC29">
        <f t="shared" si="50"/>
        <v>4</v>
      </c>
      <c r="AD29">
        <f t="shared" si="50"/>
        <v>4</v>
      </c>
      <c r="AE29">
        <f t="shared" si="50"/>
        <v>3</v>
      </c>
      <c r="AF29">
        <f t="shared" si="50"/>
        <v>3</v>
      </c>
      <c r="AG29">
        <f t="shared" si="50"/>
        <v>3</v>
      </c>
      <c r="AH29">
        <f t="shared" si="50"/>
        <v>3</v>
      </c>
      <c r="AI29">
        <f t="shared" ref="AI29" si="51">AI32-AI25</f>
        <v>3</v>
      </c>
    </row>
    <row r="30" spans="2:45" x14ac:dyDescent="0.25">
      <c r="E30" s="126" t="s">
        <v>412</v>
      </c>
      <c r="F30" s="215"/>
      <c r="G30" s="215"/>
      <c r="H30" s="215"/>
      <c r="I30" s="215"/>
      <c r="J30" s="215"/>
      <c r="K30" s="215"/>
      <c r="L30" s="215"/>
      <c r="M30" s="215"/>
      <c r="N30" s="215"/>
      <c r="O30" s="115"/>
      <c r="P30" s="119">
        <f>1-P26</f>
        <v>0.33333333333333337</v>
      </c>
      <c r="Q30" s="119">
        <f>1-Q26</f>
        <v>0.25</v>
      </c>
      <c r="R30" s="119">
        <f>1-R26</f>
        <v>0.17142857142857137</v>
      </c>
      <c r="S30" s="119">
        <f t="shared" ref="S30:AH30" si="52">1-S26</f>
        <v>0.15000000000000002</v>
      </c>
      <c r="T30" s="119">
        <f t="shared" si="52"/>
        <v>0.15000000000000002</v>
      </c>
      <c r="U30" s="119">
        <f t="shared" si="52"/>
        <v>0.17142857142857137</v>
      </c>
      <c r="V30" s="119">
        <f t="shared" si="52"/>
        <v>0.17142857142857137</v>
      </c>
      <c r="W30" s="119">
        <f t="shared" si="52"/>
        <v>0.17142857142857137</v>
      </c>
      <c r="X30" s="119">
        <f t="shared" si="52"/>
        <v>0.17142857142857137</v>
      </c>
      <c r="Y30" s="119">
        <f t="shared" si="52"/>
        <v>0.16666666666666663</v>
      </c>
      <c r="Z30" s="119">
        <f t="shared" si="52"/>
        <v>0.16666666666666663</v>
      </c>
      <c r="AA30" s="119">
        <f t="shared" si="52"/>
        <v>0.16666666666666663</v>
      </c>
      <c r="AB30" s="119">
        <f t="shared" si="52"/>
        <v>0.16000000000000003</v>
      </c>
      <c r="AC30" s="119">
        <f t="shared" si="52"/>
        <v>0.16000000000000003</v>
      </c>
      <c r="AD30" s="119">
        <f t="shared" si="52"/>
        <v>0.16000000000000003</v>
      </c>
      <c r="AE30" s="119">
        <f t="shared" si="52"/>
        <v>0.15000000000000002</v>
      </c>
      <c r="AF30" s="119">
        <f t="shared" si="52"/>
        <v>0.15000000000000002</v>
      </c>
      <c r="AG30" s="119">
        <f t="shared" si="52"/>
        <v>0.15000000000000002</v>
      </c>
      <c r="AH30" s="119">
        <f t="shared" si="52"/>
        <v>0.19999999999999996</v>
      </c>
      <c r="AI30" s="119">
        <f t="shared" ref="AI30" si="53">1-AI26</f>
        <v>0.19999999999999996</v>
      </c>
    </row>
    <row r="31" spans="2:45" ht="7.35" customHeight="1" x14ac:dyDescent="0.25">
      <c r="E31" s="123"/>
      <c r="F31" s="214"/>
      <c r="G31" s="214"/>
      <c r="H31" s="214"/>
      <c r="I31" s="214"/>
      <c r="J31" s="214"/>
      <c r="K31" s="214"/>
      <c r="L31" s="214"/>
      <c r="M31" s="214"/>
      <c r="N31" s="214"/>
      <c r="O31" s="115"/>
    </row>
    <row r="32" spans="2:45" x14ac:dyDescent="0.25">
      <c r="B32" t="s">
        <v>566</v>
      </c>
      <c r="E32" s="124" t="s">
        <v>413</v>
      </c>
      <c r="F32" s="213"/>
      <c r="G32" s="213"/>
      <c r="H32" s="213"/>
      <c r="I32" s="213"/>
      <c r="J32" s="213"/>
      <c r="K32" s="213"/>
      <c r="L32" s="213"/>
      <c r="M32" s="213"/>
      <c r="N32" s="213"/>
      <c r="O32" s="115"/>
      <c r="P32" s="62">
        <f>+P25+P29</f>
        <v>30</v>
      </c>
      <c r="Q32" s="115">
        <v>32</v>
      </c>
      <c r="R32" s="138">
        <v>35</v>
      </c>
      <c r="S32" s="223">
        <v>40</v>
      </c>
      <c r="T32" s="64">
        <v>40</v>
      </c>
      <c r="U32" s="64">
        <v>35</v>
      </c>
      <c r="V32" s="139">
        <v>35</v>
      </c>
      <c r="W32" s="139">
        <v>35</v>
      </c>
      <c r="X32" s="139">
        <v>35</v>
      </c>
      <c r="Y32" s="139">
        <v>30</v>
      </c>
      <c r="Z32" s="139">
        <v>30</v>
      </c>
      <c r="AA32" s="139">
        <f t="shared" ref="AA32:AG32" si="54">+Z32</f>
        <v>30</v>
      </c>
      <c r="AB32" s="139">
        <v>25</v>
      </c>
      <c r="AC32" s="139">
        <f t="shared" si="54"/>
        <v>25</v>
      </c>
      <c r="AD32" s="139">
        <f t="shared" si="54"/>
        <v>25</v>
      </c>
      <c r="AE32" s="139">
        <v>20</v>
      </c>
      <c r="AF32" s="139">
        <f t="shared" si="54"/>
        <v>20</v>
      </c>
      <c r="AG32" s="139">
        <f t="shared" si="54"/>
        <v>20</v>
      </c>
      <c r="AH32" s="139">
        <v>15</v>
      </c>
      <c r="AI32" s="139">
        <f>+AH32</f>
        <v>15</v>
      </c>
    </row>
    <row r="33" spans="5:44" x14ac:dyDescent="0.25">
      <c r="E33" s="123"/>
      <c r="F33" s="214"/>
      <c r="G33" s="214"/>
      <c r="H33" s="214"/>
      <c r="I33" s="214"/>
      <c r="J33" s="214"/>
      <c r="K33" s="214"/>
      <c r="L33" s="214"/>
      <c r="O33" s="115"/>
      <c r="R33" s="115">
        <f>P32+Q32+R32</f>
        <v>97</v>
      </c>
    </row>
    <row r="34" spans="5:44" x14ac:dyDescent="0.25">
      <c r="E34" s="124" t="s">
        <v>416</v>
      </c>
      <c r="F34" s="213"/>
      <c r="G34" s="213"/>
      <c r="H34" s="213"/>
      <c r="I34" s="213"/>
      <c r="J34" s="213"/>
      <c r="K34" s="213"/>
      <c r="L34" s="213"/>
    </row>
    <row r="35" spans="5:44" x14ac:dyDescent="0.25">
      <c r="E35" s="124" t="s">
        <v>414</v>
      </c>
      <c r="F35" s="213"/>
      <c r="G35" s="213"/>
      <c r="H35" s="213"/>
      <c r="I35" s="213"/>
      <c r="J35" s="213"/>
      <c r="K35" s="213"/>
      <c r="L35" s="213"/>
      <c r="Q35">
        <f>0.625*Q32</f>
        <v>20</v>
      </c>
      <c r="R35">
        <f>0.6*R32</f>
        <v>21</v>
      </c>
      <c r="S35">
        <f>0.6*S32</f>
        <v>24</v>
      </c>
      <c r="T35">
        <f>0.6*T32</f>
        <v>24</v>
      </c>
      <c r="U35">
        <f>0.6*U32</f>
        <v>21</v>
      </c>
      <c r="V35">
        <f t="shared" ref="V35:AH35" si="55">0.6*V32</f>
        <v>21</v>
      </c>
      <c r="W35">
        <f t="shared" si="55"/>
        <v>21</v>
      </c>
      <c r="X35">
        <f t="shared" si="55"/>
        <v>21</v>
      </c>
      <c r="Y35">
        <f t="shared" si="55"/>
        <v>18</v>
      </c>
      <c r="Z35">
        <f t="shared" si="55"/>
        <v>18</v>
      </c>
      <c r="AA35">
        <f t="shared" si="55"/>
        <v>18</v>
      </c>
      <c r="AB35">
        <f t="shared" si="55"/>
        <v>15</v>
      </c>
      <c r="AC35">
        <f t="shared" si="55"/>
        <v>15</v>
      </c>
      <c r="AD35">
        <f t="shared" si="55"/>
        <v>15</v>
      </c>
      <c r="AE35">
        <f t="shared" si="55"/>
        <v>12</v>
      </c>
      <c r="AF35">
        <f t="shared" si="55"/>
        <v>12</v>
      </c>
      <c r="AG35">
        <f t="shared" si="55"/>
        <v>12</v>
      </c>
      <c r="AH35">
        <f t="shared" si="55"/>
        <v>9</v>
      </c>
      <c r="AI35">
        <f t="shared" ref="AI35" si="56">0.6*AI32</f>
        <v>9</v>
      </c>
    </row>
    <row r="36" spans="5:44" x14ac:dyDescent="0.25">
      <c r="E36" s="127">
        <v>0.6</v>
      </c>
      <c r="F36" s="216"/>
      <c r="G36" s="216"/>
      <c r="H36" s="216"/>
      <c r="I36" s="216"/>
      <c r="J36" s="216"/>
      <c r="K36" s="216"/>
      <c r="L36" s="216"/>
      <c r="O36" s="91">
        <f>O6/(O6+O12)</f>
        <v>0.625</v>
      </c>
      <c r="P36" s="91">
        <f>P6/(P6+P12)</f>
        <v>0.43333333333333335</v>
      </c>
      <c r="Q36" s="91">
        <f>Q35/(Q$32)</f>
        <v>0.625</v>
      </c>
      <c r="R36" s="91">
        <f t="shared" ref="R36:AH36" si="57">R35/(R$32)</f>
        <v>0.6</v>
      </c>
      <c r="S36" s="91">
        <f t="shared" si="57"/>
        <v>0.6</v>
      </c>
      <c r="T36" s="91">
        <f t="shared" si="57"/>
        <v>0.6</v>
      </c>
      <c r="U36" s="91">
        <f t="shared" si="57"/>
        <v>0.6</v>
      </c>
      <c r="V36" s="91">
        <f t="shared" si="57"/>
        <v>0.6</v>
      </c>
      <c r="W36" s="91">
        <f t="shared" si="57"/>
        <v>0.6</v>
      </c>
      <c r="X36" s="91">
        <f t="shared" si="57"/>
        <v>0.6</v>
      </c>
      <c r="Y36" s="91">
        <f t="shared" si="57"/>
        <v>0.6</v>
      </c>
      <c r="Z36" s="91">
        <f t="shared" si="57"/>
        <v>0.6</v>
      </c>
      <c r="AA36" s="91">
        <f t="shared" si="57"/>
        <v>0.6</v>
      </c>
      <c r="AB36" s="91">
        <f t="shared" si="57"/>
        <v>0.6</v>
      </c>
      <c r="AC36" s="91">
        <f t="shared" si="57"/>
        <v>0.6</v>
      </c>
      <c r="AD36" s="91">
        <f t="shared" si="57"/>
        <v>0.6</v>
      </c>
      <c r="AE36" s="91">
        <f t="shared" si="57"/>
        <v>0.6</v>
      </c>
      <c r="AF36" s="91">
        <f t="shared" si="57"/>
        <v>0.6</v>
      </c>
      <c r="AG36" s="91">
        <f t="shared" si="57"/>
        <v>0.6</v>
      </c>
      <c r="AH36" s="91">
        <f t="shared" si="57"/>
        <v>0.6</v>
      </c>
      <c r="AI36" s="91">
        <f t="shared" ref="AI36" si="58">AI35/(AI$32)</f>
        <v>0.6</v>
      </c>
    </row>
    <row r="37" spans="5:44" x14ac:dyDescent="0.25">
      <c r="E37" s="124" t="s">
        <v>415</v>
      </c>
      <c r="F37" s="213"/>
      <c r="G37" s="213"/>
      <c r="H37" s="213"/>
      <c r="I37" s="213"/>
      <c r="J37" s="213"/>
      <c r="K37" s="213"/>
      <c r="L37" s="213"/>
      <c r="Q37">
        <f>+Q32-Q35</f>
        <v>12</v>
      </c>
      <c r="R37">
        <f>+R32-R35</f>
        <v>14</v>
      </c>
      <c r="S37">
        <f>+S32-S35</f>
        <v>16</v>
      </c>
      <c r="T37">
        <f>+T32-T35</f>
        <v>16</v>
      </c>
      <c r="U37">
        <f>+U32-U35</f>
        <v>14</v>
      </c>
      <c r="V37">
        <f t="shared" ref="V37:AH37" si="59">+V32-V35</f>
        <v>14</v>
      </c>
      <c r="W37">
        <f t="shared" si="59"/>
        <v>14</v>
      </c>
      <c r="X37">
        <f t="shared" si="59"/>
        <v>14</v>
      </c>
      <c r="Y37">
        <f t="shared" si="59"/>
        <v>12</v>
      </c>
      <c r="Z37">
        <f t="shared" si="59"/>
        <v>12</v>
      </c>
      <c r="AA37">
        <f t="shared" si="59"/>
        <v>12</v>
      </c>
      <c r="AB37">
        <f t="shared" si="59"/>
        <v>10</v>
      </c>
      <c r="AC37">
        <f t="shared" si="59"/>
        <v>10</v>
      </c>
      <c r="AD37">
        <f t="shared" si="59"/>
        <v>10</v>
      </c>
      <c r="AE37">
        <f t="shared" si="59"/>
        <v>8</v>
      </c>
      <c r="AF37">
        <f t="shared" si="59"/>
        <v>8</v>
      </c>
      <c r="AG37">
        <f t="shared" si="59"/>
        <v>8</v>
      </c>
      <c r="AH37">
        <f t="shared" si="59"/>
        <v>6</v>
      </c>
      <c r="AI37">
        <f t="shared" ref="AI37" si="60">+AI32-AI35</f>
        <v>6</v>
      </c>
    </row>
    <row r="38" spans="5:44" x14ac:dyDescent="0.25">
      <c r="E38" s="127">
        <f>1-E36</f>
        <v>0.4</v>
      </c>
      <c r="F38" s="216"/>
      <c r="G38" s="216"/>
      <c r="H38" s="216"/>
      <c r="I38" s="216"/>
      <c r="J38" s="216"/>
      <c r="K38" s="216"/>
      <c r="L38" s="216"/>
      <c r="O38" s="119">
        <f>1-O36</f>
        <v>0.375</v>
      </c>
      <c r="P38" s="119">
        <f>1-P36</f>
        <v>0.56666666666666665</v>
      </c>
      <c r="Q38" s="91">
        <f>Q37/(Q$32)</f>
        <v>0.375</v>
      </c>
      <c r="R38" s="91">
        <f t="shared" ref="R38:AH38" si="61">R37/(R$32)</f>
        <v>0.4</v>
      </c>
      <c r="S38" s="91">
        <f t="shared" si="61"/>
        <v>0.4</v>
      </c>
      <c r="T38" s="91">
        <f t="shared" si="61"/>
        <v>0.4</v>
      </c>
      <c r="U38" s="91">
        <f t="shared" si="61"/>
        <v>0.4</v>
      </c>
      <c r="V38" s="91">
        <f t="shared" si="61"/>
        <v>0.4</v>
      </c>
      <c r="W38" s="91">
        <f t="shared" si="61"/>
        <v>0.4</v>
      </c>
      <c r="X38" s="91">
        <f t="shared" si="61"/>
        <v>0.4</v>
      </c>
      <c r="Y38" s="91">
        <f t="shared" si="61"/>
        <v>0.4</v>
      </c>
      <c r="Z38" s="91">
        <f t="shared" si="61"/>
        <v>0.4</v>
      </c>
      <c r="AA38" s="91">
        <f t="shared" si="61"/>
        <v>0.4</v>
      </c>
      <c r="AB38" s="91">
        <f t="shared" si="61"/>
        <v>0.4</v>
      </c>
      <c r="AC38" s="91">
        <f t="shared" si="61"/>
        <v>0.4</v>
      </c>
      <c r="AD38" s="91">
        <f t="shared" si="61"/>
        <v>0.4</v>
      </c>
      <c r="AE38" s="91">
        <f t="shared" si="61"/>
        <v>0.4</v>
      </c>
      <c r="AF38" s="91">
        <f t="shared" si="61"/>
        <v>0.4</v>
      </c>
      <c r="AG38" s="91">
        <f t="shared" si="61"/>
        <v>0.4</v>
      </c>
      <c r="AH38" s="91">
        <f t="shared" si="61"/>
        <v>0.4</v>
      </c>
      <c r="AI38" s="91">
        <f t="shared" ref="AI38" si="62">AI37/(AI$32)</f>
        <v>0.4</v>
      </c>
    </row>
    <row r="41" spans="5:44" x14ac:dyDescent="0.25">
      <c r="E41" t="s">
        <v>403</v>
      </c>
      <c r="O41" s="91">
        <f>O24/(O28+O24)</f>
        <v>0.47692307692307695</v>
      </c>
      <c r="P41" s="91">
        <f t="shared" ref="P41:AG41" si="63">P24/(P28+P24)</f>
        <v>0.50222222222222224</v>
      </c>
      <c r="Q41" s="91">
        <f t="shared" si="63"/>
        <v>0.53307392996108949</v>
      </c>
      <c r="R41" s="91">
        <f t="shared" si="63"/>
        <v>0.56849315068493156</v>
      </c>
      <c r="S41" s="91">
        <f t="shared" si="63"/>
        <v>0.60240963855421692</v>
      </c>
      <c r="T41" s="91">
        <f>T24/(T28+T24)</f>
        <v>0.62903225806451613</v>
      </c>
      <c r="U41" s="91">
        <f t="shared" si="63"/>
        <v>0.64619164619164615</v>
      </c>
      <c r="V41" s="91">
        <f t="shared" si="63"/>
        <v>0.66063348416289591</v>
      </c>
      <c r="W41" s="91">
        <f t="shared" si="63"/>
        <v>0.67295597484276726</v>
      </c>
      <c r="X41" s="91">
        <f t="shared" si="63"/>
        <v>0.68359375</v>
      </c>
      <c r="Y41" s="91">
        <f t="shared" si="63"/>
        <v>0.69188191881918815</v>
      </c>
      <c r="Z41" s="91">
        <f t="shared" si="63"/>
        <v>0.69930069930069927</v>
      </c>
      <c r="AA41" s="91">
        <f t="shared" si="63"/>
        <v>0.70598006644518274</v>
      </c>
      <c r="AB41" s="91">
        <f t="shared" si="63"/>
        <v>0.71132376395534291</v>
      </c>
      <c r="AC41" s="91">
        <f t="shared" si="63"/>
        <v>0.71625766871165641</v>
      </c>
      <c r="AD41" s="91">
        <f t="shared" si="63"/>
        <v>0.72082717872968982</v>
      </c>
      <c r="AE41" s="91">
        <f t="shared" si="63"/>
        <v>0.72453371592539451</v>
      </c>
      <c r="AF41" s="91">
        <f t="shared" si="63"/>
        <v>0.72803347280334729</v>
      </c>
      <c r="AG41" s="91">
        <f t="shared" si="63"/>
        <v>0.73134328358208955</v>
      </c>
      <c r="AH41" s="91">
        <f>AH24/(AH28+AH24)</f>
        <v>0.73271276595744683</v>
      </c>
      <c r="AI41" s="91">
        <f>AI24/(AI28+AI24)</f>
        <v>0.73402868318122561</v>
      </c>
    </row>
    <row r="42" spans="5:44" x14ac:dyDescent="0.25">
      <c r="E42" t="s">
        <v>417</v>
      </c>
      <c r="O42" s="119">
        <f>1-O41</f>
        <v>0.52307692307692299</v>
      </c>
      <c r="P42" s="119">
        <f t="shared" ref="P42:AH42" si="64">1-P41</f>
        <v>0.49777777777777776</v>
      </c>
      <c r="Q42" s="119">
        <f t="shared" si="64"/>
        <v>0.46692607003891051</v>
      </c>
      <c r="R42" s="119">
        <f t="shared" si="64"/>
        <v>0.43150684931506844</v>
      </c>
      <c r="S42" s="119">
        <f t="shared" si="64"/>
        <v>0.39759036144578308</v>
      </c>
      <c r="T42" s="119">
        <f t="shared" si="64"/>
        <v>0.37096774193548387</v>
      </c>
      <c r="U42" s="119">
        <f t="shared" si="64"/>
        <v>0.35380835380835385</v>
      </c>
      <c r="V42" s="119">
        <f t="shared" si="64"/>
        <v>0.33936651583710409</v>
      </c>
      <c r="W42" s="119">
        <f t="shared" si="64"/>
        <v>0.32704402515723274</v>
      </c>
      <c r="X42" s="119">
        <f t="shared" si="64"/>
        <v>0.31640625</v>
      </c>
      <c r="Y42" s="119">
        <f t="shared" si="64"/>
        <v>0.30811808118081185</v>
      </c>
      <c r="Z42" s="119">
        <f t="shared" si="64"/>
        <v>0.30069930069930073</v>
      </c>
      <c r="AA42" s="119">
        <f t="shared" si="64"/>
        <v>0.29401993355481726</v>
      </c>
      <c r="AB42" s="119">
        <f t="shared" si="64"/>
        <v>0.28867623604465709</v>
      </c>
      <c r="AC42" s="119">
        <f t="shared" si="64"/>
        <v>0.28374233128834359</v>
      </c>
      <c r="AD42" s="119">
        <f t="shared" si="64"/>
        <v>0.27917282127031018</v>
      </c>
      <c r="AE42" s="119">
        <f t="shared" si="64"/>
        <v>0.27546628407460549</v>
      </c>
      <c r="AF42" s="119">
        <f t="shared" si="64"/>
        <v>0.27196652719665271</v>
      </c>
      <c r="AG42" s="119">
        <f t="shared" si="64"/>
        <v>0.26865671641791045</v>
      </c>
      <c r="AH42" s="119">
        <f t="shared" si="64"/>
        <v>0.26728723404255317</v>
      </c>
      <c r="AI42" s="119">
        <f t="shared" ref="AI42" si="65">1-AI41</f>
        <v>0.26597131681877439</v>
      </c>
    </row>
    <row r="43" spans="5:44" x14ac:dyDescent="0.25">
      <c r="O43" s="119"/>
      <c r="P43" s="119"/>
      <c r="Q43" s="119"/>
      <c r="R43" s="119"/>
      <c r="S43" s="119"/>
      <c r="T43" s="119"/>
      <c r="U43" s="119"/>
      <c r="V43" s="119"/>
      <c r="W43" s="119"/>
      <c r="X43" s="119"/>
      <c r="Y43" s="119"/>
      <c r="Z43" s="119"/>
      <c r="AA43" s="119"/>
      <c r="AB43" s="119"/>
      <c r="AC43" s="119"/>
      <c r="AD43" s="119"/>
      <c r="AE43" s="119"/>
      <c r="AF43" s="119"/>
      <c r="AG43" s="119"/>
      <c r="AH43" s="119"/>
      <c r="AI43" s="119"/>
    </row>
    <row r="44" spans="5:44" x14ac:dyDescent="0.25">
      <c r="E44" t="s">
        <v>419</v>
      </c>
      <c r="O44" s="119">
        <f>O7/O19</f>
        <v>0.67179487179487174</v>
      </c>
      <c r="P44" s="119">
        <f t="shared" ref="P44:AH44" si="66">P7/P19</f>
        <v>0.64</v>
      </c>
      <c r="Q44" s="119">
        <f t="shared" si="66"/>
        <v>0.63813229571984431</v>
      </c>
      <c r="R44" s="119">
        <f t="shared" si="66"/>
        <v>0.63356164383561642</v>
      </c>
      <c r="S44" s="119">
        <f t="shared" si="66"/>
        <v>0.62951807228915657</v>
      </c>
      <c r="T44" s="119">
        <f t="shared" si="66"/>
        <v>0.62634408602150538</v>
      </c>
      <c r="U44" s="119">
        <f t="shared" si="66"/>
        <v>0.62407862407862413</v>
      </c>
      <c r="V44" s="119">
        <f t="shared" si="66"/>
        <v>0.62217194570135748</v>
      </c>
      <c r="W44" s="119">
        <f t="shared" si="66"/>
        <v>0.6205450733752621</v>
      </c>
      <c r="X44" s="119">
        <f t="shared" si="66"/>
        <v>0.619140625</v>
      </c>
      <c r="Y44" s="119">
        <f t="shared" si="66"/>
        <v>0.61808118081180807</v>
      </c>
      <c r="Z44" s="119">
        <f t="shared" si="66"/>
        <v>0.61713286713286708</v>
      </c>
      <c r="AA44" s="119">
        <f t="shared" si="66"/>
        <v>0.61627906976744184</v>
      </c>
      <c r="AB44" s="119">
        <f t="shared" si="66"/>
        <v>0.61562998405103664</v>
      </c>
      <c r="AC44" s="119">
        <f t="shared" si="66"/>
        <v>0.61503067484662577</v>
      </c>
      <c r="AD44" s="119">
        <f t="shared" si="66"/>
        <v>0.61447562776957165</v>
      </c>
      <c r="AE44" s="119">
        <f t="shared" si="66"/>
        <v>0.61406025824964128</v>
      </c>
      <c r="AF44" s="119">
        <f t="shared" si="66"/>
        <v>0.61366806136680618</v>
      </c>
      <c r="AG44" s="119">
        <f t="shared" si="66"/>
        <v>0.61329715061058343</v>
      </c>
      <c r="AH44" s="119">
        <f t="shared" si="66"/>
        <v>0.61303191489361697</v>
      </c>
      <c r="AI44" s="119">
        <f t="shared" ref="AI44" si="67">AI7/AI19</f>
        <v>0.61277705345501954</v>
      </c>
    </row>
    <row r="45" spans="5:44" x14ac:dyDescent="0.25">
      <c r="E45" t="s">
        <v>420</v>
      </c>
      <c r="O45" s="119">
        <f>O13/O19</f>
        <v>0.3282051282051282</v>
      </c>
      <c r="P45" s="119">
        <f t="shared" ref="P45:AH45" si="68">P13/P19</f>
        <v>0.36</v>
      </c>
      <c r="Q45" s="119">
        <f t="shared" si="68"/>
        <v>0.36186770428015563</v>
      </c>
      <c r="R45" s="119">
        <f t="shared" si="68"/>
        <v>0.36643835616438358</v>
      </c>
      <c r="S45" s="119">
        <f t="shared" si="68"/>
        <v>0.37048192771084337</v>
      </c>
      <c r="T45" s="119">
        <f t="shared" si="68"/>
        <v>0.37365591397849462</v>
      </c>
      <c r="U45" s="119">
        <f t="shared" si="68"/>
        <v>0.37592137592137592</v>
      </c>
      <c r="V45" s="119">
        <f>V13/V19</f>
        <v>0.37782805429864252</v>
      </c>
      <c r="W45" s="119">
        <f t="shared" si="68"/>
        <v>0.37945492662473795</v>
      </c>
      <c r="X45" s="119">
        <f t="shared" si="68"/>
        <v>0.380859375</v>
      </c>
      <c r="Y45" s="119">
        <f t="shared" si="68"/>
        <v>0.38191881918819187</v>
      </c>
      <c r="Z45" s="119">
        <f t="shared" si="68"/>
        <v>0.38286713286713286</v>
      </c>
      <c r="AA45" s="119">
        <f t="shared" si="68"/>
        <v>0.38372093023255816</v>
      </c>
      <c r="AB45" s="119">
        <f t="shared" si="68"/>
        <v>0.38437001594896331</v>
      </c>
      <c r="AC45" s="119">
        <f t="shared" si="68"/>
        <v>0.38496932515337423</v>
      </c>
      <c r="AD45" s="119">
        <f t="shared" si="68"/>
        <v>0.38552437223042835</v>
      </c>
      <c r="AE45" s="119">
        <f t="shared" si="68"/>
        <v>0.38593974175035867</v>
      </c>
      <c r="AF45" s="119">
        <f t="shared" si="68"/>
        <v>0.38633193863319387</v>
      </c>
      <c r="AG45" s="119">
        <f t="shared" si="68"/>
        <v>0.38670284938941657</v>
      </c>
      <c r="AH45" s="119">
        <f t="shared" si="68"/>
        <v>0.38696808510638298</v>
      </c>
      <c r="AI45" s="119">
        <f t="shared" ref="AI45" si="69">AI13/AI19</f>
        <v>0.38722294654498046</v>
      </c>
    </row>
    <row r="46" spans="5:44" x14ac:dyDescent="0.25">
      <c r="AL46" t="s">
        <v>675</v>
      </c>
      <c r="AM46">
        <f>+AM48-AM47</f>
        <v>78</v>
      </c>
      <c r="AN46">
        <f t="shared" ref="AN46:AR46" si="70">+AN48-AN47</f>
        <v>82</v>
      </c>
      <c r="AO46">
        <f t="shared" si="70"/>
        <v>88</v>
      </c>
      <c r="AP46">
        <f t="shared" si="70"/>
        <v>91</v>
      </c>
      <c r="AQ46">
        <f t="shared" si="70"/>
        <v>92</v>
      </c>
      <c r="AR46">
        <f t="shared" si="70"/>
        <v>98</v>
      </c>
    </row>
    <row r="47" spans="5:44" x14ac:dyDescent="0.25">
      <c r="E47" t="s">
        <v>411</v>
      </c>
      <c r="AL47" t="s">
        <v>674</v>
      </c>
      <c r="AM47">
        <f>+O24</f>
        <v>93</v>
      </c>
      <c r="AN47">
        <f t="shared" ref="AN47:AR47" si="71">+P24</f>
        <v>113</v>
      </c>
      <c r="AO47">
        <f t="shared" si="71"/>
        <v>137</v>
      </c>
      <c r="AP47">
        <f t="shared" si="71"/>
        <v>166</v>
      </c>
      <c r="AQ47">
        <f t="shared" si="71"/>
        <v>200</v>
      </c>
      <c r="AR47">
        <f t="shared" si="71"/>
        <v>234</v>
      </c>
    </row>
    <row r="48" spans="5:44" x14ac:dyDescent="0.25">
      <c r="E48" t="s">
        <v>402</v>
      </c>
      <c r="AM48">
        <f>+O17</f>
        <v>171</v>
      </c>
      <c r="AN48">
        <f t="shared" ref="AN48:AR48" si="72">+P17</f>
        <v>195</v>
      </c>
      <c r="AO48">
        <f t="shared" si="72"/>
        <v>225</v>
      </c>
      <c r="AP48">
        <f t="shared" si="72"/>
        <v>257</v>
      </c>
      <c r="AQ48">
        <f t="shared" si="72"/>
        <v>292</v>
      </c>
      <c r="AR48">
        <f t="shared" si="72"/>
        <v>332</v>
      </c>
    </row>
    <row r="49" spans="5:45" x14ac:dyDescent="0.25">
      <c r="E49" t="s">
        <v>410</v>
      </c>
    </row>
    <row r="50" spans="5:45" x14ac:dyDescent="0.25">
      <c r="E50">
        <f>95*0.85</f>
        <v>80.75</v>
      </c>
      <c r="F50">
        <f>+E50-20</f>
        <v>60.75</v>
      </c>
      <c r="AM50">
        <v>6.3</v>
      </c>
      <c r="AN50">
        <v>6.3</v>
      </c>
      <c r="AO50">
        <v>6.3</v>
      </c>
      <c r="AP50">
        <v>6.3</v>
      </c>
      <c r="AQ50">
        <v>6.3</v>
      </c>
      <c r="AR50">
        <v>6.3</v>
      </c>
      <c r="AS50">
        <v>6.3</v>
      </c>
    </row>
    <row r="51" spans="5:45" x14ac:dyDescent="0.25">
      <c r="F51" s="94" t="s">
        <v>407</v>
      </c>
      <c r="G51" s="94" t="s">
        <v>408</v>
      </c>
      <c r="H51" s="94" t="s">
        <v>409</v>
      </c>
      <c r="P51" s="94"/>
      <c r="AM51">
        <v>4.5</v>
      </c>
      <c r="AN51">
        <v>4.5</v>
      </c>
      <c r="AO51">
        <v>4.5</v>
      </c>
      <c r="AP51">
        <v>4.5</v>
      </c>
      <c r="AQ51">
        <v>4.5</v>
      </c>
      <c r="AR51">
        <v>4.5</v>
      </c>
      <c r="AS51">
        <v>4.5</v>
      </c>
    </row>
    <row r="52" spans="5:45" x14ac:dyDescent="0.25">
      <c r="E52" t="s">
        <v>405</v>
      </c>
      <c r="F52" s="117">
        <v>30</v>
      </c>
      <c r="G52" s="118">
        <f>ROUNDDOWN(0.85*F52,0)</f>
        <v>25</v>
      </c>
      <c r="H52" s="118">
        <f>+F52-G52</f>
        <v>5</v>
      </c>
      <c r="P52" s="94"/>
      <c r="AM52">
        <f>+AM47*AM50+AM51*AM46</f>
        <v>936.9</v>
      </c>
      <c r="AN52">
        <f>+AN47*AN50+AN51*AN46</f>
        <v>1080.9000000000001</v>
      </c>
      <c r="AO52">
        <f t="shared" ref="AO52:AS52" si="73">+AO47*AO50+AO51*AO46</f>
        <v>1259.0999999999999</v>
      </c>
      <c r="AP52">
        <f t="shared" si="73"/>
        <v>1455.3</v>
      </c>
      <c r="AQ52">
        <f t="shared" si="73"/>
        <v>1674</v>
      </c>
      <c r="AR52">
        <f t="shared" si="73"/>
        <v>1915.2</v>
      </c>
      <c r="AS52">
        <f t="shared" si="73"/>
        <v>0</v>
      </c>
    </row>
    <row r="53" spans="5:45" x14ac:dyDescent="0.25">
      <c r="E53" t="s">
        <v>406</v>
      </c>
      <c r="F53" s="116">
        <v>40</v>
      </c>
      <c r="G53" s="94"/>
      <c r="H53" s="94"/>
      <c r="P53" s="94"/>
      <c r="AN53">
        <f>+AN52/AM52-1</f>
        <v>0.15369836695485128</v>
      </c>
      <c r="AO53">
        <f t="shared" ref="AO53:AS53" si="74">+AO52/AN52-1</f>
        <v>0.16486261448792661</v>
      </c>
      <c r="AP53">
        <f t="shared" si="74"/>
        <v>0.15582558970693361</v>
      </c>
      <c r="AQ53">
        <f t="shared" si="74"/>
        <v>0.15027829313543606</v>
      </c>
      <c r="AR53">
        <f>+AR52/AQ52-1</f>
        <v>0.1440860215053763</v>
      </c>
      <c r="AS53">
        <f t="shared" si="74"/>
        <v>-1</v>
      </c>
    </row>
    <row r="54" spans="5:45" x14ac:dyDescent="0.25">
      <c r="AN54">
        <f>+AN48/AM48-1</f>
        <v>0.14035087719298245</v>
      </c>
      <c r="AO54">
        <f t="shared" ref="AO54:AS54" si="75">+AO48/AN48-1</f>
        <v>0.15384615384615374</v>
      </c>
      <c r="AP54">
        <f t="shared" si="75"/>
        <v>0.14222222222222225</v>
      </c>
      <c r="AQ54">
        <f t="shared" si="75"/>
        <v>0.13618677042801552</v>
      </c>
      <c r="AR54">
        <f>+AR48/AQ48-1</f>
        <v>0.13698630136986312</v>
      </c>
      <c r="AS54">
        <f t="shared" si="75"/>
        <v>-1</v>
      </c>
    </row>
    <row r="55" spans="5:45" x14ac:dyDescent="0.25">
      <c r="AN55" s="92">
        <f>+AN53-AN54</f>
        <v>1.3347489761868836E-2</v>
      </c>
      <c r="AO55" s="92">
        <f t="shared" ref="AO55:AS55" si="76">+AO53-AO54</f>
        <v>1.1016460641772863E-2</v>
      </c>
      <c r="AP55" s="92">
        <f t="shared" si="76"/>
        <v>1.3603367484711359E-2</v>
      </c>
      <c r="AQ55" s="92">
        <f t="shared" si="76"/>
        <v>1.4091522707420534E-2</v>
      </c>
      <c r="AR55" s="92">
        <f>+AR53-AR54</f>
        <v>7.0997201355131878E-3</v>
      </c>
      <c r="AS55">
        <f t="shared" si="76"/>
        <v>0</v>
      </c>
    </row>
    <row r="57" spans="5:45" x14ac:dyDescent="0.25">
      <c r="AM57" s="245">
        <f>+AM52/AM48</f>
        <v>5.4789473684210526</v>
      </c>
      <c r="AN57" s="245">
        <f>AM57*(1+AN55)</f>
        <v>5.552077562326871</v>
      </c>
      <c r="AO57" s="245">
        <f t="shared" ref="AO57:AR57" si="77">AN57*(1+AO55)</f>
        <v>5.6132418062723151</v>
      </c>
      <c r="AP57" s="245">
        <f t="shared" si="77"/>
        <v>5.6896007973435827</v>
      </c>
      <c r="AQ57" s="245">
        <f t="shared" si="77"/>
        <v>5.7697759361755079</v>
      </c>
      <c r="AR57" s="245">
        <f t="shared" si="77"/>
        <v>5.810739730566973</v>
      </c>
    </row>
    <row r="59" spans="5:45" x14ac:dyDescent="0.25">
      <c r="AL59">
        <v>6.3</v>
      </c>
    </row>
    <row r="60" spans="5:45" x14ac:dyDescent="0.25">
      <c r="AL60">
        <v>4.5</v>
      </c>
    </row>
    <row r="61" spans="5:45" x14ac:dyDescent="0.25">
      <c r="AL61">
        <f>+AL59/AL60</f>
        <v>1.4</v>
      </c>
    </row>
    <row r="81" spans="13:35" x14ac:dyDescent="0.25">
      <c r="M81" s="124" t="s">
        <v>101</v>
      </c>
      <c r="N81" s="124"/>
      <c r="O81" s="125" t="str">
        <f>O23</f>
        <v>FY24</v>
      </c>
      <c r="P81" s="125" t="str">
        <f t="shared" ref="P81:AI81" si="78">P23</f>
        <v>FY25</v>
      </c>
      <c r="Q81" s="125" t="str">
        <f t="shared" si="78"/>
        <v>FY26</v>
      </c>
      <c r="R81" s="125" t="str">
        <f t="shared" si="78"/>
        <v>FY27</v>
      </c>
      <c r="S81" s="125" t="str">
        <f t="shared" si="78"/>
        <v>FY28</v>
      </c>
      <c r="T81" s="125" t="str">
        <f t="shared" si="78"/>
        <v>FY29</v>
      </c>
      <c r="U81" s="125" t="str">
        <f t="shared" si="78"/>
        <v>FY30</v>
      </c>
      <c r="V81" s="125" t="str">
        <f t="shared" si="78"/>
        <v>FY31</v>
      </c>
      <c r="W81" s="125" t="str">
        <f t="shared" si="78"/>
        <v>FY32</v>
      </c>
      <c r="X81" s="125" t="str">
        <f t="shared" si="78"/>
        <v>FY33</v>
      </c>
      <c r="Y81" s="125" t="str">
        <f t="shared" si="78"/>
        <v>FY34</v>
      </c>
      <c r="Z81" s="125" t="str">
        <f t="shared" si="78"/>
        <v>FY35</v>
      </c>
      <c r="AA81" s="125" t="str">
        <f t="shared" si="78"/>
        <v>FY36</v>
      </c>
      <c r="AB81" s="125" t="str">
        <f t="shared" si="78"/>
        <v>FY37</v>
      </c>
      <c r="AC81" s="125" t="str">
        <f t="shared" si="78"/>
        <v>FY38</v>
      </c>
      <c r="AD81" s="125" t="str">
        <f t="shared" si="78"/>
        <v>FY39</v>
      </c>
      <c r="AE81" s="125" t="str">
        <f t="shared" si="78"/>
        <v>FY40</v>
      </c>
      <c r="AF81" s="125" t="str">
        <f t="shared" si="78"/>
        <v>FY41</v>
      </c>
      <c r="AG81" s="125" t="str">
        <f t="shared" si="78"/>
        <v>FY42</v>
      </c>
      <c r="AH81" s="125" t="str">
        <f t="shared" si="78"/>
        <v>FY43</v>
      </c>
      <c r="AI81" s="125" t="str">
        <f t="shared" si="78"/>
        <v>FY44</v>
      </c>
    </row>
    <row r="82" spans="13:35" x14ac:dyDescent="0.25">
      <c r="M82" t="s">
        <v>422</v>
      </c>
      <c r="N82" s="94" t="s">
        <v>28</v>
      </c>
      <c r="O82" s="129">
        <v>2</v>
      </c>
      <c r="P82" s="129">
        <f>(1+P83)*O82</f>
        <v>2.06</v>
      </c>
      <c r="Q82" s="129">
        <f t="shared" ref="Q82:AI82" si="79">(1+Q83)*P82</f>
        <v>2.1217999999999999</v>
      </c>
      <c r="R82" s="129">
        <f t="shared" si="79"/>
        <v>2.185454</v>
      </c>
      <c r="S82" s="129">
        <f t="shared" si="79"/>
        <v>2.2510176200000003</v>
      </c>
      <c r="T82" s="129">
        <f t="shared" si="79"/>
        <v>2.3185481486000001</v>
      </c>
      <c r="U82" s="129">
        <f t="shared" si="79"/>
        <v>2.3881045930580003</v>
      </c>
      <c r="V82" s="129">
        <f t="shared" si="79"/>
        <v>2.4597477308497404</v>
      </c>
      <c r="W82" s="129">
        <f t="shared" si="79"/>
        <v>2.5335401627752328</v>
      </c>
      <c r="X82" s="129">
        <f t="shared" si="79"/>
        <v>2.6095463676584898</v>
      </c>
      <c r="Y82" s="129">
        <f t="shared" si="79"/>
        <v>2.6878327586882444</v>
      </c>
      <c r="Z82" s="129">
        <f t="shared" si="79"/>
        <v>2.7684677414488919</v>
      </c>
      <c r="AA82" s="129">
        <f t="shared" si="79"/>
        <v>2.8515217736923586</v>
      </c>
      <c r="AB82" s="129">
        <f t="shared" si="79"/>
        <v>2.9370674269031296</v>
      </c>
      <c r="AC82" s="129">
        <f t="shared" si="79"/>
        <v>3.0251794497102238</v>
      </c>
      <c r="AD82" s="129">
        <f t="shared" si="79"/>
        <v>3.1159348332015306</v>
      </c>
      <c r="AE82" s="129">
        <f t="shared" si="79"/>
        <v>3.2094128781975768</v>
      </c>
      <c r="AF82" s="129">
        <f t="shared" si="79"/>
        <v>3.305695264543504</v>
      </c>
      <c r="AG82" s="129">
        <f t="shared" si="79"/>
        <v>3.4048661224798091</v>
      </c>
      <c r="AH82" s="129">
        <f t="shared" si="79"/>
        <v>3.5070121061542037</v>
      </c>
      <c r="AI82" s="129">
        <f t="shared" si="79"/>
        <v>3.6122224693388301</v>
      </c>
    </row>
    <row r="83" spans="13:35" x14ac:dyDescent="0.25">
      <c r="M83" s="90" t="s">
        <v>421</v>
      </c>
      <c r="N83" s="94" t="s">
        <v>29</v>
      </c>
      <c r="O83" s="114"/>
      <c r="P83" s="128">
        <v>0.03</v>
      </c>
      <c r="Q83" s="128">
        <f>+P83</f>
        <v>0.03</v>
      </c>
      <c r="R83" s="128">
        <f t="shared" ref="R83:AI83" si="80">+Q83</f>
        <v>0.03</v>
      </c>
      <c r="S83" s="128">
        <f t="shared" si="80"/>
        <v>0.03</v>
      </c>
      <c r="T83" s="128">
        <f t="shared" si="80"/>
        <v>0.03</v>
      </c>
      <c r="U83" s="128">
        <f t="shared" si="80"/>
        <v>0.03</v>
      </c>
      <c r="V83" s="128">
        <f t="shared" si="80"/>
        <v>0.03</v>
      </c>
      <c r="W83" s="128">
        <f t="shared" si="80"/>
        <v>0.03</v>
      </c>
      <c r="X83" s="128">
        <f t="shared" si="80"/>
        <v>0.03</v>
      </c>
      <c r="Y83" s="128">
        <f t="shared" si="80"/>
        <v>0.03</v>
      </c>
      <c r="Z83" s="128">
        <f t="shared" si="80"/>
        <v>0.03</v>
      </c>
      <c r="AA83" s="128">
        <f t="shared" si="80"/>
        <v>0.03</v>
      </c>
      <c r="AB83" s="128">
        <f t="shared" si="80"/>
        <v>0.03</v>
      </c>
      <c r="AC83" s="128">
        <f t="shared" si="80"/>
        <v>0.03</v>
      </c>
      <c r="AD83" s="128">
        <f t="shared" si="80"/>
        <v>0.03</v>
      </c>
      <c r="AE83" s="128">
        <f t="shared" si="80"/>
        <v>0.03</v>
      </c>
      <c r="AF83" s="128">
        <f t="shared" si="80"/>
        <v>0.03</v>
      </c>
      <c r="AG83" s="128">
        <f t="shared" si="80"/>
        <v>0.03</v>
      </c>
      <c r="AH83" s="128">
        <f t="shared" si="80"/>
        <v>0.03</v>
      </c>
      <c r="AI83" s="128">
        <f t="shared" si="80"/>
        <v>0.03</v>
      </c>
    </row>
    <row r="84" spans="13:35" x14ac:dyDescent="0.25">
      <c r="N84" s="94"/>
    </row>
    <row r="85" spans="13:35" x14ac:dyDescent="0.25">
      <c r="M85" t="s">
        <v>423</v>
      </c>
      <c r="N85" s="94" t="s">
        <v>274</v>
      </c>
      <c r="O85">
        <f>O25</f>
        <v>18</v>
      </c>
      <c r="P85">
        <f t="shared" ref="P85:AH85" si="81">P25</f>
        <v>20</v>
      </c>
      <c r="Q85">
        <f>Q25</f>
        <v>24</v>
      </c>
      <c r="R85">
        <f t="shared" si="81"/>
        <v>29</v>
      </c>
      <c r="S85">
        <f t="shared" si="81"/>
        <v>34</v>
      </c>
      <c r="T85">
        <f t="shared" si="81"/>
        <v>34</v>
      </c>
      <c r="U85">
        <f t="shared" si="81"/>
        <v>29</v>
      </c>
      <c r="V85">
        <f t="shared" si="81"/>
        <v>29</v>
      </c>
      <c r="W85">
        <f t="shared" si="81"/>
        <v>29</v>
      </c>
      <c r="X85">
        <f t="shared" si="81"/>
        <v>29</v>
      </c>
      <c r="Y85">
        <f t="shared" si="81"/>
        <v>25</v>
      </c>
      <c r="Z85">
        <f t="shared" si="81"/>
        <v>25</v>
      </c>
      <c r="AA85">
        <f t="shared" si="81"/>
        <v>25</v>
      </c>
      <c r="AB85">
        <f t="shared" si="81"/>
        <v>21</v>
      </c>
      <c r="AC85">
        <f t="shared" si="81"/>
        <v>21</v>
      </c>
      <c r="AD85">
        <f t="shared" si="81"/>
        <v>21</v>
      </c>
      <c r="AE85">
        <f t="shared" si="81"/>
        <v>17</v>
      </c>
      <c r="AF85">
        <f t="shared" si="81"/>
        <v>17</v>
      </c>
      <c r="AG85">
        <f t="shared" si="81"/>
        <v>17</v>
      </c>
      <c r="AH85">
        <f t="shared" si="81"/>
        <v>12</v>
      </c>
      <c r="AI85">
        <f t="shared" ref="AI85" si="82">AI25</f>
        <v>12</v>
      </c>
    </row>
    <row r="86" spans="13:35" x14ac:dyDescent="0.25">
      <c r="M86" t="s">
        <v>424</v>
      </c>
      <c r="N86" s="94" t="s">
        <v>28</v>
      </c>
      <c r="O86" s="130">
        <f>O85*O82</f>
        <v>36</v>
      </c>
      <c r="P86" s="130">
        <f>P85*P82</f>
        <v>41.2</v>
      </c>
      <c r="Q86" s="130">
        <f>Q85*Q82</f>
        <v>50.923199999999994</v>
      </c>
      <c r="R86" s="130">
        <f t="shared" ref="R86:AH86" si="83">R85*R82</f>
        <v>63.378166</v>
      </c>
      <c r="S86" s="130">
        <f t="shared" si="83"/>
        <v>76.534599080000007</v>
      </c>
      <c r="T86" s="130">
        <f t="shared" si="83"/>
        <v>78.830637052400007</v>
      </c>
      <c r="U86" s="130">
        <f t="shared" si="83"/>
        <v>69.255033198682014</v>
      </c>
      <c r="V86" s="130">
        <f t="shared" si="83"/>
        <v>71.332684194642468</v>
      </c>
      <c r="W86" s="130">
        <f t="shared" si="83"/>
        <v>73.472664720481745</v>
      </c>
      <c r="X86" s="130">
        <f t="shared" si="83"/>
        <v>75.676844662096201</v>
      </c>
      <c r="Y86" s="130">
        <f t="shared" si="83"/>
        <v>67.195818967206108</v>
      </c>
      <c r="Z86" s="130">
        <f t="shared" si="83"/>
        <v>69.211693536222299</v>
      </c>
      <c r="AA86" s="130">
        <f t="shared" si="83"/>
        <v>71.288044342308964</v>
      </c>
      <c r="AB86" s="130">
        <f t="shared" si="83"/>
        <v>61.678415964965723</v>
      </c>
      <c r="AC86" s="130">
        <f t="shared" si="83"/>
        <v>63.5287684439147</v>
      </c>
      <c r="AD86" s="130">
        <f t="shared" si="83"/>
        <v>65.434631497232147</v>
      </c>
      <c r="AE86" s="130">
        <f t="shared" si="83"/>
        <v>54.560018929358804</v>
      </c>
      <c r="AF86" s="130">
        <f t="shared" si="83"/>
        <v>56.196819497239566</v>
      </c>
      <c r="AG86" s="130">
        <f t="shared" si="83"/>
        <v>57.882724082156756</v>
      </c>
      <c r="AH86" s="130">
        <f t="shared" si="83"/>
        <v>42.084145273850446</v>
      </c>
      <c r="AI86" s="130">
        <f t="shared" ref="AI86" si="84">AI85*AI82</f>
        <v>43.346669632065961</v>
      </c>
    </row>
    <row r="87" spans="13:35" x14ac:dyDescent="0.25">
      <c r="N87" s="94"/>
      <c r="AH87" s="130">
        <f>SUM(P86:AH86)</f>
        <v>1209.6649094427582</v>
      </c>
      <c r="AI87" s="130">
        <f>SUM(Q86:AI86)</f>
        <v>1211.8115790748238</v>
      </c>
    </row>
    <row r="88" spans="13:35" x14ac:dyDescent="0.25">
      <c r="M88" t="s">
        <v>425</v>
      </c>
      <c r="N88" s="94" t="s">
        <v>28</v>
      </c>
      <c r="O88">
        <v>1.8</v>
      </c>
      <c r="P88" s="129">
        <f>(1+P89)*O88</f>
        <v>1.8540000000000001</v>
      </c>
      <c r="Q88" s="129">
        <f t="shared" ref="Q88:AI88" si="85">(1+Q89)*P88</f>
        <v>1.9096200000000001</v>
      </c>
      <c r="R88" s="129">
        <f t="shared" si="85"/>
        <v>1.9669086000000002</v>
      </c>
      <c r="S88" s="129">
        <f t="shared" si="85"/>
        <v>2.0259158580000003</v>
      </c>
      <c r="T88" s="129">
        <f t="shared" si="85"/>
        <v>2.0866933337400004</v>
      </c>
      <c r="U88" s="129">
        <f t="shared" si="85"/>
        <v>2.1492941337522007</v>
      </c>
      <c r="V88" s="129">
        <f t="shared" si="85"/>
        <v>2.2137729577647667</v>
      </c>
      <c r="W88" s="129">
        <f t="shared" si="85"/>
        <v>2.2801861464977096</v>
      </c>
      <c r="X88" s="129">
        <f t="shared" si="85"/>
        <v>2.3485917308926409</v>
      </c>
      <c r="Y88" s="129">
        <f t="shared" si="85"/>
        <v>2.4190494828194202</v>
      </c>
      <c r="Z88" s="129">
        <f t="shared" si="85"/>
        <v>2.4916209673040028</v>
      </c>
      <c r="AA88" s="129">
        <f t="shared" si="85"/>
        <v>2.5663695963231228</v>
      </c>
      <c r="AB88" s="129">
        <f t="shared" si="85"/>
        <v>2.6433606842128166</v>
      </c>
      <c r="AC88" s="129">
        <f t="shared" si="85"/>
        <v>2.7226615047392011</v>
      </c>
      <c r="AD88" s="129">
        <f t="shared" si="85"/>
        <v>2.8043413498813772</v>
      </c>
      <c r="AE88" s="129">
        <f t="shared" si="85"/>
        <v>2.8884715903778186</v>
      </c>
      <c r="AF88" s="129">
        <f t="shared" si="85"/>
        <v>2.9751257380891531</v>
      </c>
      <c r="AG88" s="129">
        <f t="shared" si="85"/>
        <v>3.0643795102318276</v>
      </c>
      <c r="AH88" s="129">
        <f t="shared" si="85"/>
        <v>3.1563108955387826</v>
      </c>
      <c r="AI88" s="129">
        <f t="shared" si="85"/>
        <v>3.2510002224049463</v>
      </c>
    </row>
    <row r="89" spans="13:35" x14ac:dyDescent="0.25">
      <c r="M89" s="90" t="s">
        <v>421</v>
      </c>
      <c r="N89" s="94" t="s">
        <v>29</v>
      </c>
      <c r="P89" s="128">
        <v>0.03</v>
      </c>
      <c r="Q89" s="128">
        <f>+P89</f>
        <v>0.03</v>
      </c>
      <c r="R89" s="128">
        <f t="shared" ref="R89:AI89" si="86">+Q89</f>
        <v>0.03</v>
      </c>
      <c r="S89" s="128">
        <f t="shared" si="86"/>
        <v>0.03</v>
      </c>
      <c r="T89" s="128">
        <f t="shared" si="86"/>
        <v>0.03</v>
      </c>
      <c r="U89" s="128">
        <f t="shared" si="86"/>
        <v>0.03</v>
      </c>
      <c r="V89" s="128">
        <f t="shared" si="86"/>
        <v>0.03</v>
      </c>
      <c r="W89" s="128">
        <f t="shared" si="86"/>
        <v>0.03</v>
      </c>
      <c r="X89" s="128">
        <f t="shared" si="86"/>
        <v>0.03</v>
      </c>
      <c r="Y89" s="128">
        <f t="shared" si="86"/>
        <v>0.03</v>
      </c>
      <c r="Z89" s="128">
        <f t="shared" si="86"/>
        <v>0.03</v>
      </c>
      <c r="AA89" s="128">
        <f t="shared" si="86"/>
        <v>0.03</v>
      </c>
      <c r="AB89" s="128">
        <f t="shared" si="86"/>
        <v>0.03</v>
      </c>
      <c r="AC89" s="128">
        <f t="shared" si="86"/>
        <v>0.03</v>
      </c>
      <c r="AD89" s="128">
        <f t="shared" si="86"/>
        <v>0.03</v>
      </c>
      <c r="AE89" s="128">
        <f t="shared" si="86"/>
        <v>0.03</v>
      </c>
      <c r="AF89" s="128">
        <f t="shared" si="86"/>
        <v>0.03</v>
      </c>
      <c r="AG89" s="128">
        <f t="shared" si="86"/>
        <v>0.03</v>
      </c>
      <c r="AH89" s="128">
        <f t="shared" si="86"/>
        <v>0.03</v>
      </c>
      <c r="AI89" s="128">
        <f t="shared" si="86"/>
        <v>0.03</v>
      </c>
    </row>
    <row r="91" spans="13:35" x14ac:dyDescent="0.25">
      <c r="M91" t="s">
        <v>426</v>
      </c>
      <c r="O91">
        <f>O29</f>
        <v>6</v>
      </c>
      <c r="P91">
        <f>P29</f>
        <v>10</v>
      </c>
      <c r="Q91">
        <f t="shared" ref="Q91:AH91" si="87">Q29</f>
        <v>8</v>
      </c>
      <c r="R91">
        <f t="shared" si="87"/>
        <v>6</v>
      </c>
      <c r="S91">
        <f t="shared" si="87"/>
        <v>6</v>
      </c>
      <c r="T91">
        <f t="shared" si="87"/>
        <v>6</v>
      </c>
      <c r="U91">
        <f t="shared" si="87"/>
        <v>6</v>
      </c>
      <c r="V91">
        <f t="shared" si="87"/>
        <v>6</v>
      </c>
      <c r="W91">
        <f t="shared" si="87"/>
        <v>6</v>
      </c>
      <c r="X91">
        <f t="shared" si="87"/>
        <v>6</v>
      </c>
      <c r="Y91">
        <f t="shared" si="87"/>
        <v>5</v>
      </c>
      <c r="Z91">
        <f t="shared" si="87"/>
        <v>5</v>
      </c>
      <c r="AA91">
        <f t="shared" si="87"/>
        <v>5</v>
      </c>
      <c r="AB91">
        <f t="shared" si="87"/>
        <v>4</v>
      </c>
      <c r="AC91">
        <f t="shared" si="87"/>
        <v>4</v>
      </c>
      <c r="AD91">
        <f t="shared" si="87"/>
        <v>4</v>
      </c>
      <c r="AE91">
        <f t="shared" si="87"/>
        <v>3</v>
      </c>
      <c r="AF91">
        <f t="shared" si="87"/>
        <v>3</v>
      </c>
      <c r="AG91">
        <f t="shared" si="87"/>
        <v>3</v>
      </c>
      <c r="AH91">
        <f t="shared" si="87"/>
        <v>3</v>
      </c>
      <c r="AI91">
        <f t="shared" ref="AI91" si="88">AI29</f>
        <v>3</v>
      </c>
    </row>
    <row r="92" spans="13:35" x14ac:dyDescent="0.25">
      <c r="M92" t="s">
        <v>424</v>
      </c>
      <c r="O92" s="130">
        <f>O91*O88</f>
        <v>10.8</v>
      </c>
      <c r="P92" s="130">
        <f>P91*P88</f>
        <v>18.54</v>
      </c>
      <c r="Q92" s="130">
        <f t="shared" ref="Q92:AH92" si="89">Q91*Q88</f>
        <v>15.276960000000001</v>
      </c>
      <c r="R92" s="130">
        <f t="shared" si="89"/>
        <v>11.801451600000002</v>
      </c>
      <c r="S92" s="130">
        <f t="shared" si="89"/>
        <v>12.155495148000002</v>
      </c>
      <c r="T92" s="130">
        <f t="shared" si="89"/>
        <v>12.520160002440003</v>
      </c>
      <c r="U92" s="130">
        <f t="shared" si="89"/>
        <v>12.895764802513204</v>
      </c>
      <c r="V92" s="130">
        <f t="shared" si="89"/>
        <v>13.2826377465886</v>
      </c>
      <c r="W92" s="130">
        <f t="shared" si="89"/>
        <v>13.681116878986257</v>
      </c>
      <c r="X92" s="130">
        <f t="shared" si="89"/>
        <v>14.091550385355845</v>
      </c>
      <c r="Y92" s="130">
        <f t="shared" si="89"/>
        <v>12.095247414097102</v>
      </c>
      <c r="Z92" s="130">
        <f t="shared" si="89"/>
        <v>12.458104836520015</v>
      </c>
      <c r="AA92" s="130">
        <f t="shared" si="89"/>
        <v>12.831847981615613</v>
      </c>
      <c r="AB92" s="130">
        <f t="shared" si="89"/>
        <v>10.573442736851266</v>
      </c>
      <c r="AC92" s="130">
        <f t="shared" si="89"/>
        <v>10.890646018956804</v>
      </c>
      <c r="AD92" s="130">
        <f t="shared" si="89"/>
        <v>11.217365399525509</v>
      </c>
      <c r="AE92" s="130">
        <f t="shared" si="89"/>
        <v>8.6654147711334559</v>
      </c>
      <c r="AF92" s="130">
        <f t="shared" si="89"/>
        <v>8.9253772142674599</v>
      </c>
      <c r="AG92" s="130">
        <f t="shared" si="89"/>
        <v>9.1931385306954834</v>
      </c>
      <c r="AH92" s="130">
        <f t="shared" si="89"/>
        <v>9.4689326866163483</v>
      </c>
      <c r="AI92" s="130">
        <f t="shared" ref="AI92" si="90">AI91*AI88</f>
        <v>9.7530006672148382</v>
      </c>
    </row>
    <row r="93" spans="13:35" x14ac:dyDescent="0.25">
      <c r="AH93" s="130">
        <f>SUM(P92:AH92)</f>
        <v>230.56465415416295</v>
      </c>
      <c r="AI93" s="130">
        <f>SUM(Q92:AI92)</f>
        <v>221.77765482137778</v>
      </c>
    </row>
    <row r="94" spans="13:35" x14ac:dyDescent="0.25">
      <c r="M94" s="62" t="s">
        <v>176</v>
      </c>
      <c r="N94" s="94" t="s">
        <v>28</v>
      </c>
      <c r="O94" s="131">
        <f>O92+O86</f>
        <v>46.8</v>
      </c>
      <c r="P94" s="131">
        <f>P92+P86</f>
        <v>59.74</v>
      </c>
      <c r="Q94" s="131">
        <f t="shared" ref="Q94:AH94" si="91">Q92+Q86</f>
        <v>66.200159999999997</v>
      </c>
      <c r="R94" s="131">
        <f t="shared" si="91"/>
        <v>75.1796176</v>
      </c>
      <c r="S94" s="131">
        <f t="shared" si="91"/>
        <v>88.690094228000007</v>
      </c>
      <c r="T94" s="131">
        <f>T92+T86</f>
        <v>91.350797054840015</v>
      </c>
      <c r="U94" s="131">
        <f t="shared" si="91"/>
        <v>82.150798001195213</v>
      </c>
      <c r="V94" s="131">
        <f t="shared" si="91"/>
        <v>84.615321941231073</v>
      </c>
      <c r="W94" s="131">
        <f t="shared" si="91"/>
        <v>87.153781599468005</v>
      </c>
      <c r="X94" s="131">
        <f t="shared" si="91"/>
        <v>89.768395047452046</v>
      </c>
      <c r="Y94" s="131">
        <f t="shared" si="91"/>
        <v>79.29106638130321</v>
      </c>
      <c r="Z94" s="131">
        <f t="shared" si="91"/>
        <v>81.669798372742321</v>
      </c>
      <c r="AA94" s="131">
        <f t="shared" si="91"/>
        <v>84.119892323924574</v>
      </c>
      <c r="AB94" s="131">
        <f t="shared" si="91"/>
        <v>72.251858701816985</v>
      </c>
      <c r="AC94" s="131">
        <f t="shared" si="91"/>
        <v>74.419414462871501</v>
      </c>
      <c r="AD94" s="131">
        <f t="shared" si="91"/>
        <v>76.651996896757652</v>
      </c>
      <c r="AE94" s="131">
        <f t="shared" si="91"/>
        <v>63.22543370049226</v>
      </c>
      <c r="AF94" s="131">
        <f t="shared" si="91"/>
        <v>65.12219671150703</v>
      </c>
      <c r="AG94" s="131">
        <f t="shared" si="91"/>
        <v>67.075862612852234</v>
      </c>
      <c r="AH94" s="131">
        <f t="shared" si="91"/>
        <v>51.553077960466794</v>
      </c>
      <c r="AI94" s="131">
        <f t="shared" ref="AI94" si="92">AI92+AI86</f>
        <v>53.099670299280803</v>
      </c>
    </row>
    <row r="95" spans="13:35" x14ac:dyDescent="0.25">
      <c r="M95" s="132" t="s">
        <v>427</v>
      </c>
      <c r="N95" s="94" t="s">
        <v>28</v>
      </c>
      <c r="P95" s="130">
        <f>P$94*P36</f>
        <v>25.887333333333334</v>
      </c>
      <c r="Q95" s="130">
        <f t="shared" ref="Q95:AH95" si="93">Q$94*Q36</f>
        <v>41.375099999999996</v>
      </c>
      <c r="R95" s="130">
        <f t="shared" si="93"/>
        <v>45.107770559999999</v>
      </c>
      <c r="S95" s="130">
        <f t="shared" si="93"/>
        <v>53.214056536800001</v>
      </c>
      <c r="T95" s="130">
        <f t="shared" si="93"/>
        <v>54.810478232904011</v>
      </c>
      <c r="U95" s="130">
        <f t="shared" si="93"/>
        <v>49.290478800717125</v>
      </c>
      <c r="V95" s="130">
        <f t="shared" si="93"/>
        <v>50.769193164738645</v>
      </c>
      <c r="W95" s="130">
        <f t="shared" si="93"/>
        <v>52.292268959680804</v>
      </c>
      <c r="X95" s="130">
        <f t="shared" si="93"/>
        <v>53.861037028471223</v>
      </c>
      <c r="Y95" s="130">
        <f t="shared" si="93"/>
        <v>47.574639828781926</v>
      </c>
      <c r="Z95" s="130">
        <f t="shared" si="93"/>
        <v>49.001879023645394</v>
      </c>
      <c r="AA95" s="130">
        <f t="shared" si="93"/>
        <v>50.471935394354745</v>
      </c>
      <c r="AB95" s="130">
        <f t="shared" si="93"/>
        <v>43.35111522109019</v>
      </c>
      <c r="AC95" s="130">
        <f t="shared" si="93"/>
        <v>44.651648677722896</v>
      </c>
      <c r="AD95" s="130">
        <f t="shared" si="93"/>
        <v>45.991198138054592</v>
      </c>
      <c r="AE95" s="130">
        <f t="shared" si="93"/>
        <v>37.935260220295355</v>
      </c>
      <c r="AF95" s="130">
        <f t="shared" si="93"/>
        <v>39.073318026904218</v>
      </c>
      <c r="AG95" s="130">
        <f t="shared" si="93"/>
        <v>40.245517567711339</v>
      </c>
      <c r="AH95" s="130">
        <f t="shared" si="93"/>
        <v>30.931846776280075</v>
      </c>
      <c r="AI95" s="130">
        <f t="shared" ref="AI95" si="94">AI$94*AI36</f>
        <v>31.859802179568479</v>
      </c>
    </row>
    <row r="96" spans="13:35" x14ac:dyDescent="0.25">
      <c r="M96" s="90" t="s">
        <v>429</v>
      </c>
      <c r="N96" s="94" t="s">
        <v>28</v>
      </c>
      <c r="P96" s="130"/>
      <c r="Q96" s="130">
        <f>SUM(P95:Q95)</f>
        <v>67.262433333333334</v>
      </c>
      <c r="R96" s="130">
        <f>SUM(P95:R95)</f>
        <v>112.37020389333333</v>
      </c>
      <c r="S96" s="130">
        <f>SUM(P95:S95)</f>
        <v>165.58426043013333</v>
      </c>
      <c r="T96" s="130">
        <f>SUM(P95:T95)</f>
        <v>220.39473866303734</v>
      </c>
      <c r="U96" s="130">
        <f>SUM(P95:U95)</f>
        <v>269.6852174637545</v>
      </c>
      <c r="V96" s="130">
        <f>SUM(P95:V95)</f>
        <v>320.45441062849312</v>
      </c>
      <c r="W96" s="130">
        <f>SUM(P95:W95)</f>
        <v>372.74667958817395</v>
      </c>
      <c r="X96" s="130">
        <f>SUM(P95:X95)</f>
        <v>426.60771661664518</v>
      </c>
      <c r="Y96" s="130">
        <f>SUM(P95:Y95)</f>
        <v>474.1823564454271</v>
      </c>
      <c r="Z96" s="130">
        <f>SUM(P95:Z95)</f>
        <v>523.18423546907252</v>
      </c>
      <c r="AA96" s="130">
        <f>SUM(P95:AA95)</f>
        <v>573.65617086342729</v>
      </c>
      <c r="AB96" s="130">
        <f>SUM(P95:AB95)</f>
        <v>617.00728608451743</v>
      </c>
      <c r="AC96" s="130">
        <f>SUM(P95:AC95)</f>
        <v>661.65893476224028</v>
      </c>
      <c r="AD96" s="130">
        <f>SUM(P95:AD95)</f>
        <v>707.65013290029492</v>
      </c>
      <c r="AE96" s="130">
        <f>SUM(P95:AE95)</f>
        <v>745.58539312059031</v>
      </c>
      <c r="AF96" s="130">
        <f>SUM(P95:AF95)</f>
        <v>784.6587111474945</v>
      </c>
      <c r="AG96" s="130">
        <f>SUM(P95:AG95)</f>
        <v>824.90422871520582</v>
      </c>
      <c r="AH96" s="130">
        <f>SUM(P95:AH95)</f>
        <v>855.83607549148587</v>
      </c>
      <c r="AI96" s="130">
        <f>SUM(Q95:AI95)</f>
        <v>861.80854433772106</v>
      </c>
    </row>
    <row r="97" spans="8:35" x14ac:dyDescent="0.25">
      <c r="M97" s="90"/>
      <c r="N97" s="94"/>
      <c r="P97" s="130"/>
      <c r="Q97" s="130"/>
      <c r="R97" s="130"/>
      <c r="S97" s="130"/>
      <c r="T97" s="130"/>
      <c r="U97" s="130"/>
      <c r="V97" s="130"/>
      <c r="W97" s="130"/>
      <c r="X97" s="130"/>
      <c r="Y97" s="130"/>
      <c r="Z97" s="130"/>
      <c r="AA97" s="130"/>
      <c r="AB97" s="130"/>
      <c r="AC97" s="130"/>
      <c r="AD97" s="130"/>
      <c r="AE97" s="130"/>
      <c r="AF97" s="130"/>
      <c r="AG97" s="130"/>
      <c r="AH97" s="130"/>
      <c r="AI97" s="130"/>
    </row>
    <row r="98" spans="8:35" x14ac:dyDescent="0.25">
      <c r="M98" s="132" t="s">
        <v>428</v>
      </c>
      <c r="N98" s="94" t="s">
        <v>28</v>
      </c>
      <c r="O98" s="130">
        <f>O$94*O38</f>
        <v>17.549999999999997</v>
      </c>
      <c r="P98" s="130">
        <f>P$94*P38</f>
        <v>33.852666666666664</v>
      </c>
      <c r="Q98" s="130">
        <f>Q$94*Q38</f>
        <v>24.825060000000001</v>
      </c>
      <c r="R98" s="130">
        <f t="shared" ref="R98:AH98" si="95">R$94*R38</f>
        <v>30.071847040000002</v>
      </c>
      <c r="S98" s="130">
        <f t="shared" si="95"/>
        <v>35.476037691200005</v>
      </c>
      <c r="T98" s="130">
        <f>T$94*T38</f>
        <v>36.540318821936005</v>
      </c>
      <c r="U98" s="130">
        <f t="shared" si="95"/>
        <v>32.860319200478088</v>
      </c>
      <c r="V98" s="130">
        <f t="shared" si="95"/>
        <v>33.846128776492428</v>
      </c>
      <c r="W98" s="130">
        <f t="shared" si="95"/>
        <v>34.8615126397872</v>
      </c>
      <c r="X98" s="130">
        <f t="shared" si="95"/>
        <v>35.907358018980823</v>
      </c>
      <c r="Y98" s="130">
        <f t="shared" si="95"/>
        <v>31.716426552521284</v>
      </c>
      <c r="Z98" s="130">
        <f t="shared" si="95"/>
        <v>32.667919349096927</v>
      </c>
      <c r="AA98" s="130">
        <f t="shared" si="95"/>
        <v>33.64795692956983</v>
      </c>
      <c r="AB98" s="130">
        <f t="shared" si="95"/>
        <v>28.900743480726796</v>
      </c>
      <c r="AC98" s="130">
        <f t="shared" si="95"/>
        <v>29.767765785148601</v>
      </c>
      <c r="AD98" s="130">
        <f t="shared" si="95"/>
        <v>30.660798758703063</v>
      </c>
      <c r="AE98" s="130">
        <f t="shared" si="95"/>
        <v>25.290173480196906</v>
      </c>
      <c r="AF98" s="130">
        <f t="shared" si="95"/>
        <v>26.048878684602812</v>
      </c>
      <c r="AG98" s="130">
        <f t="shared" si="95"/>
        <v>26.830345045140895</v>
      </c>
      <c r="AH98" s="130">
        <f t="shared" si="95"/>
        <v>20.621231184186719</v>
      </c>
      <c r="AI98" s="130">
        <f t="shared" ref="AI98" si="96">AI$94*AI38</f>
        <v>21.239868119712323</v>
      </c>
    </row>
    <row r="99" spans="8:35" x14ac:dyDescent="0.25">
      <c r="M99" s="90" t="s">
        <v>429</v>
      </c>
      <c r="N99" s="94" t="s">
        <v>28</v>
      </c>
      <c r="Q99" s="130">
        <f>SUM(P98:Q98)</f>
        <v>58.677726666666665</v>
      </c>
      <c r="R99" s="130">
        <f>SUM(P98:R98)</f>
        <v>88.749573706666666</v>
      </c>
      <c r="S99" s="130">
        <f>SUM(P98:S98)</f>
        <v>124.22561139786667</v>
      </c>
      <c r="T99" s="130">
        <f>SUM(P98:T98)</f>
        <v>160.76593021980267</v>
      </c>
      <c r="U99" s="130">
        <f>SUM(P98:U98)</f>
        <v>193.62624942028077</v>
      </c>
      <c r="V99" s="130">
        <f>SUM(P98:V98)</f>
        <v>227.47237819677321</v>
      </c>
      <c r="W99" s="130">
        <f>SUM(P98:W98)</f>
        <v>262.33389083656039</v>
      </c>
      <c r="X99" s="130">
        <f>SUM(P98:X98)</f>
        <v>298.24124885554119</v>
      </c>
      <c r="Y99" s="130">
        <f>SUM(P98:Y98)</f>
        <v>329.95767540806247</v>
      </c>
      <c r="Z99" s="130">
        <f>SUM(P98:Z98)</f>
        <v>362.62559475715938</v>
      </c>
      <c r="AA99" s="130">
        <f>SUM(P98:AA98)</f>
        <v>396.27355168672921</v>
      </c>
      <c r="AB99" s="130">
        <f>SUM(P98:AB98)</f>
        <v>425.17429516745602</v>
      </c>
      <c r="AC99" s="130">
        <f>SUM(P98:AC98)</f>
        <v>454.94206095260461</v>
      </c>
      <c r="AD99" s="130">
        <f>SUM(P98:AD98)</f>
        <v>485.60285971130764</v>
      </c>
      <c r="AE99" s="130">
        <f>SUM(P98:AE98)</f>
        <v>510.89303319150457</v>
      </c>
      <c r="AF99" s="130">
        <f>SUM(P98:AF98)</f>
        <v>536.94191187610738</v>
      </c>
      <c r="AG99" s="130">
        <f>SUM(P98:AG98)</f>
        <v>563.7722569212483</v>
      </c>
      <c r="AH99" s="130">
        <f>SUM(P98:AH98)</f>
        <v>584.39348810543504</v>
      </c>
      <c r="AI99" s="130">
        <f>SUM(Q98:AI98)</f>
        <v>571.78068955848073</v>
      </c>
    </row>
    <row r="105" spans="8:35" x14ac:dyDescent="0.25">
      <c r="M105" s="124" t="s">
        <v>524</v>
      </c>
      <c r="N105" s="124"/>
      <c r="O105" s="125" t="str">
        <f>O81&amp;"e"</f>
        <v>FY24e</v>
      </c>
      <c r="P105" s="125" t="s">
        <v>697</v>
      </c>
      <c r="Q105" s="125" t="str">
        <f t="shared" ref="Q105:AI105" si="97">Q81&amp;"e"</f>
        <v>FY26e</v>
      </c>
      <c r="R105" s="125" t="str">
        <f t="shared" si="97"/>
        <v>FY27e</v>
      </c>
      <c r="S105" s="125" t="str">
        <f t="shared" si="97"/>
        <v>FY28e</v>
      </c>
      <c r="T105" s="125" t="str">
        <f t="shared" si="97"/>
        <v>FY29e</v>
      </c>
      <c r="U105" s="125" t="str">
        <f t="shared" si="97"/>
        <v>FY30e</v>
      </c>
      <c r="V105" s="125" t="str">
        <f t="shared" si="97"/>
        <v>FY31e</v>
      </c>
      <c r="W105" s="125" t="str">
        <f t="shared" si="97"/>
        <v>FY32e</v>
      </c>
      <c r="X105" s="125" t="str">
        <f t="shared" si="97"/>
        <v>FY33e</v>
      </c>
      <c r="Y105" s="125" t="str">
        <f t="shared" si="97"/>
        <v>FY34e</v>
      </c>
      <c r="Z105" s="125" t="str">
        <f t="shared" si="97"/>
        <v>FY35e</v>
      </c>
      <c r="AA105" s="125" t="str">
        <f t="shared" si="97"/>
        <v>FY36e</v>
      </c>
      <c r="AB105" s="125" t="str">
        <f t="shared" si="97"/>
        <v>FY37e</v>
      </c>
      <c r="AC105" s="125" t="str">
        <f t="shared" si="97"/>
        <v>FY38e</v>
      </c>
      <c r="AD105" s="125" t="str">
        <f t="shared" si="97"/>
        <v>FY39e</v>
      </c>
      <c r="AE105" s="125" t="str">
        <f t="shared" si="97"/>
        <v>FY40e</v>
      </c>
      <c r="AF105" s="125" t="str">
        <f t="shared" si="97"/>
        <v>FY41e</v>
      </c>
      <c r="AG105" s="125" t="str">
        <f t="shared" si="97"/>
        <v>FY42e</v>
      </c>
      <c r="AH105" s="125" t="str">
        <f t="shared" si="97"/>
        <v>FY43e</v>
      </c>
      <c r="AI105" s="125" t="str">
        <f t="shared" si="97"/>
        <v>FY44e</v>
      </c>
    </row>
    <row r="106" spans="8:35" x14ac:dyDescent="0.25">
      <c r="M106" t="s">
        <v>529</v>
      </c>
    </row>
    <row r="107" spans="8:35" x14ac:dyDescent="0.25">
      <c r="M107" t="s">
        <v>522</v>
      </c>
    </row>
    <row r="108" spans="8:35" x14ac:dyDescent="0.25">
      <c r="H108" t="s">
        <v>629</v>
      </c>
      <c r="M108" s="166" t="s">
        <v>521</v>
      </c>
      <c r="N108" s="166"/>
      <c r="O108" s="248">
        <v>-28.6</v>
      </c>
      <c r="P108" s="248">
        <v>-35.200000000000003</v>
      </c>
      <c r="Q108" s="130">
        <f>Q110+Q111</f>
        <v>-31.973248409569376</v>
      </c>
      <c r="R108" s="130">
        <f t="shared" ref="R108:Z108" si="98">R110+R111</f>
        <v>-38.703659868564685</v>
      </c>
      <c r="S108" s="130">
        <f t="shared" si="98"/>
        <v>-45.898268985169913</v>
      </c>
      <c r="T108" s="130">
        <f>T110+T111</f>
        <v>-49.024723369651312</v>
      </c>
      <c r="U108" s="130">
        <f t="shared" si="98"/>
        <v>-47.505206721093302</v>
      </c>
      <c r="V108" s="130">
        <f t="shared" si="98"/>
        <v>-50.710441065188704</v>
      </c>
      <c r="W108" s="130">
        <f t="shared" si="98"/>
        <v>-54.130699194108061</v>
      </c>
      <c r="X108" s="130">
        <f t="shared" si="98"/>
        <v>-57.779844047660866</v>
      </c>
      <c r="Y108" s="130">
        <f t="shared" si="98"/>
        <v>-55.83660976738468</v>
      </c>
      <c r="Z108" s="130">
        <f t="shared" si="98"/>
        <v>-59.003067634104056</v>
      </c>
      <c r="AA108" s="130">
        <f>AA110+AA111</f>
        <v>-62.309297947369984</v>
      </c>
    </row>
    <row r="109" spans="8:35" x14ac:dyDescent="0.25">
      <c r="M109" s="249" t="s">
        <v>528</v>
      </c>
      <c r="N109" s="166"/>
      <c r="O109" s="250" t="e">
        <f t="shared" ref="O109:T109" si="99">-O108/O133</f>
        <v>#N/A</v>
      </c>
      <c r="P109" s="250">
        <f t="shared" si="99"/>
        <v>9.7859327217125397E-2</v>
      </c>
      <c r="Q109" s="221">
        <f t="shared" si="99"/>
        <v>6.7093744409631867E-2</v>
      </c>
      <c r="R109" s="221">
        <f t="shared" si="99"/>
        <v>6.7257586506889816E-2</v>
      </c>
      <c r="S109" s="221">
        <f t="shared" si="99"/>
        <v>6.6058218759344353E-2</v>
      </c>
      <c r="T109" s="221">
        <f t="shared" si="99"/>
        <v>5.8903157754475785E-2</v>
      </c>
    </row>
    <row r="110" spans="8:35" x14ac:dyDescent="0.25">
      <c r="M110" s="166" t="s">
        <v>526</v>
      </c>
      <c r="N110" s="166"/>
      <c r="O110" s="251">
        <f>-O98</f>
        <v>-17.549999999999997</v>
      </c>
      <c r="P110" s="251">
        <f>-P98</f>
        <v>-33.852666666666664</v>
      </c>
      <c r="Q110" s="130">
        <f>-Q98</f>
        <v>-24.825060000000001</v>
      </c>
      <c r="R110" s="130">
        <f>-R98</f>
        <v>-30.071847040000002</v>
      </c>
      <c r="S110" s="130">
        <f t="shared" ref="S110:Z110" si="100">-S98</f>
        <v>-35.476037691200005</v>
      </c>
      <c r="T110" s="130">
        <f>-T98</f>
        <v>-36.540318821936005</v>
      </c>
      <c r="U110" s="130">
        <f>-U98</f>
        <v>-32.860319200478088</v>
      </c>
      <c r="V110" s="130">
        <f t="shared" si="100"/>
        <v>-33.846128776492428</v>
      </c>
      <c r="W110" s="130">
        <f t="shared" si="100"/>
        <v>-34.8615126397872</v>
      </c>
      <c r="X110" s="130">
        <f t="shared" si="100"/>
        <v>-35.907358018980823</v>
      </c>
      <c r="Y110" s="130">
        <f t="shared" si="100"/>
        <v>-31.716426552521284</v>
      </c>
      <c r="Z110" s="130">
        <f t="shared" si="100"/>
        <v>-32.667919349096927</v>
      </c>
      <c r="AA110" s="130">
        <f>-AA98</f>
        <v>-33.64795692956983</v>
      </c>
      <c r="AB110" s="130"/>
      <c r="AC110" s="130"/>
      <c r="AD110" s="130"/>
      <c r="AE110" s="130"/>
      <c r="AF110" s="130"/>
      <c r="AG110" s="130"/>
      <c r="AH110" s="130"/>
      <c r="AI110" s="130"/>
    </row>
    <row r="111" spans="8:35" x14ac:dyDescent="0.25">
      <c r="M111" s="249" t="s">
        <v>536</v>
      </c>
      <c r="N111" s="166"/>
      <c r="O111" s="252">
        <f>+O108-O110</f>
        <v>-11.050000000000004</v>
      </c>
      <c r="P111" s="252">
        <f>+P108-P110</f>
        <v>-1.3473333333333386</v>
      </c>
      <c r="Q111" s="130">
        <f>-Q112*Q133</f>
        <v>-7.148188409569376</v>
      </c>
      <c r="R111" s="130">
        <f>-R112*R133</f>
        <v>-8.63181282856468</v>
      </c>
      <c r="S111" s="130">
        <f>-S112*S133</f>
        <v>-10.422231293969906</v>
      </c>
      <c r="T111" s="130">
        <f>-T112*T133</f>
        <v>-12.484404547715307</v>
      </c>
      <c r="U111" s="130">
        <f>-U112*U133</f>
        <v>-14.644887520615217</v>
      </c>
      <c r="V111" s="130">
        <f t="shared" ref="V111:Z111" si="101">-V112*V133</f>
        <v>-16.864312288696272</v>
      </c>
      <c r="W111" s="130">
        <f t="shared" si="101"/>
        <v>-19.269186554320864</v>
      </c>
      <c r="X111" s="130">
        <f t="shared" si="101"/>
        <v>-21.872486028680044</v>
      </c>
      <c r="Y111" s="130">
        <f t="shared" si="101"/>
        <v>-24.120183214863395</v>
      </c>
      <c r="Z111" s="130">
        <f t="shared" si="101"/>
        <v>-26.335148285007133</v>
      </c>
      <c r="AA111" s="130">
        <f t="shared" ref="AA111" si="102">-AA112*AA133</f>
        <v>-28.661341017800158</v>
      </c>
      <c r="AB111" s="130"/>
      <c r="AC111" s="130"/>
      <c r="AD111" s="130"/>
      <c r="AE111" s="130"/>
      <c r="AF111" s="130"/>
      <c r="AG111" s="130"/>
      <c r="AH111" s="130"/>
      <c r="AI111" s="130"/>
    </row>
    <row r="112" spans="8:35" x14ac:dyDescent="0.25">
      <c r="M112" s="90" t="s">
        <v>528</v>
      </c>
      <c r="O112" s="92" t="e">
        <f>-O111/O133</f>
        <v>#N/A</v>
      </c>
      <c r="P112" s="92">
        <f>-P111/P133</f>
        <v>3.7457140209433935E-3</v>
      </c>
      <c r="Q112" s="253">
        <v>1.4999999999999999E-2</v>
      </c>
      <c r="R112" s="253">
        <f>+Q112</f>
        <v>1.4999999999999999E-2</v>
      </c>
      <c r="S112" s="253">
        <f>+R112</f>
        <v>1.4999999999999999E-2</v>
      </c>
      <c r="T112" s="253">
        <f>+S112</f>
        <v>1.4999999999999999E-2</v>
      </c>
      <c r="U112" s="253">
        <f>+T112</f>
        <v>1.4999999999999999E-2</v>
      </c>
      <c r="V112" s="253">
        <f t="shared" ref="V112:AA112" si="103">+U112</f>
        <v>1.4999999999999999E-2</v>
      </c>
      <c r="W112" s="253">
        <f t="shared" si="103"/>
        <v>1.4999999999999999E-2</v>
      </c>
      <c r="X112" s="253">
        <f t="shared" si="103"/>
        <v>1.4999999999999999E-2</v>
      </c>
      <c r="Y112" s="253">
        <f t="shared" si="103"/>
        <v>1.4999999999999999E-2</v>
      </c>
      <c r="Z112" s="253">
        <f t="shared" si="103"/>
        <v>1.4999999999999999E-2</v>
      </c>
      <c r="AA112" s="253">
        <f t="shared" si="103"/>
        <v>1.4999999999999999E-2</v>
      </c>
      <c r="AB112" s="220"/>
      <c r="AC112" s="220"/>
      <c r="AD112" s="220"/>
      <c r="AE112" s="220"/>
      <c r="AF112" s="220"/>
      <c r="AG112" s="220"/>
      <c r="AH112" s="220"/>
      <c r="AI112" s="220"/>
    </row>
    <row r="114" spans="8:27" x14ac:dyDescent="0.25">
      <c r="M114" t="s">
        <v>26</v>
      </c>
    </row>
    <row r="115" spans="8:27" x14ac:dyDescent="0.25">
      <c r="H115" t="s">
        <v>630</v>
      </c>
      <c r="M115" t="s">
        <v>521</v>
      </c>
      <c r="O115" s="138">
        <v>-0.4</v>
      </c>
      <c r="P115" s="138">
        <v>-13.9</v>
      </c>
      <c r="Q115" s="130">
        <f>Q116*Q135</f>
        <v>-8.6</v>
      </c>
      <c r="R115" s="130">
        <f>R116*R135</f>
        <v>-17.2</v>
      </c>
      <c r="S115" s="130">
        <f>S116*S135</f>
        <v>0</v>
      </c>
      <c r="T115" s="130">
        <f>T116*T135</f>
        <v>0</v>
      </c>
    </row>
    <row r="116" spans="8:27" x14ac:dyDescent="0.25">
      <c r="M116" t="s">
        <v>530</v>
      </c>
      <c r="P116" s="79">
        <f>P115/(7-4)</f>
        <v>-4.6333333333333337</v>
      </c>
      <c r="Q116" s="219">
        <v>-4.3</v>
      </c>
      <c r="R116" s="79">
        <f>+Q116</f>
        <v>-4.3</v>
      </c>
      <c r="S116" s="79">
        <f>+R116</f>
        <v>-4.3</v>
      </c>
      <c r="T116" s="79">
        <f>+S116</f>
        <v>-4.3</v>
      </c>
    </row>
    <row r="117" spans="8:27" x14ac:dyDescent="0.25">
      <c r="M117" t="s">
        <v>446</v>
      </c>
      <c r="Q117" s="91">
        <f>Q116/P116-1</f>
        <v>-7.1942446043165575E-2</v>
      </c>
      <c r="R117" s="91">
        <f t="shared" ref="R117:T117" si="104">R116/Q116-1</f>
        <v>0</v>
      </c>
      <c r="S117" s="91">
        <f t="shared" si="104"/>
        <v>0</v>
      </c>
      <c r="T117" s="91">
        <f t="shared" si="104"/>
        <v>0</v>
      </c>
    </row>
    <row r="119" spans="8:27" x14ac:dyDescent="0.25">
      <c r="M119" s="62" t="s">
        <v>533</v>
      </c>
      <c r="N119" s="62"/>
      <c r="O119" s="62">
        <f>+O108+O115</f>
        <v>-29</v>
      </c>
      <c r="P119" s="62">
        <f>+P108+P115</f>
        <v>-49.1</v>
      </c>
      <c r="Q119" s="131">
        <f>+Q108+Q115</f>
        <v>-40.573248409569374</v>
      </c>
      <c r="R119" s="131">
        <f t="shared" ref="R119:Z119" si="105">+R108+R115</f>
        <v>-55.903659868564688</v>
      </c>
      <c r="S119" s="131">
        <f t="shared" si="105"/>
        <v>-45.898268985169913</v>
      </c>
      <c r="T119" s="131">
        <f t="shared" si="105"/>
        <v>-49.024723369651312</v>
      </c>
      <c r="U119" s="131">
        <f t="shared" si="105"/>
        <v>-47.505206721093302</v>
      </c>
      <c r="V119" s="131">
        <f t="shared" si="105"/>
        <v>-50.710441065188704</v>
      </c>
      <c r="W119" s="131">
        <f t="shared" si="105"/>
        <v>-54.130699194108061</v>
      </c>
      <c r="X119" s="131">
        <f t="shared" si="105"/>
        <v>-57.779844047660866</v>
      </c>
      <c r="Y119" s="131">
        <f t="shared" si="105"/>
        <v>-55.83660976738468</v>
      </c>
      <c r="Z119" s="131">
        <f t="shared" si="105"/>
        <v>-59.003067634104056</v>
      </c>
      <c r="AA119" s="131">
        <f>+AA108+AA115</f>
        <v>-62.309297947369984</v>
      </c>
    </row>
    <row r="122" spans="8:27" x14ac:dyDescent="0.25">
      <c r="M122" t="s">
        <v>531</v>
      </c>
      <c r="O122" s="138">
        <v>-34.5</v>
      </c>
      <c r="P122" s="138">
        <v>-59.8</v>
      </c>
    </row>
    <row r="123" spans="8:27" x14ac:dyDescent="0.25">
      <c r="H123" t="s">
        <v>572</v>
      </c>
      <c r="M123" s="62" t="s">
        <v>358</v>
      </c>
      <c r="N123" s="62"/>
      <c r="O123" s="62"/>
      <c r="P123" s="62"/>
      <c r="Q123" s="131">
        <f>Q119+Q126</f>
        <v>-54.749064549388166</v>
      </c>
      <c r="R123" s="131">
        <f>R119+R126</f>
        <v>-73.021702175235447</v>
      </c>
      <c r="S123" s="131">
        <f t="shared" ref="S123" si="106">S119+S126</f>
        <v>-66.566951191726858</v>
      </c>
      <c r="T123" s="131">
        <f>T119+T126</f>
        <v>-73.782971661849203</v>
      </c>
      <c r="U123" s="131">
        <f t="shared" ref="U123:Z123" si="107">U119+U126</f>
        <v>-76.547982454682924</v>
      </c>
      <c r="V123" s="131">
        <f t="shared" si="107"/>
        <v>-84.154633723709708</v>
      </c>
      <c r="W123" s="131">
        <f t="shared" si="107"/>
        <v>-92.34407999871064</v>
      </c>
      <c r="X123" s="131">
        <f t="shared" si="107"/>
        <v>-101.15591679474203</v>
      </c>
      <c r="Y123" s="131">
        <f t="shared" si="107"/>
        <v>-103.67016743563383</v>
      </c>
      <c r="Z123" s="131">
        <f t="shared" si="107"/>
        <v>-111.2291980482596</v>
      </c>
      <c r="AA123" s="131">
        <f t="shared" ref="AA123" si="108">AA119+AA126</f>
        <v>-119.14858047734155</v>
      </c>
    </row>
    <row r="126" spans="8:27" x14ac:dyDescent="0.25">
      <c r="M126" s="62" t="s">
        <v>534</v>
      </c>
      <c r="N126" s="62"/>
      <c r="O126" s="62">
        <f>+O122-O119</f>
        <v>-5.5</v>
      </c>
      <c r="P126" s="62">
        <f>+P122-P119</f>
        <v>-10.699999999999996</v>
      </c>
      <c r="Q126" s="131">
        <f>-Q129*Q133</f>
        <v>-14.175816139818794</v>
      </c>
      <c r="R126" s="131">
        <f>-R129*R133</f>
        <v>-17.118042306670752</v>
      </c>
      <c r="S126" s="131">
        <f>-S129*S133</f>
        <v>-20.668682206556941</v>
      </c>
      <c r="T126" s="131">
        <f t="shared" ref="T126:Z126" si="109">-T129*T133</f>
        <v>-24.758248292197894</v>
      </c>
      <c r="U126" s="131">
        <f t="shared" si="109"/>
        <v>-29.042775733589618</v>
      </c>
      <c r="V126" s="131">
        <f t="shared" si="109"/>
        <v>-33.444192658520997</v>
      </c>
      <c r="W126" s="131">
        <f t="shared" si="109"/>
        <v>-38.213380804602579</v>
      </c>
      <c r="X126" s="131">
        <f t="shared" si="109"/>
        <v>-43.37607274708116</v>
      </c>
      <c r="Y126" s="131">
        <f t="shared" si="109"/>
        <v>-47.833557668249149</v>
      </c>
      <c r="Z126" s="131">
        <f t="shared" si="109"/>
        <v>-52.226130414155548</v>
      </c>
      <c r="AA126" s="131">
        <f t="shared" ref="AA126" si="110">-AA129*AA133</f>
        <v>-56.83928252997157</v>
      </c>
    </row>
    <row r="128" spans="8:27" x14ac:dyDescent="0.25">
      <c r="M128" t="s">
        <v>523</v>
      </c>
      <c r="O128" s="91">
        <f>+O126/O122</f>
        <v>0.15942028985507245</v>
      </c>
      <c r="P128" s="91">
        <f>+P126/P122</f>
        <v>0.17892976588628756</v>
      </c>
      <c r="Q128" s="91">
        <f>+Q126/Q123</f>
        <v>0.25892344018099234</v>
      </c>
      <c r="R128" s="91">
        <f t="shared" ref="R128:Z128" si="111">+R126/R123</f>
        <v>0.23442403828921093</v>
      </c>
      <c r="S128" s="91">
        <f t="shared" si="111"/>
        <v>0.31049464992060066</v>
      </c>
      <c r="T128" s="91">
        <f t="shared" si="111"/>
        <v>0.33555504386115131</v>
      </c>
      <c r="U128" s="91">
        <f t="shared" si="111"/>
        <v>0.3794061554892475</v>
      </c>
      <c r="V128" s="91">
        <f t="shared" si="111"/>
        <v>0.39741356094926994</v>
      </c>
      <c r="W128" s="91">
        <f t="shared" si="111"/>
        <v>0.41381516611715807</v>
      </c>
      <c r="X128" s="91">
        <f t="shared" si="111"/>
        <v>0.4288041087610982</v>
      </c>
      <c r="Y128" s="91">
        <f t="shared" si="111"/>
        <v>0.46140137371677142</v>
      </c>
      <c r="Z128" s="91">
        <f t="shared" si="111"/>
        <v>0.46953615894538697</v>
      </c>
      <c r="AA128" s="91">
        <f t="shared" ref="AA128" si="112">+AA126/AA123</f>
        <v>0.47704540249038618</v>
      </c>
    </row>
    <row r="129" spans="8:35" x14ac:dyDescent="0.25">
      <c r="M129" t="s">
        <v>525</v>
      </c>
      <c r="O129" s="92" t="e">
        <f>-O126/O133</f>
        <v>#N/A</v>
      </c>
      <c r="P129" s="92">
        <f>-P126/P133</f>
        <v>2.9747011398387535E-2</v>
      </c>
      <c r="Q129" s="220">
        <f>+P129</f>
        <v>2.9747011398387535E-2</v>
      </c>
      <c r="R129" s="220">
        <f>+Q129</f>
        <v>2.9747011398387535E-2</v>
      </c>
      <c r="S129" s="220">
        <f>+R129</f>
        <v>2.9747011398387535E-2</v>
      </c>
      <c r="T129" s="220">
        <f>+S129</f>
        <v>2.9747011398387535E-2</v>
      </c>
      <c r="U129" s="168">
        <f>+T129</f>
        <v>2.9747011398387535E-2</v>
      </c>
      <c r="V129" s="168">
        <f t="shared" ref="V129:AA129" si="113">+U129</f>
        <v>2.9747011398387535E-2</v>
      </c>
      <c r="W129" s="168">
        <f t="shared" si="113"/>
        <v>2.9747011398387535E-2</v>
      </c>
      <c r="X129" s="168">
        <f t="shared" si="113"/>
        <v>2.9747011398387535E-2</v>
      </c>
      <c r="Y129" s="168">
        <f t="shared" si="113"/>
        <v>2.9747011398387535E-2</v>
      </c>
      <c r="Z129" s="168">
        <f t="shared" si="113"/>
        <v>2.9747011398387535E-2</v>
      </c>
      <c r="AA129" s="168">
        <f t="shared" si="113"/>
        <v>2.9747011398387535E-2</v>
      </c>
    </row>
    <row r="130" spans="8:35" x14ac:dyDescent="0.25">
      <c r="M130" s="166" t="s">
        <v>5</v>
      </c>
      <c r="N130" s="166"/>
      <c r="O130" s="166">
        <v>-14.7</v>
      </c>
    </row>
    <row r="131" spans="8:35" x14ac:dyDescent="0.25">
      <c r="U131" s="130"/>
      <c r="V131" s="130"/>
      <c r="W131" s="130"/>
      <c r="X131" s="130"/>
      <c r="Y131" s="130"/>
      <c r="Z131" s="130"/>
      <c r="AA131" s="130"/>
      <c r="AB131" s="130"/>
      <c r="AC131" s="130"/>
      <c r="AD131" s="130"/>
      <c r="AE131" s="130"/>
      <c r="AF131" s="130"/>
      <c r="AG131" s="130"/>
      <c r="AH131" s="130"/>
    </row>
    <row r="133" spans="8:35" x14ac:dyDescent="0.25">
      <c r="H133" t="s">
        <v>449</v>
      </c>
      <c r="M133" t="s">
        <v>527</v>
      </c>
      <c r="O133" s="130" t="e">
        <f>VLOOKUP($H$133,Assumptions!$1:$1048576,MATCH('GYG network model'!O$105,Assumptions!$5:$5,0),FALSE)</f>
        <v>#N/A</v>
      </c>
      <c r="P133" s="130">
        <f>VLOOKUP($H$133,Assumptions!$1:$1048576,MATCH('GYG network model'!P$105,Assumptions!$5:$5,0),FALSE)</f>
        <v>359.7</v>
      </c>
      <c r="Q133" s="130">
        <f>VLOOKUP($H$133,Assumptions!$1:$1048576,MATCH('GYG network model'!Q$105,Assumptions!$5:$5,0),FALSE)</f>
        <v>476.54589397129178</v>
      </c>
      <c r="R133" s="130">
        <f>VLOOKUP($H$133,Assumptions!$1:$1048576,MATCH('GYG network model'!R$105,Assumptions!$5:$5,0),FALSE)</f>
        <v>575.45418857097866</v>
      </c>
      <c r="S133" s="130">
        <f>VLOOKUP($H$133,Assumptions!$1:$1048576,MATCH('GYG network model'!S$105,Assumptions!$5:$5,0),FALSE)</f>
        <v>694.81541959799381</v>
      </c>
      <c r="T133" s="130">
        <f>VLOOKUP($H$133,Assumptions!$1:$1048576,MATCH('GYG network model'!T$105,Assumptions!$5:$5,0),FALSE)</f>
        <v>832.29363651435381</v>
      </c>
      <c r="U133" s="130">
        <f>VLOOKUP($H$133,Assumptions!$1:$1048576,MATCH('GYG network model'!U$105,Assumptions!$5:$5,0),FALSE)</f>
        <v>976.32583470768122</v>
      </c>
      <c r="V133" s="130">
        <f>VLOOKUP($H$133,Assumptions!$1:$1048576,MATCH('GYG network model'!V$105,Assumptions!$5:$5,0),FALSE)</f>
        <v>1124.2874859130848</v>
      </c>
      <c r="W133" s="130">
        <f>VLOOKUP($H$133,Assumptions!$1:$1048576,MATCH('GYG network model'!W$105,Assumptions!$5:$5,0),FALSE)</f>
        <v>1284.6124369547244</v>
      </c>
      <c r="X133" s="130">
        <f>VLOOKUP($H$133,Assumptions!$1:$1048576,MATCH('GYG network model'!X$105,Assumptions!$5:$5,0),FALSE)</f>
        <v>1458.1657352453362</v>
      </c>
      <c r="Y133" s="130">
        <f>VLOOKUP($H$133,Assumptions!$1:$1048576,MATCH('GYG network model'!Y$105,Assumptions!$5:$5,0),FALSE)</f>
        <v>1608.0122143242265</v>
      </c>
      <c r="Z133" s="130">
        <f>VLOOKUP($H$133,Assumptions!$1:$1048576,MATCH('GYG network model'!Z$105,Assumptions!$5:$5,0),FALSE)</f>
        <v>1755.676552333809</v>
      </c>
      <c r="AA133" s="130">
        <f>VLOOKUP($H$133,Assumptions!$1:$1048576,MATCH('GYG network model'!AA$105,Assumptions!$5:$5,0),FALSE)</f>
        <v>1910.7560678533439</v>
      </c>
      <c r="AB133" s="130"/>
      <c r="AC133" s="130"/>
      <c r="AD133" s="130"/>
      <c r="AE133" s="130"/>
      <c r="AF133" s="130"/>
      <c r="AG133" s="130"/>
      <c r="AH133" s="130"/>
      <c r="AI133" s="130"/>
    </row>
    <row r="135" spans="8:35" x14ac:dyDescent="0.25">
      <c r="H135" t="s">
        <v>532</v>
      </c>
      <c r="M135" t="s">
        <v>535</v>
      </c>
      <c r="O135" s="130" t="e">
        <f>VLOOKUP($H$135,Assumptions!$1:$1048576,MATCH('GYG network model'!O$105,Assumptions!$5:$5,0),FALSE)</f>
        <v>#N/A</v>
      </c>
      <c r="P135" s="130">
        <f>VLOOKUP($H$135,Assumptions!$1:$1048576,MATCH('GYG network model'!P$105,Assumptions!$5:$5,0),FALSE)</f>
        <v>0</v>
      </c>
      <c r="Q135" s="130">
        <f>VLOOKUP($H$135,Assumptions!$1:$1048576,MATCH('GYG network model'!Q$105,Assumptions!$5:$5,0),FALSE)</f>
        <v>2</v>
      </c>
      <c r="R135" s="130">
        <f>VLOOKUP($H$135,Assumptions!$1:$1048576,MATCH('GYG network model'!R$105,Assumptions!$5:$5,0),FALSE)</f>
        <v>4</v>
      </c>
      <c r="S135" s="130">
        <f>VLOOKUP($H$135,Assumptions!$1:$1048576,MATCH('GYG network model'!S$105,Assumptions!$5:$5,0),FALSE)</f>
        <v>0</v>
      </c>
      <c r="T135" s="130">
        <f>VLOOKUP($H$135,Assumptions!$1:$1048576,MATCH('GYG network model'!T$105,Assumptions!$5:$5,0),FALSE)</f>
        <v>0</v>
      </c>
    </row>
    <row r="141" spans="8:35" x14ac:dyDescent="0.25">
      <c r="P141" s="114" t="str">
        <f>+P105</f>
        <v>Fy25</v>
      </c>
      <c r="Q141" s="114" t="str">
        <f t="shared" ref="Q141:T141" si="114">+Q105</f>
        <v>FY26e</v>
      </c>
      <c r="R141" s="114" t="str">
        <f t="shared" si="114"/>
        <v>FY27e</v>
      </c>
      <c r="S141" s="114" t="str">
        <f t="shared" si="114"/>
        <v>FY28e</v>
      </c>
      <c r="T141" s="114" t="str">
        <f t="shared" si="114"/>
        <v>FY29e</v>
      </c>
    </row>
    <row r="142" spans="8:35" x14ac:dyDescent="0.25">
      <c r="O142" t="s">
        <v>670</v>
      </c>
      <c r="P142" s="114">
        <f>+P108</f>
        <v>-35.200000000000003</v>
      </c>
      <c r="Q142" s="114">
        <f t="shared" ref="Q142:T142" si="115">+Q108</f>
        <v>-31.973248409569376</v>
      </c>
      <c r="R142" s="114">
        <f t="shared" si="115"/>
        <v>-38.703659868564685</v>
      </c>
      <c r="S142" s="114">
        <f t="shared" si="115"/>
        <v>-45.898268985169913</v>
      </c>
      <c r="T142" s="114">
        <f t="shared" si="115"/>
        <v>-49.024723369651312</v>
      </c>
    </row>
    <row r="143" spans="8:35" x14ac:dyDescent="0.25">
      <c r="O143" t="s">
        <v>671</v>
      </c>
      <c r="P143">
        <f>+P115</f>
        <v>-13.9</v>
      </c>
      <c r="Q143">
        <f t="shared" ref="Q143:T143" si="116">+Q115</f>
        <v>-8.6</v>
      </c>
      <c r="R143">
        <f t="shared" si="116"/>
        <v>-17.2</v>
      </c>
      <c r="S143">
        <f t="shared" si="116"/>
        <v>0</v>
      </c>
      <c r="T143">
        <f t="shared" si="116"/>
        <v>0</v>
      </c>
    </row>
    <row r="144" spans="8:35" x14ac:dyDescent="0.25">
      <c r="O144" t="s">
        <v>82</v>
      </c>
      <c r="P144">
        <f>+P126</f>
        <v>-10.699999999999996</v>
      </c>
      <c r="Q144">
        <f t="shared" ref="Q144:T144" si="117">+Q126</f>
        <v>-14.175816139818794</v>
      </c>
      <c r="R144">
        <f t="shared" si="117"/>
        <v>-17.118042306670752</v>
      </c>
      <c r="S144">
        <f t="shared" si="117"/>
        <v>-20.668682206556941</v>
      </c>
      <c r="T144">
        <f t="shared" si="117"/>
        <v>-24.758248292197894</v>
      </c>
    </row>
    <row r="146" spans="15:20" x14ac:dyDescent="0.25">
      <c r="O146" t="s">
        <v>670</v>
      </c>
      <c r="P146" s="130">
        <f>ABS(P142)</f>
        <v>35.200000000000003</v>
      </c>
      <c r="Q146" s="130">
        <f t="shared" ref="Q146:T146" si="118">ABS(Q142)</f>
        <v>31.973248409569376</v>
      </c>
      <c r="R146" s="130">
        <f t="shared" si="118"/>
        <v>38.703659868564685</v>
      </c>
      <c r="S146" s="130">
        <f t="shared" si="118"/>
        <v>45.898268985169913</v>
      </c>
      <c r="T146" s="130">
        <f t="shared" si="118"/>
        <v>49.024723369651312</v>
      </c>
    </row>
    <row r="147" spans="15:20" x14ac:dyDescent="0.25">
      <c r="O147" t="s">
        <v>671</v>
      </c>
      <c r="P147" s="130">
        <f t="shared" ref="P147:T147" si="119">ABS(P143)</f>
        <v>13.9</v>
      </c>
      <c r="Q147" s="130">
        <f t="shared" si="119"/>
        <v>8.6</v>
      </c>
      <c r="R147" s="130">
        <f t="shared" si="119"/>
        <v>17.2</v>
      </c>
      <c r="S147" s="130">
        <f t="shared" si="119"/>
        <v>0</v>
      </c>
      <c r="T147" s="130">
        <f t="shared" si="119"/>
        <v>0</v>
      </c>
    </row>
    <row r="148" spans="15:20" x14ac:dyDescent="0.25">
      <c r="O148" t="s">
        <v>82</v>
      </c>
      <c r="P148" s="130">
        <f t="shared" ref="P148:T148" si="120">ABS(P144)</f>
        <v>10.699999999999996</v>
      </c>
      <c r="Q148" s="130">
        <f t="shared" si="120"/>
        <v>14.175816139818794</v>
      </c>
      <c r="R148" s="130">
        <f t="shared" si="120"/>
        <v>17.118042306670752</v>
      </c>
      <c r="S148" s="130">
        <f t="shared" si="120"/>
        <v>20.668682206556941</v>
      </c>
      <c r="T148" s="130">
        <f t="shared" si="120"/>
        <v>24.758248292197894</v>
      </c>
    </row>
  </sheetData>
  <phoneticPr fontId="33" type="noConversion"/>
  <pageMargins left="0.7" right="0.7" top="0.75" bottom="0.75" header="0.3" footer="0.3"/>
  <pageSetup paperSize="9" scale="95" orientation="portrait" r:id="rId1"/>
  <ignoredErrors>
    <ignoredError sqref="R37:AI37 AS11 AS9" formula="1"/>
  </ignoredErrors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467B9-5632-4D13-B946-13F9E4245C18}">
  <dimension ref="A1:B44"/>
  <sheetViews>
    <sheetView workbookViewId="0"/>
  </sheetViews>
  <sheetFormatPr defaultRowHeight="15" x14ac:dyDescent="0.25"/>
  <cols>
    <col min="1" max="1" width="29" customWidth="1"/>
  </cols>
  <sheetData>
    <row r="1" spans="1:2" x14ac:dyDescent="0.25">
      <c r="A1" s="505" t="s">
        <v>1048</v>
      </c>
      <c r="B1" s="513" t="s">
        <v>1049</v>
      </c>
    </row>
    <row r="2" spans="1:2" x14ac:dyDescent="0.25">
      <c r="A2" s="505" t="s">
        <v>1050</v>
      </c>
      <c r="B2" s="505" t="s">
        <v>1051</v>
      </c>
    </row>
    <row r="3" spans="1:2" x14ac:dyDescent="0.25">
      <c r="A3" s="505" t="s">
        <v>1052</v>
      </c>
      <c r="B3" s="505" t="s">
        <v>1053</v>
      </c>
    </row>
    <row r="4" spans="1:2" x14ac:dyDescent="0.25">
      <c r="A4" s="505" t="s">
        <v>1054</v>
      </c>
      <c r="B4" s="505" t="s">
        <v>1055</v>
      </c>
    </row>
    <row r="5" spans="1:2" x14ac:dyDescent="0.25">
      <c r="A5" s="505" t="s">
        <v>1056</v>
      </c>
      <c r="B5" s="505" t="s">
        <v>484</v>
      </c>
    </row>
    <row r="6" spans="1:2" x14ac:dyDescent="0.25">
      <c r="A6" s="505" t="s">
        <v>1057</v>
      </c>
      <c r="B6" s="505"/>
    </row>
    <row r="7" spans="1:2" x14ac:dyDescent="0.25">
      <c r="A7" s="505" t="s">
        <v>1058</v>
      </c>
      <c r="B7" s="505" t="s">
        <v>505</v>
      </c>
    </row>
    <row r="8" spans="1:2" x14ac:dyDescent="0.25">
      <c r="A8" s="505" t="s">
        <v>1059</v>
      </c>
      <c r="B8" s="505" t="s">
        <v>1060</v>
      </c>
    </row>
    <row r="9" spans="1:2" x14ac:dyDescent="0.25">
      <c r="A9" s="505" t="s">
        <v>1061</v>
      </c>
      <c r="B9" s="505" t="s">
        <v>1062</v>
      </c>
    </row>
    <row r="10" spans="1:2" x14ac:dyDescent="0.25">
      <c r="A10" s="505" t="s">
        <v>1063</v>
      </c>
      <c r="B10" s="505"/>
    </row>
    <row r="11" spans="1:2" x14ac:dyDescent="0.25">
      <c r="A11" s="505" t="s">
        <v>1064</v>
      </c>
      <c r="B11" s="505"/>
    </row>
    <row r="12" spans="1:2" x14ac:dyDescent="0.25">
      <c r="A12" s="505" t="s">
        <v>1065</v>
      </c>
      <c r="B12" s="505"/>
    </row>
    <row r="13" spans="1:2" x14ac:dyDescent="0.25">
      <c r="A13" s="505" t="s">
        <v>1066</v>
      </c>
      <c r="B13" s="505"/>
    </row>
    <row r="14" spans="1:2" x14ac:dyDescent="0.25">
      <c r="A14" s="505" t="s">
        <v>1067</v>
      </c>
      <c r="B14" s="505"/>
    </row>
    <row r="15" spans="1:2" x14ac:dyDescent="0.25">
      <c r="A15" s="505" t="s">
        <v>1068</v>
      </c>
      <c r="B15" s="505"/>
    </row>
    <row r="16" spans="1:2" x14ac:dyDescent="0.25">
      <c r="A16" s="505" t="s">
        <v>1069</v>
      </c>
      <c r="B16" s="505"/>
    </row>
    <row r="17" spans="1:2" x14ac:dyDescent="0.25">
      <c r="A17" s="505" t="s">
        <v>1070</v>
      </c>
      <c r="B17" s="505" t="s">
        <v>1071</v>
      </c>
    </row>
    <row r="18" spans="1:2" x14ac:dyDescent="0.25">
      <c r="A18" s="505" t="s">
        <v>1072</v>
      </c>
      <c r="B18" s="505" t="s">
        <v>1073</v>
      </c>
    </row>
    <row r="19" spans="1:2" x14ac:dyDescent="0.25">
      <c r="A19" s="505" t="s">
        <v>1074</v>
      </c>
      <c r="B19" s="505" t="s">
        <v>325</v>
      </c>
    </row>
    <row r="20" spans="1:2" x14ac:dyDescent="0.25">
      <c r="A20" s="505" t="s">
        <v>1075</v>
      </c>
      <c r="B20" s="505"/>
    </row>
    <row r="21" spans="1:2" x14ac:dyDescent="0.25">
      <c r="A21" s="505" t="s">
        <v>1076</v>
      </c>
      <c r="B21" s="505" t="s">
        <v>325</v>
      </c>
    </row>
    <row r="22" spans="1:2" x14ac:dyDescent="0.25">
      <c r="A22" s="505" t="s">
        <v>1077</v>
      </c>
      <c r="B22" s="505" t="s">
        <v>1078</v>
      </c>
    </row>
    <row r="23" spans="1:2" x14ac:dyDescent="0.25">
      <c r="A23" s="505" t="s">
        <v>1079</v>
      </c>
      <c r="B23" s="513" t="s">
        <v>1080</v>
      </c>
    </row>
    <row r="24" spans="1:2" x14ac:dyDescent="0.25">
      <c r="A24" s="505" t="s">
        <v>1081</v>
      </c>
      <c r="B24" s="505" t="s">
        <v>504</v>
      </c>
    </row>
    <row r="25" spans="1:2" x14ac:dyDescent="0.25">
      <c r="A25" s="505" t="s">
        <v>1082</v>
      </c>
      <c r="B25" s="505" t="s">
        <v>1083</v>
      </c>
    </row>
    <row r="26" spans="1:2" x14ac:dyDescent="0.25">
      <c r="A26" s="505" t="s">
        <v>1084</v>
      </c>
      <c r="B26" s="505" t="s">
        <v>1085</v>
      </c>
    </row>
    <row r="27" spans="1:2" x14ac:dyDescent="0.25">
      <c r="A27" s="505" t="s">
        <v>1086</v>
      </c>
      <c r="B27" s="505" t="s">
        <v>1087</v>
      </c>
    </row>
    <row r="28" spans="1:2" x14ac:dyDescent="0.25">
      <c r="A28" s="505" t="s">
        <v>1088</v>
      </c>
      <c r="B28" s="505" t="s">
        <v>1089</v>
      </c>
    </row>
    <row r="29" spans="1:2" x14ac:dyDescent="0.25">
      <c r="A29" s="505" t="s">
        <v>1090</v>
      </c>
      <c r="B29" s="505"/>
    </row>
    <row r="30" spans="1:2" x14ac:dyDescent="0.25">
      <c r="A30" s="505" t="s">
        <v>1091</v>
      </c>
      <c r="B30" s="505"/>
    </row>
    <row r="31" spans="1:2" x14ac:dyDescent="0.25">
      <c r="A31" s="505" t="s">
        <v>1092</v>
      </c>
      <c r="B31" s="505"/>
    </row>
    <row r="32" spans="1:2" x14ac:dyDescent="0.25">
      <c r="A32" s="505" t="s">
        <v>1093</v>
      </c>
      <c r="B32" s="505"/>
    </row>
    <row r="33" spans="1:2" x14ac:dyDescent="0.25">
      <c r="A33" s="505" t="s">
        <v>1094</v>
      </c>
      <c r="B33" s="505"/>
    </row>
    <row r="34" spans="1:2" x14ac:dyDescent="0.25">
      <c r="A34" s="505" t="s">
        <v>1095</v>
      </c>
      <c r="B34" s="505"/>
    </row>
    <row r="35" spans="1:2" x14ac:dyDescent="0.25">
      <c r="A35" s="505" t="s">
        <v>1096</v>
      </c>
      <c r="B35" s="505" t="s">
        <v>1097</v>
      </c>
    </row>
    <row r="36" spans="1:2" x14ac:dyDescent="0.25">
      <c r="A36" s="505" t="s">
        <v>1098</v>
      </c>
      <c r="B36" s="505" t="s">
        <v>1099</v>
      </c>
    </row>
    <row r="37" spans="1:2" x14ac:dyDescent="0.25">
      <c r="A37" s="505" t="s">
        <v>1100</v>
      </c>
      <c r="B37" s="505" t="s">
        <v>1101</v>
      </c>
    </row>
    <row r="38" spans="1:2" x14ac:dyDescent="0.25">
      <c r="A38" s="505" t="s">
        <v>1102</v>
      </c>
      <c r="B38" s="505" t="s">
        <v>1103</v>
      </c>
    </row>
    <row r="39" spans="1:2" x14ac:dyDescent="0.25">
      <c r="A39" s="505" t="s">
        <v>1104</v>
      </c>
      <c r="B39" s="505" t="s">
        <v>1105</v>
      </c>
    </row>
    <row r="40" spans="1:2" x14ac:dyDescent="0.25">
      <c r="A40" s="505" t="s">
        <v>1106</v>
      </c>
      <c r="B40" s="505" t="s">
        <v>1107</v>
      </c>
    </row>
    <row r="41" spans="1:2" x14ac:dyDescent="0.25">
      <c r="A41" s="505" t="s">
        <v>1108</v>
      </c>
      <c r="B41" s="505" t="s">
        <v>1109</v>
      </c>
    </row>
    <row r="42" spans="1:2" x14ac:dyDescent="0.25">
      <c r="A42" s="505" t="s">
        <v>1110</v>
      </c>
      <c r="B42" s="505"/>
    </row>
    <row r="43" spans="1:2" x14ac:dyDescent="0.25">
      <c r="A43" s="505" t="s">
        <v>1111</v>
      </c>
      <c r="B43" s="505"/>
    </row>
    <row r="44" spans="1:2" x14ac:dyDescent="0.25">
      <c r="A44" s="505" t="s">
        <v>1112</v>
      </c>
      <c r="B44" s="505" t="s">
        <v>1113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902F4-FC22-4088-85C5-CD7642F1C871}">
  <dimension ref="A1:A13"/>
  <sheetViews>
    <sheetView workbookViewId="0"/>
  </sheetViews>
  <sheetFormatPr defaultRowHeight="15" x14ac:dyDescent="0.25"/>
  <cols>
    <col min="1" max="1" width="28.140625" customWidth="1"/>
  </cols>
  <sheetData>
    <row r="1" spans="1:1" x14ac:dyDescent="0.25">
      <c r="A1" s="505" t="s">
        <v>1114</v>
      </c>
    </row>
    <row r="2" spans="1:1" x14ac:dyDescent="0.25">
      <c r="A2" s="505" t="s">
        <v>1115</v>
      </c>
    </row>
    <row r="3" spans="1:1" x14ac:dyDescent="0.25">
      <c r="A3" s="505" t="s">
        <v>1116</v>
      </c>
    </row>
    <row r="4" spans="1:1" x14ac:dyDescent="0.25">
      <c r="A4" s="505" t="s">
        <v>1117</v>
      </c>
    </row>
    <row r="5" spans="1:1" x14ac:dyDescent="0.25">
      <c r="A5" s="505" t="s">
        <v>1118</v>
      </c>
    </row>
    <row r="6" spans="1:1" x14ac:dyDescent="0.25">
      <c r="A6" s="505" t="s">
        <v>1119</v>
      </c>
    </row>
    <row r="7" spans="1:1" x14ac:dyDescent="0.25">
      <c r="A7" s="505" t="s">
        <v>1120</v>
      </c>
    </row>
    <row r="8" spans="1:1" x14ac:dyDescent="0.25">
      <c r="A8" s="505" t="s">
        <v>1121</v>
      </c>
    </row>
    <row r="9" spans="1:1" x14ac:dyDescent="0.25">
      <c r="A9" s="505" t="s">
        <v>1122</v>
      </c>
    </row>
    <row r="10" spans="1:1" x14ac:dyDescent="0.25">
      <c r="A10" s="505" t="s">
        <v>1123</v>
      </c>
    </row>
    <row r="11" spans="1:1" x14ac:dyDescent="0.25">
      <c r="A11" s="505" t="s">
        <v>1124</v>
      </c>
    </row>
    <row r="12" spans="1:1" x14ac:dyDescent="0.25">
      <c r="A12" s="505" t="s">
        <v>1125</v>
      </c>
    </row>
    <row r="13" spans="1:1" x14ac:dyDescent="0.25">
      <c r="A13" s="505" t="s">
        <v>1126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e046188-dcb6-48d7-8c4b-da14fe8c236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FdsFormulaCache xmlns="urn:fdsformulacache" version="2" timestamp="1769563331"><![CDATA[{"YUM-US^FE_ESTIMATE(SALES,MEAN,QTR_ROLL,2026/4F,0,,,'')":2505.1448,"YUM-US^FE_ESTIMATE(SALES,MEAN,QTR_ROLL,2026/3F,0,,,'')":2100.26,"YUM-US^FE_ESTIMATE(SALES,MEAN,QTR_ROLL,2026/2F,0,,,'')":2079.2568,"YUM-US^FE_ESTIMATE(SALES,MEAN,QTR_ROLL,2026/1F,0,,,'')":1980.4263,"YUM-US^FE_ESTIMATE(SALES,MEAN,QTR_ROLL,2025/4F,0,,,'')":2385.863,"YUM-US^FE_ESTIMATE(SALES,MEAN,QTR_ROLL,2025/3F,0,,,'')":1966.1989,"YUM-US^FE_ESTIMATE(SALES,MEAN,QTR_ROLL,2025/2F,0,,,'')":1951.5955,"YUM-US^FE_ESTIMATE(SALES,MEAN,QTR_ROLL,2025/1F,0,,,'')":1846.5509,"YUM-US^FE_ESTIMATE(SALES,MEAN,QTR_ROLL,2024/4F,0,,,'')":2362.0,"YUM-US^FE_ESTIMATE(SALES,MEAN,QTR_ROLL,2024/3F,0,,,'')":1826.0,"YUM-US^FE_ESTIMATE(SALES,MEAN,QTR_ROLL,2024/2F,0,,,'')":1763.0,"YUM-US^FE_ESTIMATE(SALES,MEAN,QTR_ROLL,2024/1F,0,,,'')":1598.0,"YUM-US^FE_ESTIMATE(SALES,MEAN,QTR_ROLL,2023/4F,0,,,'')":2036.0,"YUM-US^FE_ESTIMATE(SALES,MEAN,QTR_ROLL,2023/3F,0,,,'')":1707.8889,"YUM-US^FE_ESTIMATE(SALES,MEAN,QTR_ROLL,2023/2F,0,,,'')":1687.0,"YUM-US^FE_ESTIMATE(SALES,MEAN,QTR_ROLL,2023/1F,0,,,'')":1645.1666,"YUM-US^FE_ESTIMATE(SALES,MEAN,QTR_ROLL,2022/4F,0,,,'')":2019.0,"YUM-US^FE_ESTIMATE(SALES,MEAN,QTR_ROLL,2022/3F,0,,,'')":1640.0,"YUM-US^FE_ESTIMATE(SALES,MEAN,QTR_ROLL,2022/2F,0,,,'')":1636.0,"YUM-US^FE_ESTIMATE(SALES,MEAN,QTR_ROLL,2022/1F,0,,,'')":1547.0,"MCD-US^FE_ESTIMATE(SALES,MEAN,QTR_ROLL,2026/4F,0,,,'')":7033.014,"MCD-US^FE_ESTIMATE(SALES,MEAN,QTR_ROLL,2026/3F,0,,,'')":7295.7876,"MCD-US^FE_ESTIMATE(SALES,MEAN,QTR_ROLL,2026/2F,0,,,'')":6944.9814,"MCD-US^FE_ESTIMATE(SALES,MEAN,QTR_ROLL,2026/1F,0,,,'')":6440.221,"MCD-US^FE_ESTIMATE(SALES,MEAN,QTR_ROLL,2025/4F,0,,,'')":6681.9346,"MCD-US^FE_ESTIMATE(SALES,MEAN,QTR_ROLL,2025/3F,0,,,'')":6922.214,"MCD-US^FE_ESTIMATE(SALES,MEAN,QTR_ROLL,2025/2F,0,,,'')":6627.179,"MCD-US^FE_ESTIMATE(SALES,MEAN,QTR_ROLL,2025/1F,0,,,'')":6150.243,"MCD-US^FE_ESTIMATE(SALES,MEAN,QTR_ROLL,2024/4F,0,,,'')":6388.0,"MCD-US^FE_ESTIMATE(SALES,MEAN,QTR_ROLL,2024/3F,0,,,'')":6873.0,"MCD-US^FE_ESTIMATE(SALES,MEAN,QTR_ROLL,2024/2F,0,,,'')":6490.0,"MCD-US^FE_ESTIMATE(SALES,MEAN,QTR_ROLL,2024/1F,0,,,'')":6169.0,"MCD-US^FE_ESTIMATE(SALES,MEAN,QTR_ROLL,2023/4F,0,,,'')":6406.2,"MCD-US^FE_ESTIMATE(SALES,MEAN,QTR_ROLL,2023/3F,0,,,'')":6692.2,"MCD-US^FE_ESTIMATE(SALES,MEAN,QTR_ROLL,2023/2F,0,,,'')":6497.5,"MCD-US^FE_ESTIMATE(SALES,MEAN,QTR_ROLL,2023/1F,0,,,'')":5897.8,"MCD-US^FE_ESTIMATE(SALES,MEAN,QTR_ROLL,2022/4F,0,,,'')":5926.5,"MCD-US^FE_ESTIMATE(SALES,MEAN,QTR_ROLL,2022/3F,0,,,'')":5872.1,"MCD-US^FE_ESTIMATE(SALES,MEAN,QTR_ROLL,2022/2F,0,,,'')":5718.4,"MCD-US^FE_ESTIMATE(SALES,MEAN,QTR_ROLL,2022/1F,0,,,'')":5665.6,"QSR-US^FE_ESTIMATE(SALES,MEAN,QTR_ROLL,2026/4F,0,,,'')":2486.4414,"QSR-US^FE_ESTIMATE(SALES,MEAN,QTR_ROLL,2026/3F,0,,,'')":2485.826,"QSR-US^FE_ESTIMATE(SALES,MEAN,QTR_ROLL,2026/2F,0,,,'')":2458.0103,"QSR-US^FE_ESTIMATE(SALES,MEAN,QTR_ROLL,2026/1F,0,,,'')":2258.636,"QSR-US^FE_ESTIMATE(SALES,MEAN,QTR_ROLL,2025/4F,0,,,'')":2382.4553,"QSR-US^FE_ESTIMATE(SALES,MEAN,QTR_ROLL,2025/3F,0,,,'')":2373.485,"QSR-US^FE_ESTIMATE(SALES,MEAN,QTR_ROLL,2025/2F,0,,,'')":2350.471,"QSR-US^FE_ESTIMATE(SALES,MEAN,QTR_ROLL,2025/1F,0,,,'')":2168.004,"QSR-US^FE_ESTIMATE(SALES,MEAN,QTR_ROLL,2024/4F,0,,,'')":2296.0,"QSR-US^FE_ESTIMATE(SALES,MEAN,QTR_ROLL,2024/3F,0,,,'')":2291.0,"QSR-US^FE_ESTIMATE(SALES,MEAN,QTR_ROLL,2024/2F,0,,,'')":2080.0,"QSR-US^FE_ESTIMATE(SALES,MEAN,QTR_ROLL,2024/1F,0,,,'')":1739.0,"QSR-US^FE_ESTIMATE(SALES,MEAN,QTR_ROLL,2023/4F,0,,,'')":1820.0,"QSR-US^FE_ESTIMATE(SALES,MEAN,QTR_ROLL,2023/3F,0,,,'')":1837.0,"QSR-US^FE_ESTIMATE(SALES,MEAN,QTR_ROLL,2023/2F,0,,,'')":1775.0,"QSR-US^FE_ESTIMATE(SALES,MEAN,QTR_ROLL,2023/1F,0,,,'')":1590.0,"QSR-US^FE_ESTIMATE(SALES,MEAN,QTR_ROLL,2022/4F,0,,,'')":1689.0,"QSR-US^FE_ESTIMATE(SALES,MEAN,QTR_ROLL,2022/3F,0,,,'')":1726.0,"QSR-US^FE_ESTIMATE(SALES,MEAN,QTR_ROLL,2022/2F,0,,,'')":1639.0,"QSR-US^FE_ESTIMATE(SALES,MEAN,QTR_ROLL,2022/1F,0,,,'')":1451.0,"DPZ-US^FE_ESTIMATE(SALES,MEAN,QTR_ROLL,2026/4F,0,,,'')":1660.2742,"DPZ-US^FE_ESTIMATE(SALES,MEAN,QTR_ROLL,2026/3F,0,,,'')":1205.4805,"DPZ-US^FE_ESTIMATE(SALES,MEAN,QTR_ROLL,2026/2F,0,,,'')":1215.4993,"DPZ-US^FE_ESTIMATE(SALES,MEAN,QTR_ROLL,2026/1F,0,,,'')":1200.3684,"DPZ-US^FE_ESTIMATE(SALES,MEAN,QTR_ROLL,2025/4F,0,,,'')":1542.9711,"DPZ-US^FE_ESTIMATE(SALES,MEAN,QTR_ROLL,2025/3F,0,,,'')":1139.7585,"DPZ-US^FE_ESTIMATE(SALES,MEAN,QTR_ROLL,2025/2F,0,,,'')":1147.7194,"DPZ-US^FE_ESTIMATE(SALES,MEAN,QTR_ROLL,2025/1F,0,,,'')":1124.6924,"DPZ-US^FE_ESTIMATE(SALES,MEAN,QTR_ROLL,2024/4F,0,,,'')":1443.914,"DPZ-US^FE_ESTIMATE(SALES,MEAN,QTR_ROLL,2024/3F,0,,,'')":1080.119,"DPZ-US^FE_ESTIMATE(SALES,MEAN,QTR_ROLL,2024/2F,0,,,'')":1097.736,"DPZ-US^FE_ESTIMATE(SALES,MEAN,QTR_ROLL,2024/1F,0,,,'')":1084.647,"DPZ-US^FE_ESTIMATE(SALES,MEAN,QTR_ROLL,2023/4F,0,,,'')":1402.972,"DPZ-US^FE_ESTIMATE(SALES,MEAN,QTR_ROLL,2023/3F,0,,,'')":1027.361,"DPZ-US^FE_ESTIMATE(SALES,MEAN,QTR_ROLL,2023/2F,0,,,'')":1024.627,"DPZ-US^FE_ESTIMATE(SALES,MEAN,QTR_ROLL,2023/1F,0,,,'')":1024.398,"DPZ-US^FE_ESTIMATE(SALES,MEAN,QTR_ROLL,2022/4F,0,,,'')":1392.231,"DPZ-US^FE_ESTIMATE(SALES,MEAN,QTR_ROLL,2022/3F,0,,,'')":1068.596,"DPZ-US^FE_ESTIMATE(SALES,MEAN,QTR_ROLL,2022/2F,0,,,'')":1065.182,"DPZ-US^FE_ESTIMATE(SALES,MEAN,QTR_ROLL,2022/1F,0,,,'')":1011.149,"YUMC-US^FE_ESTIMATE(SALES,MEAN,QTR_ROLL,2026/4F,0,,,'')":2907.3145,"YUMC-US^FE_ESTIMATE(SALES,MEAN,QTR_ROLL,2026/3F,0,,,'')":3465.944,"YUMC-US^FE_ESTIMATE(SALES,MEAN,QTR_ROLL,2026/2F,0,,,'')":3061.1667,"YUMC-US^FE_ESTIMATE(SALES,MEAN,QTR_ROLL,2026/1F,0,,,'')":3323.3828,"YUMC-US^FE_ESTIMATE(SALES,MEAN,QTR_ROLL,2025/4F,0,,,'')":2731.8838,"YUMC-US^FE_ESTIMATE(SALES,MEAN,QTR_ROLL,2025/3F,0,,,'')":3240.627,"YUMC-US^FE_ESTIMATE(SALES,MEAN,QTR_ROLL,2025/2F,0,,,'')":2867.7646,"YUMC-US^FE_ESTIMATE(SALES,MEAN,QTR_ROLL,2025/1F,0,,,'')":3144.761,"YUMC-US^FE_ESTIMATE(SALES,MEAN,QTR_ROLL,2024/4F,0,,,'')":2595.0,"YUMC-US^FE_ESTIMATE(SALES,MEAN,QTR_ROLL,2024/3F,0,,,'')":3071.0,"YUMC-US^FE_ESTIMATE(SALES,MEAN,QTR_ROLL,2024/2F,0,,,'')":2679.0,"YUMC-US^FE_ESTIMATE(SALES,MEAN,QTR_ROLL,2024/1F,0,,,'')":2958.0,"YUMC-US^FE_ESTIMATE(SALES,MEAN,QTR_ROLL,2023/4F,0,,,'')":2493.0,"YUMC-US^FE_ESTIMATE(SALES,MEAN,QTR_ROLL,2023/3F,0,,,'')":2914.0,"YUMC-US^FE_ESTIMATE(SALES,MEAN,QTR_ROLL,2023/2F,0,,,'')":2654.0,"YUMC-US^FE_ESTIMATE(SALES,MEAN,QTR_ROLL,2023/1F,0,,,'')":2917.0,"YUMC-US^FE_ESTIMATE(SALES,MEAN,QTR_ROLL,2022/4F,0,,,'')":2088.0,"YUMC-US^FE_ESTIMATE(SALES,MEAN,QTR_ROLL,2022/3F,0,,,'')":2685.0,"YUMC-US^FE_ESTIMATE(SALES,MEAN,QTR_ROLL,2022/2F,0,,,'')":2128.0,"YUMC-US^FE_ESTIMATE(SALES,MEAN,QTR_ROLL,2022/1F,0,,,'')":2668.0,"WING-US^FE_ESTIMATE(SALES,MEAN,QTR_ROLL,2026/4F,0,,,'')":221.7007,"WING-US^FE_ESTIMATE(SALES,MEAN,QTR_ROLL,2026/3F,0,,,'')":221.44818,"WING-US^FE_ESTIMATE(SALES,MEAN,QTR_ROLL,2026/2F,0,,,'')":208.9382,"WING-US^FE_ESTIMATE(SALES,MEAN,QTR_ROLL,2026/1F,0,,,'')":203.42416,"WING-US^FE_ESTIMATE(SALES,MEAN,QTR_ROLL,2025/4F,0,,,'')":193.53043,"WING-US^FE_ESTIMATE(SALES,MEAN,QTR_ROLL,2025/3F,0,,,'')":191.4498,"WING-US^FE_ESTIMATE(SALES,MEAN,QTR_ROLL,2025/2F,0,,,'')":178.72736,"WING-US^FE_ESTIMATE(SALES,MEAN,QTR_ROLL,2025/1F,0,,,'')":173.11674,"WING-US^FE_ESTIMATE(SALES,MEAN,QTR_ROLL,2024/4F,0,,,'')":161.821,"WING-US^FE_ESTIMATE(SALES,MEAN,QTR_ROLL,2024/3F,0,,,'')":162.498,"WING-US^FE_ESTIMATE(SALES,MEAN,QTR_ROLL,2024/2F,0,,,'')":155.699,"WING-US^FE_ESTIMATE(SALES,MEAN,QTR_ROLL,2024/1F,0,,,'')":145.789,"WING-US^FE_ESTIMATE(SALES,MEAN,QTR_ROLL,2023/4F,0,,,'')":127.057,"WING-US^FE_ESTIMATE(SALES,MEAN,QTR_ROLL,2023/3F,0,,,'')":117.104,"WING-US^FE_ESTIMATE(SALES,MEAN,QTR_ROLL,2023/2F,0,,,'')":107.173,"WING-US^FE_ESTIMATE(SALES,MEAN,QTR_ROLL,2023/1F,0,,,'')":108.721,"WING-US^FE_ESTIMATE(SALES,MEAN,QTR_ROLL,2022/4F,0,,,'')":104.867,"WING-US^FE_ESTIMATE(SALES,MEAN,QTR_ROLL,2022/3F,0,,,'')":92.672,"WING-US^FE_ESTIMATE(SALES,MEAN,QTR_ROLL,2022/2F,0,,,'')":83.777,"WING-US^FE_ESTIMATE(SALES,MEAN,QTR_ROLL,2022/1F,0,,,'')":76.205,"SG-US^FE_ESTIMATE(SALES,MEAN,QTR_ROLL,2026/4F,0,,,'')":231.82834,"SG-US^FE_ESTIMATE(SALES,MEAN,QTR_ROLL,2026/3F,0,,,'')":241.76064,"SG-US^FE_ESTIMATE(SALES,MEAN,QTR_ROLL,2026/2F,0,,,'')":250.56934999999999,"SG-US^FE_ESTIMATE(SALES,MEAN,QTR_ROLL,2026/1F,0,,,'')":203.25706,"SG-US^FE_ESTIMATE(SALES,MEAN,QTR_ROLL,2025/4F,0,,,'')":193.54689,"SG-US^FE_ESTIMATE(SALES,MEAN,QTR_ROLL,2025/3F,0,,,'')":201.62619,"SG-US^FE_ESTIMATE(SALES,MEAN,QTR_ROLL,2025/2F,0,,,'')":206.97395,"SG-US^FE_ESTIMATE(SALES,MEAN,QTR_ROLL,2025/1F,0,,,'')":165.92084,"SG-US^FE_ESTIMATE(SALES,MEAN,QTR_ROLL,2024/4F,0,,,'')":160.904,"SG-US^FE_ESTIMATE(SALES,MEAN,QTR_ROLL,2024/3F,0,,,'')":173.431,"SG-US^FE_ESTIMATE(SALES,MEAN,QTR_ROLL,2024/2F,0,,,'')":184.641,"SG-US^FE_ESTIMATE(SALES,MEAN,QTR_ROLL,2024/1F,0,,,'')":157.85,"SG-US^FE_ESTIMATE(SALES,MEAN,QTR_ROLL,2023/4F,0,,,'')":153.026,"SG-US^FE_ESTIMATE(SALES,MEAN,QTR_ROLL,2023/3F,0,,,'')":153.428,"SG-US^FE_ESTIMATE(SALES,MEAN,QTR_ROLL,2023/2F,0,,,'')":152.525,"SG-US^FE_ESTIMATE(SALES,MEAN,QTR_ROLL,2023/1F,0,,,'')":125.062,"SG-US^FE_ESTIMATE(SALES,MEAN,QTR_ROLL,2022/4F,0,,,'')":118.57,"SG-US^FE_ESTIMATE(SALES,MEAN,QTR_ROLL,2022/3F,0,,,'')":124.026,"SG-US^FE_ESTIMATE(SALES,MEAN,QTR_ROLL,2022/2F,0,,,'')":124.918,"SG-US^FE_ESTIMATE(SALES,MEAN,QTR_ROLL,2022/1F,0,,,'')":102.591,"SHAK-US^FE_ESTIMATE(SALES,MEAN,QTR_ROLL,2026/4F,0,,,'')":438.09964,"SHAK-US^FE_ESTIMATE(SALES,MEAN,QTR_ROLL,2026/3F,0,,,'')":420.16678,"SHAK-US^FE_ESTIMATE(SALES,MEAN,QTR_ROLL,2026/2F,0,,,'')":411.714,"SHAK-US^FE_ESTIMATE(SALES,MEAN,QTR_ROLL,2026/1F,0,,,'')":379.03702,"SHAK-US^FE_ESTIMATE(SALES,MEAN,QTR_ROLL,2025/4F,0,,,'')":409.7904,"SHAK-US^FE_ESTIMATE(SALES,MEAN,QTR_ROLL,2025/3F,0,,,'')":365.65558,"SHAK-US^FE_ESTIMATE(SALES,MEAN,QTR_ROLL,2025/2F,0,,,'')":358.1905,"SHAK-US^FE_ESTIMATE(SALES,MEAN,QTR_ROLL,2025/1F,0,,,'')":330.4728,"SHAK-US^FE_ESTIMATE(SALES,MEAN,QTR_ROLL,2024/4F,0,,,'')":328.684,"SHAK-US^FE_ESTIMATE(SALES,MEAN,QTR_ROLL,2024/3F,0,,,'')":316.924,"SHAK-US^FE_ESTIMATE(SALES,MEAN,QTR_ROLL,2024/2F,0,,,'')":316.496,"SHAK-US^FE_ESTIMATE(SALES,MEAN,QTR_ROLL,2024/1F,0,,,'')":290.504,"SHAK-US^FE_ESTIMATE(SALES,MEAN,QTR_ROLL,2023/4F,0,,,'')":286.243,"SHAK-US^FE_ESTIMATE(SALES,MEAN,QTR_ROLL,2023/3F,0,,,'')":276.2071,"SHAK-US^FE_ESTIMATE(SALES,MEAN,QTR_ROLL,2023/2F,0,,,'')":271.805,"SHAK-US^FE_ESTIMATE(SALES,MEAN,QTR_ROLL,2023/1F,0,,,'')":253.3,"SHAK-US^FE_ESTIMATE(SALES,MEAN,QTR_ROLL,2022/4F,0,,,'')":238.529,"SHAK-US^FE_ESTIMATE(SALES,MEAN,QTR_ROLL,2022/3F,0,,,'')":227.814,"SHAK-US^FE_ESTIMATE(SALES,MEAN,QTR_ROLL,2022/2F,0,,,'')":230.752,"SHAK-US^FE_ESTIMATE(SALES,MEAN,QTR_ROLL,2022/1F,0,,,'')":203.391,"CMG-US^FE_ESTIMATE(SALES,MEAN,QTR_ROLL,2026/4F,0,,,'')":3647.3503,"CMG-US^FE_ESTIMATE(SALES,MEAN,QTR_ROLL,2026/3F,0,,,'')":3578.1895,"CMG-US^FE_ESTIMATE(SALES,MEAN,QTR_ROLL,2026/2F,0,,,'')":3716.1235,"CMG-US^FE_ESTIMATE(SALES,MEAN,QTR_ROLL,2026/1F,0,,,'')":3378.0437,"CMG-US^FE_ESTIMATE(SALES,MEAN,QTR_ROLL,2025/4F,0,,,'')":3224.1375,"CMG-US^FE_ESTIMATE(SALES,MEAN,QTR_ROLL,2025/3F,0,,,'')":3169.038,"CMG-US^FE_ESTIMATE(SALES,MEAN,QTR_ROLL,2025/2F,0,,,'')":3277.4497,"CMG-US^FE_ESTIMATE(SALES,MEAN,QTR_ROLL,2025/1F,0,,,'')":2980.6113,"CMG-US^FE_ESTIMATE(SALES,MEAN,QTR_ROLL,2024/4F,0,,,'')":2845.31,"CMG-US^FE_ESTIMATE(SALES,MEAN,QTR_ROLL,2024/3F,0,,,'')":2793.576,"CMG-US^FE_ESTIMATE(SALES,MEAN,QTR_ROLL,2024/2F,0,,,'')":2973.117,"CMG-US^FE_ESTIMATE(SALES,MEAN,QTR_ROLL,2024/1F,0,,,'')":2701.848,"CMG-US^FE_ESTIMATE(SALES,MEAN,QTR_ROLL,2023/4F,0,,,'')":2516.32,"CMG-US^FE_ESTIMATE(SALES,MEAN,QTR_ROLL,2023/3F,0,,,'')":2471.948,"CMG-US^FE_ESTIMATE(SALES,MEAN,QTR_ROLL,2023/2F,0,,,'')":2514.801,"CMG-US^FE_ESTIMATE(SALES,MEAN,QTR_ROLL,2023/1F,0,,,'')":2368.58,"CMG-US^FE_ESTIMATE(SALES,MEAN,QTR_ROLL,2022/4F,0,,,'')":2180.599,"CMG-US^FE_ESTIMATE(SALES,MEAN,QTR_ROLL,2022/3F,0,,,'')":2220.175,"CMG-US^FE_ESTIMATE(SALES,MEAN,QTR_ROLL,2022/2F,0,,,'')":2213.339,"CMG-US^FE_ESTIMATE(SALES,MEAN,QTR_ROLL,2022/1F,0,,,'')":2020.539,"CAVA-US^FE_ESTIMATE(SALES,MEAN,QTR_ROLL,2026/4F,0,,,'')":327.4805,"CAVA-US^FE_ESTIMATE(SALES,MEAN,QTR_ROLL,2026/3F,0,,,'')":349.65457,"CAVA-US^FE_ESTIMATE(SALES,MEAN,QTR_ROLL,2026/2F,0,,,'')":341.65237,"CAVA-US^FE_ESTIMATE(SALES,MEAN,QTR_ROLL,2026/1F,0,,,'')":391.10217,"CAVA-US^FE_ESTIMATE(SALES,MEAN,QTR_ROLL,2025/4F,0,,,'')":275.57343,"CAVA-US^FE_ESTIMATE(SALES,MEAN,QTR_ROLL,2025/3F,0,,,'')":295.11844,"CAVA-US^FE_ESTIMATE(SALES,MEAN,QTR_ROLL,2025/2F,0,,,'')":286.8257,"CAVA-US^FE_ESTIMATE(SALES,MEAN,QTR_ROLL,2025/1F,0,,,'')":326.60352,"CAVA-US^FE_ESTIMATE(SALES,MEAN,QTR_ROLL,2024/4F,0,,,'')":227.395,"CAVA-US^FE_ESTIMATE(SALES,MEAN,QTR_ROLL,2024/3F,0,,,'')":243.817,"CAVA-US^FE_ESTIMATE(SALES,MEAN,QTR_ROLL,2024/2F,0,,,'')":233.495,"CAVA-US^FE_ESTIMATE(SALES,MEAN,QTR_ROLL,2024/1F,0,,,'')":259.006,"CAVA-US^FE_ESTIMATE(SALES,MEAN,QTR_ROLL,2023/4F,0,,,'')":177.17,"CAVA-US^FE_ESTIMATE(SALES,MEAN,QTR_ROLL,2023/3F,0,,,'')":175.553,"CAVA-US^FE_ESTIMATE(SALES,MEAN,QTR_ROLL,2023/2F,0,,,'')":172.894,"CAVA-US^FE_ESTIMATE(SALES,MEAN,QTR_ROLL,2023/1F,0,,,'')":203.0732,"CAVA-US^FE_ESTIMATE(SALES,MEAN,QTR_ROLL,2022/4F,0,,,'')":null,"CAVA-US^FE_ESTIMATE(SALES,MEAN,QTR_ROLL,2022/3F,0,,,'')":null,"CAVA-US^FE_ESTIMATE(SALES,MEAN,QTR_ROLL,2022/2F,0,,,'')":null,"CAVA-US^FE_ESTIMATE(SALES,MEAN,QTR_ROLL,2022/1F,0,,,'')":null,"YUMC-US^FE_ESTIMATE(EBITDA,MEAN,QTR_ROLL,2026/4F,0,,,'')":420.955,"YUMC-US^FE_ESTIMATE(EBITDA,MEAN,QTR_ROLL,2026/3F,0,,,'')":677.251,"YUMC-US^FE_ESTIMATE(EBITDA,MEAN,QTR_ROLL,2026/2F,0,,,'')":534.71,"YUMC-US^FE_ESTIMATE(EBITDA,MEAN,QTR_ROLL,2026/1F,0,,,'')":671.867,"YUMC-US^FE_ESTIMATE(EBITDA,MEAN,QTR_ROLL,2025/4F,0,,,'')":330.7535,"YUMC-US^FE_ESTIMATE(EBITDA,MEAN,QTR_ROLL,2025/3F,0,,,'')":559.633,"YUMC-US^FE_ESTIMATE(EBITDA,MEAN,QTR_ROLL,2025/2F,0,,,'')":444.396,"YUMC-US^FE_ESTIMATE(EBITDA,MEAN,QTR_ROLL,2025/1F,0,,,'')":555.5255,"YUMC-US^FE_ESTIMATE(EBITDA,MEAN,QTR_ROLL,2024/4F,0,,,'')":276.5,"YUMC-US^FE_ESTIMATE(EBITDA,MEAN,QTR_ROLL,2024/3F,0,,,'')":494.33334,"YUMC-US^FE_ESTIMATE(EBITDA,MEAN,QTR_ROLL,2024/2F,0,,,'')":389.0,"YUMC-US^FE_ESTIMATE(EBITDA,MEAN,QTR_ROLL,2024/1F,0,,,'')":504.16,"YUMC-US^FE_ESTIMATE(EBITDA,MEAN,QTR_ROLL,2023/4F,0,,,'')":227.5,"YUMC-US^FE_ESTIMATE(EBITDA,MEAN,QTR_ROLL,2023/3F,0,,,'')":480.25,"YUMC-US^FE_ESTIMATE(EBITDA,MEAN,QTR_ROLL,2023/2F,0,,,'')":382.2,"YUMC-US^FE_ESTIMATE(EBITDA,MEAN,QTR_ROLL,2023/1F,0,,,'')":501.5,"YUMC-US^FE_ESTIMATE(EBITDA,MEAN,QTR_ROLL,2022/4F,0,,,'')":161.875,"YUMC-US^FE_ESTIMATE(EBITDA,MEAN,QTR_ROLL,2022/3F,0,,,'')":458.9625,"YUMC-US^FE_ESTIMATE(EBITDA,MEAN,QTR_ROLL,2022/2F,0,,,'')":239.95,"YUMC-US^FE_ESTIMATE(EBITDA,MEAN,QTR_ROLL,2022/1F,0,,,'')":343.2125,"YUM-US^FE_ESTIMATE(EBITDA,MEAN,QTR_ROLL,2026/4F,0,,,'')":840.76965,"YUM-US^FE_ESTIMATE(EBITDA,MEAN,QTR_ROLL,2026/3F,0,,,'')":777.1005,"YUM-US^FE_ESTIMATE(EBITDA,MEAN,QTR_ROLL,2026/2F,0,,,'')":758.29193,"YUM-US^FE_ESTIMATE(EBITDA,MEAN,QTR_ROLL,2026/1F,0,,,'')":698.95306,"YUM-US^FE_ESTIMATE(EBITDA,MEAN,QTR_ROLL,2025/4F,0,,,'')":809.8857,"YUM-US^FE_ESTIMATE(EBITDA,MEAN,QTR_ROLL,2025/3F,0,,,'')":719.44604,"YUM-US^FE_ESTIMATE(EBITDA,MEAN,QTR_ROLL,2025/2F,0,,,'')":705.3111,"YUM-US^FE_ESTIMATE(EBITDA,MEAN,QTR_ROLL,2025/1F,0,,,'')":635.932,"YUM-US^FE_ESTIMATE(EBITDA,MEAN,QTR_ROLL,2024/4F,0,,,'')":790.44446,"YUM-US^FE_ESTIMATE(EBITDA,MEAN,QTR_ROLL,2024/3F,0,,,'')":673.46,"YUM-US^FE_ESTIMATE(EBITDA,MEAN,QTR_ROLL,2024/2F,0,,,'')":674.4262,"YUM-US^FE_ESTIMATE(EBITDA,MEAN,QTR_ROLL,2024/1F,0,,,'')":583.41754,"YUM-US^FE_ESTIMATE(EBITDA,MEAN,QTR_ROLL,2023/4F,0,,,'')":677.8989,"YUM-US^FE_ESTIMATE(EBITDA,MEAN,QTR_ROLL,2023/3F,0,,,'')":652.31335,"YUM-US^FE_ESTIMATE(EBITDA,MEAN,QTR_ROLL,2023/2F,0,,,'')":623.5597,"YUM-US^FE_ESTIMATE(EBITDA,MEAN,QTR_ROLL,2023/1F,0,,,'')":555.47125,"YUM-US^FE_ESTIMATE(EBITDA,MEAN,QTR_ROLL,2022/4F,0,,,'')":621.2295,"YUM-US^FE_ESTIMATE(EBITDA,MEAN,QTR_ROLL,2022/3F,0,,,'')":565.9327,"YUM-US^FE_ESTIMATE(EBITDA,MEAN,QTR_ROLL,2022/2F,0,,,'')":576.7494,"YUM-US^FE_ESTIMATE(EBITDA,MEAN,QTR_ROLL,2022/1F,0,,,'')":539.1667,"MCD-US^FE_ESTIMATE(EBITDA,MEAN,QTR_ROLL,2026/4F,0,,,'')":3868.6565,"MCD-US^FE_ESTIMATE(EBITDA,MEAN,QTR_ROLL,2026/3F,0,,,'')":4138.565,"MCD-US^FE_ESTIMATE(EBITDA,MEAN,QTR_ROLL,2026/2F,0,,,'')":3902.7563,"MCD-US^FE_ESTIMATE(EBITDA,MEAN,QTR_ROLL,2026/1F,0,,,'')":3523.5444,"MCD-US^FE_ESTIMATE(EBITDA,MEAN,QTR_ROLL,2025/4F,0,,,'')":3663.2769,"MCD-US^FE_ESTIMATE(EBITDA,MEAN,QTR_ROLL,2025/3F,0,,,'')":3918.7231,"MCD-US^FE_ESTIMATE(EBITDA,MEAN,QTR_ROLL,2025/2F,0,,,'')":3697.175,"MCD-US^FE_ESTIMATE(EBITDA,MEAN,QTR_ROLL,2025/1F,0,,,'')":3310.1643,"MCD-US^FE_ESTIMATE(EBITDA,MEAN,QTR_ROLL,2024/4F,0,,,'')":3390.9602,"MCD-US^FE_ESTIMATE(EBITDA,MEAN,QTR_ROLL,2024/3F,0,,,'')":3757.8193,"MCD-US^FE_ESTIMATE(EBITDA,MEAN,QTR_ROLL,2024/2F,0,,,'')":3548.5894,"MCD-US^FE_ESTIMATE(EBITDA,MEAN,QTR_ROLL,2024/1F,0,,,'')":3265.9358,"MCD-US^FE_ESTIMATE(EBITDA,MEAN,QTR_ROLL,2023/4F,0,,,'')":3387.4832,"MCD-US^FE_ESTIMATE(EBITDA,MEAN,QTR_ROLL,2023/3F,0,,,'')":3731.1816,"MCD-US^FE_ESTIMATE(EBITDA,MEAN,QTR_ROLL,2023/2F,0,,,'')":3607.1409,"MCD-US^FE_ESTIMATE(EBITDA,MEAN,QTR_ROLL,2023/1F,0,,,'')":3194.359,"MCD-US^FE_ESTIMATE(EBITDA,MEAN,QTR_ROLL,2022/4F,0,,,'')":3068.6768,"MCD-US^FE_ESTIMATE(EBITDA,MEAN,QTR_ROLL,2022/3F,0,,,'')":3239.7673,"MCD-US^FE_ESTIMATE(EBITDA,MEAN,QTR_ROLL,2022/2F,0,,,'')":3016.7505,"MCD-US^FE_ESTIMATE(EBITDA,MEAN,QTR_ROLL,2022/1F,0,,,'')":2859.316,"QSR-US^FE_ESTIMATE(EBITDA,MEAN,QTR_ROLL,2026/4F,0,,,'')":779.8968,"QSR-US^FE_ESTIMATE(EBITDA,MEAN,QTR_ROLL,2026/3F,0,,,'')":815.7391,"QSR-US^FE_ESTIMATE(EBITDA,MEAN,QTR_ROLL,2026/2F,0,,,'')":789.61206,"QSR-US^FE_ESTIMATE(EBITDA,MEAN,QTR_ROLL,2026/1F,0,,,'')":697.1396,"QSR-US^FE_ESTIMATE(EBITDA,MEAN,QTR_ROLL,2025/4F,0,,,'')":751.74854,"QSR-US^FE_ESTIMATE(EBITDA,MEAN,QTR_ROLL,2025/3F,0,,,'')":778.20764,"QSR-US^FE_ESTIMATE(EBITDA,MEAN,QTR_ROLL,2025/2F,0,,,'')":760.22375,"QSR-US^FE_ESTIMATE(EBITDA,MEAN,QTR_ROLL,2025/1F,0,,,'')":666.811,"QSR-US^FE_ESTIMATE(EBITDA,MEAN,QTR_ROLL,2024/4F,0,,,'')":680.8998,"QSR-US^FE_ESTIMATE(EBITDA,MEAN,QTR_ROLL,2024/3F,0,,,'')":745.9623,"QSR-US^FE_ESTIMATE(EBITDA,MEAN,QTR_ROLL,2024/2F,0,,,'')":721.0,"QSR-US^FE_ESTIMATE(EBITDA,MEAN,QTR_ROLL,2024/1F,0,,,'')":627.0,"QSR-US^FE_ESTIMATE(EBITDA,MEAN,QTR_ROLL,2023/4F,0,,,'')":603.0,"QSR-US^FE_ESTIMATE(EBITDA,MEAN,QTR_ROLL,2023/3F,0,,,'')":698.0,"QSR-US^FE_ESTIMATE(EBITDA,MEAN,QTR_ROLL,2023/2F,0,,,'')":662.6842,"QSR-US^FE_ESTIMATE(EBITDA,MEAN,QTR_ROLL,2023/1F,0,,,'')":588.0,"QSR-US^FE_ESTIMATE(EBITDA,MEAN,QTR_ROLL,2022/4F,0,,,'')":588.0,"QSR-US^FE_ESTIMATE(EBITDA,MEAN,QTR_ROLL,2022/3F,0,,,'')":642.0,"QSR-US^FE_ESTIMATE(EBITDA,MEAN,QTR_ROLL,2022/2F,0,,,'')":618.0,"QSR-US^FE_ESTIMATE(EBITDA,MEAN,QTR_ROLL,2022/1F,0,,,'')":530.0,"DPZ-US^FE_ESTIMATE(EBITDA,MEAN,QTR_ROLL,2026/4F,0,,,'')":346.5781,"DPZ-US^FE_ESTIMATE(EBITDA,MEAN,QTR_ROLL,2026/3F,0,,,'')":252.14886,"DPZ-US^FE_ESTIMATE(EBITDA,MEAN,QTR_ROLL,2026/2F,0,,,'')":251.9924,"DPZ-US^FE_ESTIMATE(EBITDA,MEAN,QTR_ROLL,2026/1F,0,,,'')":254.42337,"DPZ-US^FE_ESTIMATE(EBITDA,MEAN,QTR_ROLL,2025/4F,0,,,'')":326.04245,"DPZ-US^FE_ESTIMATE(EBITDA,MEAN,QTR_ROLL,2025/3F,0,,,'')":237.16827,"DPZ-US^FE_ESTIMATE(EBITDA,MEAN,QTR_ROLL,2025/2F,0,,,'')":237.77814,"DPZ-US^FE_ESTIMATE(EBITDA,MEAN,QTR_ROLL,2025/1F,0,,,'')":238.44116,"DPZ-US^FE_ESTIMATE(EBITDA,MEAN,QTR_ROLL,2024/4F,0,,,'')":302.5644,"DPZ-US^FE_ESTIMATE(EBITDA,MEAN,QTR_ROLL,2024/3F,0,,,'')":221.80743,"DPZ-US^FE_ESTIMATE(EBITDA,MEAN,QTR_ROLL,2024/2F,0,,,'')":219.03929,"DPZ-US^FE_ESTIMATE(EBITDA,MEAN,QTR_ROLL,2024/1F,0,,,'')":232.91434,"DPZ-US^FE_ESTIMATE(EBITDA,MEAN,QTR_ROLL,2023/4F,0,,,'')":283.54254,"DPZ-US^FE_ESTIMATE(EBITDA,MEAN,QTR_ROLL,2023/3F,0,,,'')":209.48505,"DPZ-US^FE_ESTIMATE(EBITDA,MEAN,QTR_ROLL,2023/2F,0,,,'')":215.05275,"DPZ-US^FE_ESTIMATE(EBITDA,MEAN,QTR_ROLL,2023/1F,0,,,'')":197.40904,"DPZ-US^FE_ESTIMATE(EBITDA,MEAN,QTR_ROLL,2022/4F,0,,,'')":266.53223,"DPZ-US^FE_ESTIMATE(EBITDA,MEAN,QTR_ROLL,2022/3F,0,,,'')":196.08047,"DPZ-US^FE_ESTIMATE(EBITDA,MEAN,QTR_ROLL,2022/2F,0,,,'')":197.43887,"DPZ-US^FE_ESTIMATE(EBITDA,MEAN,QTR_ROLL,2022/1F,0,,,'')":183.14413,"WING-US^FE_ESTIMATE(EBITDA,MEAN,QTR_ROLL,2026/4F,0,,,'')":74.07036,"WING-US^FE_ESTIMATE(EBITDA,MEAN,QTR_ROLL,2026/3F,0,,,'')":73.59068,"WING-US^FE_ESTIMATE(EBITDA,MEAN,QTR_ROLL,2026/2F,0,,,'')":69.34051,"WING-US^FE_ESTIMATE(EBITDA,MEAN,QTR_ROLL,2026/1F,0,,,'')":68.55173,"WING-US^FE_ESTIMATE(EBITDA,MEAN,QTR_ROLL,2025/4F,0,,,'')":63.675392,"WING-US^FE_ESTIMATE(EBITDA,MEAN,QTR_ROLL,2025/3F,0,,,'')":62.40098,"WING-US^FE_ESTIMATE(EBITDA,MEAN,QTR_ROLL,2025/2F,0,,,'')":57.996964,"WING-US^FE_ESTIMATE(EBITDA,MEAN,QTR_ROLL,2025/1F,0,,,'')":56.975967,"WING-US^FE_ESTIMATE(EBITDA,MEAN,QTR_ROLL,2024/4F,0,,,'')":56.149067,"WING-US^FE_ESTIMATE(EBITDA,MEAN,QTR_ROLL,2024/3F,0,,,'')":53.5984,"WING-US^FE_ESTIMATE(EBITDA,MEAN,QTR_ROLL,2024/2F,0,,,'')":51.787292,"WING-US^FE_ESTIMATE(EBITDA,MEAN,QTR_ROLL,2024/1F,0,,,'')":50.238644,"WING-US^FE_ESTIMATE(EBITDA,MEAN,QTR_ROLL,2023/4F,0,,,'')":39.075165,"WING-US^FE_ESTIMATE(EBITDA,MEAN,QTR_ROLL,2023/3F,0,,,'')":38.545387,"WING-US^FE_ESTIMATE(EBITDA,MEAN,QTR_ROLL,2023/2F,0,,,'')":34.365383,"WING-US^FE_ESTIMATE(EBITDA,MEAN,QTR_ROLL,2023/1F,0,,,'')":34.60623,"WING-US^FE_ESTIMATE(EBITDA,MEAN,QTR_ROLL,2022/4F,0,,,'')":34.512833,"WING-US^FE_ESTIMATE(EBITDA,MEAN,QTR_ROLL,2022/3F,0,,,'')":28.465693,"WING-US^FE_ESTIMATE(EBITDA,MEAN,QTR_ROLL,2022/2F,0,,,'')":23.685858,"WING-US^FE_ESTIMATE(EBITDA,MEAN,QTR_ROLL,2022/1F,0,,,'')":22.110308,"SG-US^FE_ESTIMATE(EBITDA,MEAN,QTR_ROLL,2026/4F,0,,,'')":11.957687,"SG-US^FE_ESTIMATE(EBITDA,MEAN,QTR_ROLL,2026/3F,0,,,'')":20.663929,"SG-US^FE_ESTIMATE(EBITDA,MEAN,QTR_ROLL,2026/2F,0,,,'')":27.75773,"SG-US^FE_ESTIMATE(EBITDA,MEAN,QTR_ROLL,2026/1F,0,,,'')":6.4823637,"SG-US^FE_ESTIMATE(EBITDA,MEAN,QTR_ROLL,2025/4F,0,,,'')":6.1837826,"SG-US^FE_ESTIMATE(EBITDA,MEAN,QTR_ROLL,2025/3F,0,,,'')":12.20941,"SG-US^FE_ESTIMATE(EBITDA,MEAN,QTR_ROLL,2025/2F,0,,,'')":17.34965,"SG-US^FE_ESTIMATE(EBITDA,MEAN,QTR_ROLL,2025/1F,0,,,'')":-1.6408848,"SG-US^FE_ESTIMATE(EBITDA,MEAN,QTR_ROLL,2024/4F,0,,,'')":-0.573,"SG-US^FE_ESTIMATE(EBITDA,MEAN,QTR_ROLL,2024/3F,0,,,'')":6.81,"SG-US^FE_ESTIMATE(EBITDA,MEAN,QTR_ROLL,2024/2F,0,,,'')":12.4,"SG-US^FE_ESTIMATE(EBITDA,MEAN,QTR_ROLL,2024/1F,0,,,'')":0.113,"SG-US^FE_ESTIMATE(EBITDA,MEAN,QTR_ROLL,2023/4F,0,,,'')":-1.849,"SG-US^FE_ESTIMATE(EBITDA,MEAN,QTR_ROLL,2023/3F,0,,,'')":2.479,"SG-US^FE_ESTIMATE(EBITDA,MEAN,QTR_ROLL,2023/2F,0,,,'')":3.269,"SG-US^FE_ESTIMATE(EBITDA,MEAN,QTR_ROLL,2023/1F,0,,,'')":-6.694,"SG-US^FE_ESTIMATE(EBITDA,MEAN,QTR_ROLL,2022/4F,0,,,'')":-17.943,"SG-US^FE_ESTIMATE(EBITDA,MEAN,QTR_ROLL,2022/3F,0,,,'')":-6.793,"SG-US^FE_ESTIMATE(EBITDA,MEAN,QTR_ROLL,2022/2F,0,,,'')":-7.366,"SG-US^FE_ESTIMATE(EBITDA,MEAN,QTR_ROLL,2022/1F,0,,,'')":-16.541,"SHAK-US^FE_ESTIMATE(EBITDA,MEAN,QTR_ROLL,2026/4F,0,,,'')":66.25721,"SHAK-US^FE_ESTIMATE(EBITDA,MEAN,QTR_ROLL,2026/3F,0,,,'')":64.167305,"SHAK-US^FE_ESTIMATE(EBITDA,MEAN,QTR_ROLL,2026/2F,0,,,'')":64.48057,"SHAK-US^FE_ESTIMATE(EBITDA,MEAN,QTR_ROLL,2026/1F,0,,,'')":50.8219,"SHAK-US^FE_ESTIMATE(EBITDA,MEAN,QTR_ROLL,2025/4F,0,,,'')":60.50609,"SHAK-US^FE_ESTIMATE(EBITDA,MEAN,QTR_ROLL,2025/3F,0,,,'')":53.705853,"SHAK-US^FE_ESTIMATE(EBITDA,MEAN,QTR_ROLL,2025/2F,0,,,'')":53.71275,"SHAK-US^FE_ESTIMATE(EBITDA,MEAN,QTR_ROLL,2025/1F,0,,,'')":42.18849,"SHAK-US^FE_ESTIMATE(EBITDA,MEAN,QTR_ROLL,2024/4F,0,,,'')":46.694,"SHAK-US^FE_ESTIMATE(EBITDA,MEAN,QTR_ROLL,2024/3F,0,,,'')":45.791,"SHAK-US^FE_ESTIMATE(EBITDA,MEAN,QTR_ROLL,2024/2F,0,,,'')":47.209,"SHAK-US^FE_ESTIMATE(EBITDA,MEAN,QTR_ROLL,2024/1F,0,,,'')":35.885,"SHAK-US^FE_ESTIMATE(EBITDA,MEAN,QTR_ROLL,2023/4F,0,,,'')":31.417,"SHAK-US^FE_ESTIMATE(EBITDA,MEAN,QTR_ROLL,2023/3F,0,,,'')":35.8,"SHAK-US^FE_ESTIMATE(EBITDA,MEAN,QTR_ROLL,2023/2F,0,,,'')":37.0,"SHAK-US^FE_ESTIMATE(EBITDA,MEAN,QTR_ROLL,2023/1F,0,,,'')":26.515167,"SHAK-US^FE_ESTIMATE(EBITDA,MEAN,QTR_ROLL,2022/4F,0,,,'')":19.301332,"SHAK-US^FE_ESTIMATE(EBITDA,MEAN,QTR_ROLL,2022/3F,0,,,'')":19.129923,"SHAK-US^FE_ESTIMATE(EBITDA,MEAN,QTR_ROLL,2022/2F,0,,,'')":22.049385,"SHAK-US^FE_ESTIMATE(EBITDA,MEAN,QTR_ROLL,2022/1F,0,,,'')":9.952769,"CMG-US^FE_ESTIMATE(EBITDA,MEAN,QTR_ROLL,2026/4F,0,,,'')":744.35767,"CMG-US^FE_ESTIMATE(EBITDA,MEAN,QTR_ROLL,2026/3F,0,,,'')":752.8011,"CMG-US^FE_ESTIMATE(EBITDA,MEAN,QTR_ROLL,2026/2F,0,,,'')":863.4307,"CMG-US^FE_ESTIMATE(EBITDA,MEAN,QTR_ROLL,2026/1F,0,,,'')":702.6122,"CMG-US^FE_ESTIMATE(EBITDA,MEAN,QTR_ROLL,2025/4F,0,,,'')":636.7465,"CMG-US^FE_ESTIMATE(EBITDA,MEAN,QTR_ROLL,2025/3F,0,,,'')":650.6356,"CMG-US^FE_ESTIMATE(EBITDA,MEAN,QTR_ROLL,2025/2F,0,,,'')":740.6972,"CMG-US^FE_ESTIMATE(EBITDA,MEAN,QTR_ROLL,2025/1F,0,,,'')":594.55743,"CMG-US^FE_ESTIMATE(EBITDA,MEAN,QTR_ROLL,2024/4F,0,,,'')":513.0636,"CMG-US^FE_ESTIMATE(EBITDA,MEAN,QTR_ROLL,2024/3F,0,,,'')":545.3576,"CMG-US^FE_ESTIMATE(EBITDA,MEAN,QTR_ROLL,2024/2F,0,,,'')":675.8608,"CMG-US^FE_ESTIMATE(EBITDA,MEAN,QTR_ROLL,2024/1F,0,,,'')":535.804,"CMG-US^FE_ESTIMATE(EBITDA,MEAN,QTR_ROLL,2023/4F,0,,,'')":450.33548,"CMG-US^FE_ESTIMATE(EBITDA,MEAN,QTR_ROLL,2023/3F,0,,,'')":475.09195,"CMG-US^FE_ESTIMATE(EBITDA,MEAN,QTR_ROLL,2023/2F,0,,,'')":520.42773,"CMG-US^FE_ESTIMATE(EBITDA,MEAN,QTR_ROLL,2023/1F,0,,,'')":445.4169,"CMG-US^FE_ESTIMATE(EBITDA,MEAN,QTR_ROLL,2022/4F,0,,,'')":376.78543,"CMG-US^FE_ESTIMATE(EBITDA,MEAN,QTR_ROLL,2022/3F,0,,,'')":413.63022,"CMG-US^FE_ESTIMATE(EBITDA,MEAN,QTR_ROLL,2022/2F,0,,,'')":413.18094,"CMG-US^FE_ESTIMATE(EBITDA,MEAN,QTR_ROLL,2022/1F,0,,,'')":264.8639,"CAVA-US^FE_ESTIMATE(EBITDA,MEAN,QTR_ROLL,2026/4F,0,,,'')":39.0048,"CAVA-US^FE_ESTIMATE(EBITDA,MEAN,QTR_ROLL,2026/3F,0,,,'')":51.6811,"CAVA-US^FE_ESTIMATE(EBITDA,MEAN,QTR_ROLL,2026/2F,0,,,'')":54.968914,"CAVA-US^FE_ESTIMATE(EBITDA,MEAN,QTR_ROLL,2026/1F,0,,,'')":54.7802,"CAVA-US^FE_ESTIMATE(EBITDA,MEAN,QTR_ROLL,2025/4F,0,,,'')":30.818285,"CAVA-US^FE_ESTIMATE(EBITDA,MEAN,QTR_ROLL,2025/3F,0,,,'')":41.697567,"CAVA-US^FE_ESTIMATE(EBITDA,MEAN,QTR_ROLL,2025/2F,0,,,'')":43.596092,"CAVA-US^FE_ESTIMATE(EBITDA,MEAN,QTR_ROLL,2025/1F,0,,,'')":42.948326,"CAVA-US^FE_ESTIMATE(EBITDA,MEAN,QTR_ROLL,2024/4F,0,,,'')":25.104,"CAVA-US^FE_ESTIMATE(EBITDA,MEAN,QTR_ROLL,2024/3F,0,,,'')":33.479,"CAVA-US^FE_ESTIMATE(EBITDA,MEAN,QTR_ROLL,2024/2F,0,,,'')":34.348,"CAVA-US^FE_ESTIMATE(EBITDA,MEAN,QTR_ROLL,2024/1F,0,,,'')":33.317,"CAVA-US^FE_ESTIMATE(EBITDA,MEAN,QTR_ROLL,2023/4F,0,,,'')":15.735,"CAVA-US^FE_ESTIMATE(EBITDA,MEAN,QTR_ROLL,2023/3F,0,,,'')":19.8,"CAVA-US^FE_ESTIMATE(EBITDA,MEAN,QTR_ROLL,2023/2F,0,,,'')":21.067,"CAVA-US^FE_ESTIMATE(EBITDA,MEAN,QTR_ROLL,2023/1F,0,,,'')":16.49675,"CAVA-US^FE_ESTIMATE(EBITDA,MEAN,QTR_ROLL,2022/4F,0,,,'')":null,"CAVA-US^FE_ESTIMATE(EBITDA,MEAN,QTR_ROLL,2022/3F,0,,,'')":null,"CAVA-US^FE_ESTIMATE(EBITDA,MEAN,QTR_ROLL,2022/2F,0,,,'')":null,"CAVA-US^FE_ESTIMATE(EBITDA,MEAN,QTR_ROLL,2022/1F,0,,,'')":null,"YUMC-US^FE_ESTIMATE(EPS,MEAN,QTR,2026/4F,0,,,'')":0.4823455,"YUMC-US^FE_ESTIMATE(EPS,MEAN,QTR,2026/3F,0,,,'')":0.94122505,"YUMC-US^FE_ESTIMATE(EPS,MEAN,QTR,2026/2F,0,,,'')":0.7196896,"YUMC-US^FE_ESTIMATE(EPS,MEAN,QTR,2026/1F,0,,,'')":0.9261998,"YUMC-US^FE_ESTIMATE(EPS,MEAN,QTR,2025/4F,0,,,'')":0.39513305,"YUMC-US^FE_ESTIMATE(EPS,MEAN,QTR,2025/3F,0,,,'')":0.7952206,"YUMC-US^FE_ESTIMATE(EPS,MEAN,QTR,2025/2F,0,,,'')":0.609481,"YUMC-US^FE_ESTIMATE(EPS,MEAN,QTR,2025/1F,0,,,'')":0.79964477,"YUMC-US^FE_ESTIMATE(EPS,MEAN,QTR,2024/4F,0,,,'')":0.2991773,"YUMC-US^FE_ESTIMATE(EPS,MEAN,QTR,2024/3F,0,,,'')":0.77,"YUMC-US^FE_ESTIMATE(EPS,MEAN,QTR,2024/2F,0,,,'')":0.55,"YUMC-US^FE_ESTIMATE(EPS,MEAN,QTR,2024/1F,0,,,'')":0.71,"YUMC-US^FE_ESTIMATE(EPS,MEAN,QTR,2023/4F,0,,,'')":0.25,"YUMC-US^FE_ESTIMATE(EPS,MEAN,QTR,2023/3F,0,,,'')":0.59,"YUMC-US^FE_ESTIMATE(EPS,MEAN,QTR,2023/2F,0,,,'')":0.4769274,"YUMC-US^FE_ESTIMATE(EPS,MEAN,QTR,2023/1F,0,,,'')":0.687092,"YUMC-US^FE_ESTIMATE(EPS,MEAN,QTR,2022/4F,0,,,'')":0.12224975,"YUMC-US^FE_ESTIMATE(EPS,MEAN,QTR,2022/3F,0,,,'')":0.49,"YUMC-US^FE_ESTIMATE(EPS,MEAN,QTR,2022/2F,0,,,'')":0.202358,"YUMC-US^FE_ESTIMATE(EPS,MEAN,QTR,2022/1F,0,,,'')":0.24,"533155-IN^FE_ESTIMATE(EPS,MEAN,QTR,2026/4F,0,,,'')":null,"533155-IN^FE_ESTIMATE(EPS,MEAN,QTR,2026/3F,0,,,'')":null,"533155-IN^FE_ESTIMATE(EPS,MEAN,QTR,2026/2F,0,,,'')":null,"533155-IN^FE_ESTIMATE(EPS,MEAN,QTR,2026/1F,0,,,'')":null,"533155-IN^FE_ESTIMATE(EPS,MEAN,QTR,2025/4F,0,,,'')":2.19,"533155-IN^FE_ESTIMATE(EPS,MEAN,QTR,2025/3F,0,,,'')":1.585,"533155-IN^FE_ESTIMATE(EPS,MEAN,QTR,2025/2F,0,,,'')":1.77,"533155-IN^FE_ESTIMATE(EPS,MEAN,QTR,2025/1F,0,,,'')":1.575,"533155-IN^FE_ESTIMATE(EPS,MEAN,QTR,2024/4F,0,,,'')":1.515,"533155-IN^FE_ESTIMATE(EPS,MEAN,QTR,2024/3F,0,,,'')":0.8669231,"533155-IN^FE_ESTIMATE(EPS,MEAN,QTR,2024/2F,0,,,'')":0.9,"533155-IN^FE_ESTIMATE(EPS,MEAN,QTR,2024/1F,0,,,'')":0.848125,"533155-IN^FE_ESTIMATE(EPS,MEAN,QTR,2023/4F,0,,,'')":0.642,"533155-IN^FE_ESTIMATE(EPS,MEAN,QTR,2023/3F,0,,,'')":0.92538464,"533155-IN^FE_ESTIMATE(EPS,MEAN,QTR,2023/2F,0,,,'')":1.1114286,"533155-IN^FE_ESTIMATE(EPS,MEAN,QTR,2023/1F,0,,,'')":1.1075,"533155-IN^FE_ESTIMATE(EPS,MEAN,QTR,2022/4F,0,,,'')":0.84835297,"533155-IN^FE_ESTIMATE(EPS,MEAN,QTR,2022/3F,0,,,'')":1.2976923,"533155-IN^FE_ESTIMATE(EPS,MEAN,QTR,2022/2F,0,,,'')":1.828125,"533155-IN^FE_ESTIMATE(EPS,MEAN,QTR,2022/1F,0,,,'')":1.868,"WING-US^FE_ESTIMATE(EPS,MEAN,QTR,2026/4F,0,,,'')":1.2504148,"WING-US^FE_ESTIMATE(EPS,MEAN,QTR,2026/3F,0,,,'')":1.2304145,"WING-US^FE_ESTIMATE(EPS,MEAN,QTR,2026/2F,0,,,'')":1.152822,"WING-US^FE_ESTIMATE(EPS,MEAN,QTR,2026/1F,0,,,'')":1.1672597,"WING-US^FE_ESTIMATE(EPS,MEAN,QTR,2025/4F,0,,,'')":1.0084883,"WING-US^FE_ESTIMATE(EPS,MEAN,QTR,2025/3F,0,,,'')":0.9659972,"WING-US^FE_ESTIMATE(EPS,MEAN,QTR,2025/2F,0,,,'')":0.88525015,"WING-US^FE_ESTIMATE(EPS,MEAN,QTR,2025/1F,0,,,'')":0.8807881,"WING-US^FE_ESTIMATE(EPS,MEAN,QTR,2024/4F,0,,,'')":0.930818,"WING-US^FE_ESTIMATE(EPS,MEAN,QTR,2024/3F,0,,,'')":0.88,"WING-US^FE_ESTIMATE(EPS,MEAN,QTR,2024/2F,0,,,'')":0.93,"WING-US^FE_ESTIMATE(EPS,MEAN,QTR,2024/1F,0,,,'')":0.98,"WING-US^FE_ESTIMATE(EPS,MEAN,QTR,2023/4F,0,,,'')":0.64,"WING-US^FE_ESTIMATE(EPS,MEAN,QTR,2023/3F,0,,,'')":0.69,"WING-US^FE_ESTIMATE(EPS,MEAN,QTR,2023/2F,0,,,'')":0.57,"WING-US^FE_ESTIMATE(EPS,MEAN,QTR,2023/1F,0,,,'')":0.59,"WING-US^FE_ESTIMATE(EPS,MEAN,QTR,2022/4F,0,,,'')":0.6,"WING-US^FE_ESTIMATE(EPS,MEAN,QTR,2022/3F,0,,,'')":0.45,"WING-US^FE_ESTIMATE(EPS,MEAN,QTR,2022/2F,0,,,'')":0.45,"WING-US^FE_ESTIMATE(EPS,MEAN,QTR,2022/1F,0,,,'')":0.34,"SG-US^FE_ESTIMATE(EPS,MEAN,QTR,2026/4F,0,,,'')":-0.1211732,"SG-US^FE_ESTIMATE(EPS,MEAN,QTR,2026/3F,0,,,'')":-0.0635078,"SG-US^FE_ESTIMATE(EPS,MEAN,QTR,2026/2F,0,,,'')":0.0071934,"SG-US^FE_ESTIMATE(EPS,MEAN,QTR,2026/1F,0,,,'')":-0.1684804,"SG-US^FE_ESTIMATE(EPS,MEAN,QTR,2025/4F,0,,,'')":-0.16026828,"SG-US^FE_ESTIMATE(EPS,MEAN,QTR,2025/3F,0,,,'')":-0.09734575,"SG-US^FE_ESTIMATE(EPS,MEAN,QTR,2025/2F,0,,,'')":-0.051108386,"SG-US^FE_ESTIMATE(EPS,MEAN,QTR,2025/1F,0,,,'')":-0.20634548,"SG-US^FE_ESTIMATE(EPS,MEAN,QTR,2024/4F,0,,,'')":-0.25,"SG-US^FE_ESTIMATE(EPS,MEAN,QTR,2024/3F,0,,,'')":-0.18,"SG-US^FE_ESTIMATE(EPS,MEAN,QTR,2024/2F,0,,,'')":-0.13,"SG-US^FE_ESTIMATE(EPS,MEAN,QTR,2024/1F,0,,,'')":-0.23,"SG-US^FE_ESTIMATE(EPS,MEAN,QTR,2023/4F,0,,,'')":-0.24,"SG-US^FE_ESTIMATE(EPS,MEAN,QTR,2023/3F,0,,,'')":-0.22,"SG-US^FE_ESTIMATE(EPS,MEAN,QTR,2023/2F,0,,,'')":-0.24,"SG-US^FE_ESTIMATE(EPS,MEAN,QTR,2023/1F,0,,,'')":-0.3,"SG-US^FE_ESTIMATE(EPS,MEAN,QTR,2022/4F,0,,,'')":-0.44,"SG-US^FE_ESTIMATE(EPS,MEAN,QTR,2022/3F,0,,,'')":-0.43,"SG-US^FE_ESTIMATE(EPS,MEAN,QTR,2022/2F,0,,,'')":-0.36,"SG-US^FE_ESTIMATE(EPS,MEAN,QTR,2022/1F,0,,,'')":-0.45,"SHAK-US^FE_ESTIMATE(EPS,MEAN,QTR,2026/4F,0,,,'')":0.46928456,"SHAK-US^FE_ESTIMATE(EPS,MEAN,QTR,2026/3F,0,,,'')":0.4325713,"SHAK-US^FE_ESTIMATE(EPS,MEAN,QTR,2026/2F,0,,,'')":0.44334266,"SHAK-US^FE_ESTIMATE(EPS,MEAN,QTR,2026/1F,0,,,'')":0.23845765,"SHAK-US^FE_ESTIMATE(EPS,MEAN,QTR,2025/4F,0,,,'')":0.44401318,"SHAK-US^FE_ESTIMATE(EPS,MEAN,QTR,2025/3F,0,,,'')":0.33586237,"SHAK-US^FE_ESTIMATE(EPS,MEAN,QTR,2025/2F,0,,,'')":0.34146404,"SHAK-US^FE_ESTIMATE(EPS,MEAN,QTR,2025/1F,0,,,'')":0.17309158,"SHAK-US^FE_ESTIMATE(EPS,MEAN,QTR,2024/4F,0,,,'')":0.26,"SHAK-US^FE_ESTIMATE(EPS,MEAN,QTR,2024/3F,0,,,'')":0.25,"SHAK-US^FE_ESTIMATE(EPS,MEAN,QTR,2024/2F,0,,,'')":0.27,"SHAK-US^FE_ESTIMATE(EPS,MEAN,QTR,2024/1F,0,,,'')":0.13,"SHAK-US^FE_ESTIMATE(EPS,MEAN,QTR,2023/4F,0,,,'')":0.02,"SHAK-US^FE_ESTIMATE(EPS,MEAN,QTR,2023/3F,0,,,'')":0.17,"SHAK-US^FE_ESTIMATE(EPS,MEAN,QTR,2023/2F,0,,,'')":0.18,"SHAK-US^FE_ESTIMATE(EPS,MEAN,QTR,2023/1F,0,,,'')":-0.01,"SHAK-US^FE_ESTIMATE(EPS,MEAN,QTR,2022/4F,0,,,'')":-0.06,"SHAK-US^FE_ESTIMATE(EPS,MEAN,QTR,2022/3F,0,,,'')":-0.06,"SHAK-US^FE_ESTIMATE(EPS,MEAN,QTR,2022/2F,0,,,'')":0.0,"SHAK-US^FE_ESTIMATE(EPS,MEAN,QTR,2022/1F,0,,,'')":-0.19,"CMG-US^FE_ESTIMATE(EPS,MEAN,QTR,2026/4F,0,,,'')":0.36837184,"CMG-US^FE_ESTIMATE(EPS,MEAN,QTR,2026/3F,0,,,'')":0.37638894,"CMG-US^FE_ESTIMATE(EPS,MEAN,QTR,2026/2F,0,,,'')":0.4311831,"CMG-US^FE_ESTIMATE(EPS,MEAN,QTR,2026/1F,0,,,'')":0.34405255,"CMG-US^FE_ESTIMATE(EPS,MEAN,QTR,2025/4F,0,,,'')":0.31072327,"CMG-US^FE_ESTIMATE(EPS,MEAN,QTR,2025/3F,0,,,'')":0.32124013,"CMG-US^FE_ESTIMATE(EPS,MEAN,QTR,2025/2F,0,,,'')":0.36608404,"CMG-US^FE_ESTIMATE(EPS,MEAN,QTR,2025/1F,0,,,'')":0.2872778,"CMG-US^FE_ESTIMATE(EPS,MEAN,QTR,2024/4F,0,,,'')":0.25,"CMG-US^FE_ESTIMATE(EPS,MEAN,QTR,2024/3F,0,,,'')":0.27,"CMG-US^FE_ESTIMATE(EPS,MEAN,QTR,2024/2F,0,,,'')":0.34,"CMG-US^FE_ESTIMATE(EPS,MEAN,QTR,2024/1F,0,,,'')":0.2674,"CMG-US^FE_ESTIMATE(EPS,MEAN,QTR,2023/4F,0,,,'')":0.2072,"CMG-US^FE_ESTIMATE(EPS,MEAN,QTR,2023/3F,0,,,'')":0.2272,"CMG-US^FE_ESTIMATE(EPS,MEAN,QTR,2023/2F,0,,,'')":0.253,"CMG-US^FE_ESTIMATE(EPS,MEAN,QTR,2023/1F,0,,,'')":0.21,"CMG-US^FE_ESTIMATE(EPS,MEAN,QTR,2022/4F,0,,,'')":0.1658,"CMG-US^FE_ESTIMATE(EPS,MEAN,QTR,2022/3F,0,,,'')":0.1902,"CMG-US^FE_ESTIMATE(EPS,MEAN,QTR,2022/2F,0,,,'')":0.186,"CMG-US^FE_ESTIMATE(EPS,MEAN,QTR,2022/1F,0,,,'')":0.114,"CAVA-US^FE_ESTIMATE(EPS,MEAN,QTR,2026/4F,0,,,'')":0.112935856,"CAVA-US^FE_ESTIMATE(EPS,MEAN,QTR,2026/3F,0,,,'')":0.19565271,"CAVA-US^FE_ESTIMATE(EPS,MEAN,QTR,2026/2F,0,,,'')":0.20801786,"CAVA-US^FE_ESTIMATE(EPS,MEAN,QTR,2026/1F,0,,,'')":0.17853615,"CAVA-US^FE_ESTIMATE(EPS,MEAN,QTR,2025/4F,0,,,'')":0.07706093,"CAVA-US^FE_ESTIMATE(EPS,MEAN,QTR,2025/3F,0,,,'')":0.15547171,"CAVA-US^FE_ESTIMATE(EPS,MEAN,QTR,2025/2F,0,,,'')":0.16336519,"CAVA-US^FE_ESTIMATE(EPS,MEAN,QTR,2025/1F,0,,,'')":0.1308836,"CAVA-US^FE_ESTIMATE(EPS,MEAN,QTR,2024/4F,0,,,'')":0.05,"CAVA-US^FE_ESTIMATE(EPS,MEAN,QTR,2024/3F,0,,,'')":0.15,"CAVA-US^FE_ESTIMATE(EPS,MEAN,QTR,2024/2F,0,,,'')":0.17,"CAVA-US^FE_ESTIMATE(EPS,MEAN,QTR,2024/1F,0,,,'')":0.12,"CAVA-US^FE_ESTIMATE(EPS,MEAN,QTR,2023/4F,0,,,'')":0.02,"CAVA-US^FE_ESTIMATE(EPS,MEAN,QTR,2023/3F,0,,,'')":0.06,"CAVA-US^FE_ESTIMATE(EPS,MEAN,QTR,2023/2F,0,,,'')":0.21,"CAVA-US^FE_ESTIMATE(EPS,MEAN,QTR,2023/1F,0,,,'')":-0.02105,"CAVA-US^FE_ESTIMATE(EPS,MEAN,QTR,2022/4F,0,,,'')":null,"CAVA-US^FE_ESTIMATE(EPS,MEAN,QTR,2022/3F,0,,,'')":null,"CAVA-US^FE_ESTIMATE(EPS,MEAN,QTR,2022/2F,0,,,'')":null,"CAVA-US^FE_ESTIMATE(EPS,MEAN,QTR,2022/1F,0,,,'')":null,"YUM-US^FE_ESTIMATE(EPS,MEAN,QTR,2026/4F,0,,,'')":1.9281375,"YUM-US^FE_ESTIMATE(EPS,MEAN,QTR,2026/3F,0,,,'')":1.701816,"YUM-US^FE_ESTIMATE(EPS,MEAN,QTR,2026/2F,0,,,'')":1.6639972,"YUM-US^FE_ESTIMATE(EPS,MEAN,QTR,2026/1F,0,,,'')":1.4494343,"YUM-US^FE_ESTIMATE(EPS,MEAN,QTR,2025/4F,0,,,'')":1.757649,"YUM-US^FE_ESTIMATE(EPS,MEAN,QTR,2025/3F,0,,,'')":1.5101643,"YUM-US^FE_ESTIMATE(EPS,MEAN,QTR,2025/2F,0,,,'')":1.4708552,"YUM-US^FE_ESTIMATE(EPS,MEAN,QTR,2025/1F,0,,,'')":1.2876378,"YUM-US^FE_ESTIMATE(EPS,MEAN,QTR,2024/4F,0,,,'')":1.52,"YUM-US^FE_ESTIMATE(EPS,MEAN,QTR,2024/3F,0,,,'')":1.37,"YUM-US^FE_ESTIMATE(EPS,MEAN,QTR,2024/2F,0,,,'')":1.35,"YUM-US^FE_ESTIMATE(EPS,MEAN,QTR,2024/1F,0,,,'')":1.15,"YUM-US^FE_ESTIMATE(EPS,MEAN,QTR,2023/4F,0,,,'')":1.26,"YUM-US^FE_ESTIMATE(EPS,MEAN,QTR,2023/3F,0,,,'')":1.44,"YUM-US^FE_ESTIMATE(EPS,MEAN,QTR,2023/2F,0,,,'')":1.41,"YUM-US^FE_ESTIMATE(EPS,MEAN,QTR,2023/1F,0,,,'')":1.06,"YUM-US^FE_ESTIMATE(EPS,MEAN,QTR,2022/4F,0,,,'')":1.31,"YUM-US^FE_ESTIMATE(EPS,MEAN,QTR,2022/3F,0,,,'')":1.09,"YUM-US^FE_ESTIMATE(EPS,MEAN,QTR,2022/2F,0,,,'')":1.05,"YUM-US^FE_ESTIMATE(EPS,MEAN,QTR,2022/1F,0,,,'')":1.05,"MCD-US^FE_ESTIMATE(EPS,MEAN,QTR,2026/4F,0,,,'')":3.338219,"MCD-US^FE_ESTIMATE(EPS,MEAN,QTR,2026/3F,0,,,'')":3.6219175,"MCD-US^FE_ESTIMATE(EPS,MEAN,QTR,2026/2F,0,,,'')":3.371048,"MCD-US^FE_ESTIMATE(EPS,MEAN,QTR,2026/1F,0,,,'')":2.9164925,"MCD-US^FE_ESTIMATE(EPS,MEAN,QTR,2025/4F,0,,,'')":3.0739706,"MCD-US^FE_ESTIMATE(EPS,MEAN,QTR,2025/3F,0,,,'')":3.3558512,"MCD-US^FE_ESTIMATE(EPS,MEAN,QTR,2025/2F,0,,,'')":3.117,"MCD-US^FE_ESTIMATE(EPS,MEAN,QTR,2025/1F,0,,,'')":2.693221,"MCD-US^FE_ESTIMATE(EPS,MEAN,QTR,2024/4F,0,,,'')":2.83,"MCD-US^FE_ESTIMATE(EPS,MEAN,QTR,2024/3F,0,,,'')":3.23,"MCD-US^FE_ESTIMATE(EPS,MEAN,QTR,2024/2F,0,,,'')":2.97,"MCD-US^FE_ESTIMATE(EPS,MEAN,QTR,2024/1F,0,,,'')":2.7,"MCD-US^FE_ESTIMATE(EPS,MEAN,QTR,2023/4F,0,,,'')":2.95,"MCD-US^FE_ESTIMATE(EPS,MEAN,QTR,2023/3F,0,,,'')":3.19,"MCD-US^FE_ESTIMATE(EPS,MEAN,QTR,2023/2F,0,,,'')":3.17,"MCD-US^FE_ESTIMATE(EPS,MEAN,QTR,2023/1F,0,,,'')":2.63,"MCD-US^FE_ESTIMATE(EPS,MEAN,QTR,2022/4F,0,,,'')":2.59,"MCD-US^FE_ESTIMATE(EPS,MEAN,QTR,2022/3F,0,,,'')":2.68,"MCD-US^FE_ESTIMATE(EPS,MEAN,QTR,2022/2F,0,,,'')":2.55,"MCD-US^FE_ESTIMATE(EPS,MEAN,QTR,2022/1F,0,,,'')":2.28,"QSR-US^FE_ESTIMATE(EPS,MEAN,QTR,2026/4F,0,,,'')":1.0419797,"QSR-US^FE_ESTIMATE(EPS,MEAN,QTR,2026/3F,0,,,'')":1.0941564,"QSR-US^FE_ESTIMATE(EPS,MEAN,QTR,2026/2F,0,,,'')":1.0553827,"QSR-US^FE_ESTIMATE(EPS,MEAN,QTR,2026/1F,0,,,'')":0.8774634,"QSR-US^FE_ESTIMATE(EPS,MEAN,QTR,2025/4F,0,,,'')":0.9527679,"QSR-US^FE_ESTIMATE(EPS,MEAN,QTR,2025/3F,0,,,'')":0.9998591,"QSR-US^FE_ESTIMATE(EPS,MEAN,QTR,2025/2F,0,,,'')":0.962848,"QSR-US^FE_ESTIMATE(EPS,MEAN,QTR,2025/1F,0,,,'')":0.79373693,"QSR-US^FE_ESTIMATE(EPS,MEAN,QTR,2024/4F,0,,,'')":0.81,"QSR-US^FE_ESTIMATE(EPS,MEAN,QTR,2024/3F,0,,,'')":0.93,"QSR-US^FE_ESTIMATE(EPS,MEAN,QTR,2024/2F,0,,,'')":0.86,"QSR-US^FE_ESTIMATE(EPS,MEAN,QTR,2024/1F,0,,,'')":0.73,"QSR-US^FE_ESTIMATE(EPS,MEAN,QTR,2023/4F,0,,,'')":0.75,"QSR-US^FE_ESTIMATE(EPS,MEAN,QTR,2023/3F,0,,,'')":0.9,"QSR-US^FE_ESTIMATE(EPS,MEAN,QTR,2023/2F,0,,,'')":0.85,"QSR-US^FE_ESTIMATE(EPS,MEAN,QTR,2023/1F,0,,,'')":0.75,"QSR-US^FE_ESTIMATE(EPS,MEAN,QTR,2022/4F,0,,,'')":0.72,"QSR-US^FE_ESTIMATE(EPS,MEAN,QTR,2022/3F,0,,,'')":0.96,"QSR-US^FE_ESTIMATE(EPS,MEAN,QTR,2022/2F,0,,,'')":0.82,"QSR-US^FE_ESTIMATE(EPS,MEAN,QTR,2022/1F,0,,,'')":0.64,"DPZ-US^FE_ESTIMATE(EPS,MEAN,QTR,2026/4F,0,,,'')":6.198081,"DPZ-US^FE_ESTIMATE(EPS,MEAN,QTR,2026/3F,0,,,'')":4.401111,"DPZ-US^FE_ESTIMATE(EPS,MEAN,QTR,2026/2F,0,,,'')":4.3570533,"DPZ-US^FE_ESTIMATE(EPS,MEAN,QTR,2026/1F,0,,,'')":4.4152007,"DPZ-US^FE_ESTIMATE(EPS,MEAN,QTR,2025/4F,0,,,'')":5.5174212,"DPZ-US^FE_ESTIMATE(EPS,MEAN,QTR,2025/3F,0,,,'')":3.9662943,"DPZ-US^FE_ESTIMATE(EPS,MEAN,QTR,2025/2F,0,,,'')":3.9931827,"DPZ-US^FE_ESTIMATE(EPS,MEAN,QTR,2025/1F,0,,,'')":3.9950771,"DPZ-US^FE_ESTIMATE(EPS,MEAN,QTR,2024/4F,0,,,'')":4.89,"DPZ-US^FE_ESTIMATE(EPS,MEAN,QTR,2024/3F,0,,,'')":4.19,"DPZ-US^FE_ESTIMATE(EPS,MEAN,QTR,2024/2F,0,,,'')":4.03,"DPZ-US^FE_ESTIMATE(EPS,MEAN,QTR,2024/1F,0,,,'')":3.58,"DPZ-US^FE_ESTIMATE(EPS,MEAN,QTR,2023/4F,0,,,'')":4.48,"DPZ-US^FE_ESTIMATE(EPS,MEAN,QTR,2023/3F,0,,,'')":4.18,"DPZ-US^FE_ESTIMATE(EPS,MEAN,QTR,2023/2F,0,,,'')":3.08,"DPZ-US^FE_ESTIMATE(EPS,MEAN,QTR,2023/1F,0,,,'')":2.93,"DPZ-US^FE_ESTIMATE(EPS,MEAN,QTR,2022/4F,0,,,'')":4.43,"DPZ-US^FE_ESTIMATE(EPS,MEAN,QTR,2022/3F,0,,,'')":2.79,"DPZ-US^FE_ESTIMATE(EPS,MEAN,QTR,2022/2F,0,,,'')":2.82,"DPZ-US^FE_ESTIMATE(EPS,MEAN,QTR,2022/1F,0,,,'')":2.5,"YUM-US^FCS_EV(EV,CURRENT,0,,,,M)":54925.5674712,"YUM-US^FREF_MARKET_VALUE_COMPANY(0,,,,,0,,\"LEGACY\")":43735.26953125,"YUM-US^FG_PRICE(0)":156.7,"MCD-US^FCS_EV(EV,CURRENT,0,,,,M)":255509.59099964,"MCD-US^FREF_MARKET_VALUE_COMPANY(0,,,,,0,,\"LEGACY\")":219168.09375,"MCD-US^FG_PRICE(0)":306.76,"QSR-US^FCS_EV(EV,CURRENT,0,,,,M)":62677.6406993019,"QSR-US^FREF_MARKET_VALUE_COMPANY(0,,,,,0,,\"LEGACY\")":22020.6341062274,"QSR-US^FG_PRICE(0)":68.01,"DPZ-US^FCS_EV(EV,CURRENT,0,,,,M)":19435.48793394,"DPZ-US^FREF_MARKET_VALUE_COMPANY(0,,,,,0,,\"LEGACY\")":14766.7919921875,"DPZ-US^FG_PRICE(0)":430.56,"YUMC-US^FCS_EV(EV,CURRENT,0,,,,M)":17236.94529548,"YUMC-US^FREF_MARKET_VALUE_COMPANY(0,,,,,0,,\"LEGACY\")":18471.482421875,"YUMC-US^FG_PRICE(0)":49.11,"533155-IN^FCS_EV(EV,CURRENT,0,,,,M)":420553.07213775,"533155-IN^FREF_MARKET_VALUE_COMPANY(0,,,,,0,,\"LEGACY\")":405045.969022334,"533155-IN^FG_PRICE(0)":613.85,"1405-HK^FCS_EV(EV,CURRENT,0,,,,M)":13205.6519077346,"1405-HK^FREF_MARKET_VALUE_COMPANY(0,,,,,0,,\"LEGACY\")":13470.8271484375,"1405-HK^FG_PRICE(0)":105.0,"WING-US^FCS_EV(EV,CURRENT,0,,,,M)":6989.4074972,"WING-US^FREF_MARKET_VALUE_COMPANY(0,,,,,0,,\"LEGACY\")":6115.4619140625,"WING-US^FG_PRICE(0)":213.36,"SG-US^FCS_EV(EV,CURRENT,0,,,,M)":3030.42907216,"SG-US^FREF_MARKET_VALUE_COMPANY(0,,,,,0,,\"LEGACY\")":2617.82446289062,"SG-US^FG_PRICE(0)":24.84,"SHAK-US^FCS_EV(EV,CURRENT,0,,,,M)":3669.38110667,"SHAK-US^FREF_MARKET_VALUE_COMPANY(0,,,,,0,,\"LEGACY\")":3476.71850585938,"SHAK-US^FG_PRICE(0)":86.74,"CMG-US^FCS_EV(EV,CURRENT,0,,,,M)":66789.92772,"CMG-US^FREF_MARKET_VALUE_COMPANY(0,,,,,0,,\"LEGACY\")":67739.7421875,"CMG-US^FG_PRICE(0)":49.98,"CAVA-US^FCS_EV(EV,CURRENT,0,,,,M)":9163.03630585,"CAVA-US^FREF_MARKET_VALUE_COMPANY(0,,,,,0,,\"LEGACY\")":9248.72265625,"CAVA-US^FG_PRICE(0)":80.01,"GYG-AU^P_PRICE(0)":32.65,"GYG-AU^FCS_EV_DAILY(MV,0,,,,M)":3555.27519846,"GYG-AU^FE_VALUATION(PEG,MEAN,NTMA,,0,,,'')":49.9166,"GYG-AU^FE_VALUATION(PE,MEAN,NTMA,,0,,,'')":137.27065,"MCD-US^P_PRICE(0)":306.76,"MCD-US^FCS_EV_DAILY(MV,0,,,,M)":228074.53134775,"MCD-US^FE_VALUATION(PEG,MEAN,NTMA,,0,,,'')":3.649116,"MCD-US^FE_VALUATION(PE,MEAN,NTMA,,0,,,'')":24.53794,"DPZ-US^P_PRICE(0)":430.56,"DPZ-US^FCS_EV_DAILY(MV,0,,,,M)":15253.88320027,"DPZ-US^FE_VALUATION(PEG,MEAN,NTMA,,0,,,'')":2.9265542,"DPZ-US^FE_VALUATION(PE,MEAN,NTMA,,0,,,'')":24.140566,"CMG-US^P_PRICE(0)":49.98,"CMG-US^FCS_EV_DAILY(MV,0,,,,M)":68035.11827,"CMG-US^FE_VALUATION(PEG,MEAN,NTMA,,0,,,'')":2.4526887,"CMG-US^FE_VALUATION(PE,MEAN,NTMA,,0,,,'')":37.166737,"TWE-AU^P_PRICE(0)":9.99,"TWE-AU^FCS_EV_DAILY(MV,0,,,,M)":8265.01165558,"TWE-AU^FE_VALUATION(PEG,MEAN,NTMA,,0,,,'')":1.294887,"TWE-AU^FE_VALUATION(PE,MEAN,NTMA,,0,,,'')":14.980596,"CKF-AU^P_PRICE(0)":8.6,"CKF-AU^FCS_EV_DAILY(MV,0,,,,M)":1016.31233768,"CKF-AU^FE_VALUATION(PEG,MEAN,NTMA,,0,,,'')":0.9439681,"CKF-AU^FE_VALUATION(PE,MEAN,NTMA,,0,,,'')":16.991426,"DMP-AU^P_PRICE(0)":26.71,"DMP-AU^FCS_EV_DAILY(MV,0,,,,M)":2475.38833476,"DMP-AU^FE_VALUATION(PEG,MEAN,NTMA,,0,,,'')":2.0783818,"DMP-AU^FE_VALUATION(PE,MEAN,NTMA,,0,,,'')":18.579329}]]></FdsFormulaCache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F9109582970347BCDCB1BAEFF1CFC9" ma:contentTypeVersion="8" ma:contentTypeDescription="Create a new document." ma:contentTypeScope="" ma:versionID="734d7a7eb911411811955cd8b705edd5">
  <xsd:schema xmlns:xsd="http://www.w3.org/2001/XMLSchema" xmlns:xs="http://www.w3.org/2001/XMLSchema" xmlns:p="http://schemas.microsoft.com/office/2006/metadata/properties" xmlns:ns3="6e046188-dcb6-48d7-8c4b-da14fe8c2362" xmlns:ns4="dad86a9c-934d-469e-b1e2-f1ad5fd33b91" targetNamespace="http://schemas.microsoft.com/office/2006/metadata/properties" ma:root="true" ma:fieldsID="e7dc18523a6253eedf97e21f158e1cf1" ns3:_="" ns4:_="">
    <xsd:import namespace="6e046188-dcb6-48d7-8c4b-da14fe8c2362"/>
    <xsd:import namespace="dad86a9c-934d-469e-b1e2-f1ad5fd33b9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046188-dcb6-48d7-8c4b-da14fe8c236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86a9c-934d-469e-b1e2-f1ad5fd33b91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3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3C2540B-8ECC-4DCB-A042-35358D2865A1}">
  <ds:schemaRefs>
    <ds:schemaRef ds:uri="http://schemas.microsoft.com/office/2006/documentManagement/types"/>
    <ds:schemaRef ds:uri="http://schemas.microsoft.com/office/infopath/2007/PartnerControls"/>
    <ds:schemaRef ds:uri="6e046188-dcb6-48d7-8c4b-da14fe8c2362"/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dad86a9c-934d-469e-b1e2-f1ad5fd33b91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D88075FF-1F54-4FA6-B1CE-32B437E8193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12E7973-2270-4412-AC39-0509F30B9D0C}">
  <ds:schemaRefs>
    <ds:schemaRef ds:uri="urn:fdsformulacache"/>
  </ds:schemaRefs>
</ds:datastoreItem>
</file>

<file path=customXml/itemProps4.xml><?xml version="1.0" encoding="utf-8"?>
<ds:datastoreItem xmlns:ds="http://schemas.openxmlformats.org/officeDocument/2006/customXml" ds:itemID="{FAFE36F3-CABD-4681-9194-6C3A9C2FE34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e046188-dcb6-48d7-8c4b-da14fe8c2362"/>
    <ds:schemaRef ds:uri="dad86a9c-934d-469e-b1e2-f1ad5fd33b9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8</vt:i4>
      </vt:variant>
    </vt:vector>
  </HeadingPairs>
  <TitlesOfParts>
    <vt:vector size="19" baseType="lpstr">
      <vt:lpstr>CircularReferenceAlert</vt:lpstr>
      <vt:lpstr>ImportantDisclosures</vt:lpstr>
      <vt:lpstr>MENU</vt:lpstr>
      <vt:lpstr>Financial Summary</vt:lpstr>
      <vt:lpstr>Financial Statements</vt:lpstr>
      <vt:lpstr>Assumptions</vt:lpstr>
      <vt:lpstr>Valuation - DCF</vt:lpstr>
      <vt:lpstr>Valuation - Multiple</vt:lpstr>
      <vt:lpstr>GYG network model</vt:lpstr>
      <vt:lpstr>IndexInformation</vt:lpstr>
      <vt:lpstr>ModPubIndex</vt:lpstr>
      <vt:lpstr>Linking_13</vt:lpstr>
      <vt:lpstr>Linking_15</vt:lpstr>
      <vt:lpstr>Linking_3</vt:lpstr>
      <vt:lpstr>Linking_4</vt:lpstr>
      <vt:lpstr>Linking_5</vt:lpstr>
      <vt:lpstr>Linking_8</vt:lpstr>
      <vt:lpstr>'Financial Summary'!Print_Area</vt:lpstr>
      <vt:lpstr>MENU!Print_Area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Ross, Mac (Research)</dc:creator>
  <cp:lastModifiedBy>Raymundo, Barbara Lee (Research)</cp:lastModifiedBy>
  <cp:lastPrinted>2026-01-27T21:16:32Z</cp:lastPrinted>
  <dcterms:created xsi:type="dcterms:W3CDTF">2024-06-12T21:55:36Z</dcterms:created>
  <dcterms:modified xsi:type="dcterms:W3CDTF">2026-02-02T05:08:55Z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7f119e6-c6cd-44b0-a5ee-ac1aff68c56e_Enabled">
    <vt:lpwstr>true</vt:lpwstr>
  </property>
  <property fmtid="{D5CDD505-2E9C-101B-9397-08002B2CF9AE}" pid="3" name="MSIP_Label_07f119e6-c6cd-44b0-a5ee-ac1aff68c56e_SetDate">
    <vt:lpwstr>2024-06-12T21:56:32Z</vt:lpwstr>
  </property>
  <property fmtid="{D5CDD505-2E9C-101B-9397-08002B2CF9AE}" pid="4" name="MSIP_Label_07f119e6-c6cd-44b0-a5ee-ac1aff68c56e_Method">
    <vt:lpwstr>Standard</vt:lpwstr>
  </property>
  <property fmtid="{D5CDD505-2E9C-101B-9397-08002B2CF9AE}" pid="5" name="MSIP_Label_07f119e6-c6cd-44b0-a5ee-ac1aff68c56e_Name">
    <vt:lpwstr>Confidential v1</vt:lpwstr>
  </property>
  <property fmtid="{D5CDD505-2E9C-101B-9397-08002B2CF9AE}" pid="6" name="MSIP_Label_07f119e6-c6cd-44b0-a5ee-ac1aff68c56e_SiteId">
    <vt:lpwstr>e29b8111-49f8-418d-ac2a-935335a52614</vt:lpwstr>
  </property>
  <property fmtid="{D5CDD505-2E9C-101B-9397-08002B2CF9AE}" pid="7" name="MSIP_Label_07f119e6-c6cd-44b0-a5ee-ac1aff68c56e_ActionId">
    <vt:lpwstr>e97a89c2-7bb2-42b3-9279-1f94cf26f78b</vt:lpwstr>
  </property>
  <property fmtid="{D5CDD505-2E9C-101B-9397-08002B2CF9AE}" pid="8" name="MSIP_Label_07f119e6-c6cd-44b0-a5ee-ac1aff68c56e_ContentBits">
    <vt:lpwstr>0</vt:lpwstr>
  </property>
  <property fmtid="{D5CDD505-2E9C-101B-9397-08002B2CF9AE}" pid="9" name="=fdsSearchOrder">
    <vt:i4>0</vt:i4>
  </property>
  <property fmtid="{D5CDD505-2E9C-101B-9397-08002B2CF9AE}" pid="10" name="ContentTypeId">
    <vt:lpwstr>0x01010052F9109582970347BCDCB1BAEFF1CFC9</vt:lpwstr>
  </property>
  <property fmtid="{D5CDD505-2E9C-101B-9397-08002B2CF9AE}" pid="11" name="ERModPubTicket">
    <vt:lpwstr>NA</vt:lpwstr>
  </property>
  <property fmtid="{D5CDD505-2E9C-101B-9397-08002B2CF9AE}" pid="12" name="ERModPubConfirmEmail">
    <vt:bool>false</vt:bool>
  </property>
  <property fmtid="{D5CDD505-2E9C-101B-9397-08002B2CF9AE}" pid="13" name="ERModPubUserEmail">
    <vt:lpwstr>desterke@ms.com</vt:lpwstr>
  </property>
  <property fmtid="{D5CDD505-2E9C-101B-9397-08002B2CF9AE}" pid="14" name="ERModPubGCIMTagged">
    <vt:bool>true</vt:bool>
  </property>
  <property fmtid="{D5CDD505-2E9C-101B-9397-08002B2CF9AE}" pid="15" name="ERCompanyUploadState">
    <vt:lpwstr>P</vt:lpwstr>
  </property>
  <property fmtid="{D5CDD505-2E9C-101B-9397-08002B2CF9AE}" pid="16" name="ERModPubCurrentYear">
    <vt:i4>2026</vt:i4>
  </property>
  <property fmtid="{D5CDD505-2E9C-101B-9397-08002B2CF9AE}" pid="17" name="ModelId">
    <vt:lpwstr>9780545</vt:lpwstr>
  </property>
  <property fmtid="{D5CDD505-2E9C-101B-9397-08002B2CF9AE}" pid="18" name="ERModPubCompanyName">
    <vt:lpwstr>Guzman y Gomez Ltd</vt:lpwstr>
  </property>
</Properties>
</file>