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ustomProperty11.bin" ContentType="application/vnd.openxmlformats-officedocument.spreadsheetml.customProperty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ustomProperty12.bin" ContentType="application/vnd.openxmlformats-officedocument.spreadsheetml.customProperty"/>
  <Override PartName="/xl/comments4.xml" ContentType="application/vnd.openxmlformats-officedocument.spreadsheetml.comments+xml"/>
  <Override PartName="/xl/customProperty13.bin" ContentType="application/vnd.openxmlformats-officedocument.spreadsheetml.customProperty"/>
  <Override PartName="/xl/comments5.xml" ContentType="application/vnd.openxmlformats-officedocument.spreadsheetml.comments+xml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drawings/drawing4.xml" ContentType="application/vnd.openxmlformats-officedocument.drawing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ml.chartshapes+xml"/>
  <Override PartName="/xl/customProperty19.bin" ContentType="application/vnd.openxmlformats-officedocument.spreadsheetml.customProperty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ustomProperty20.bin" ContentType="application/vnd.openxmlformats-officedocument.spreadsheetml.customProperty"/>
  <Override PartName="/xl/comments6.xml" ContentType="application/vnd.openxmlformats-officedocument.spreadsheetml.comments+xml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drawings/drawing10.xml" ContentType="application/vnd.openxmlformats-officedocument.drawingml.chartshapes+xml"/>
  <Override PartName="/xl/charts/chart23.xml" ContentType="application/vnd.openxmlformats-officedocument.drawingml.chart+xml"/>
  <Override PartName="/xl/drawings/drawing11.xml" ContentType="application/vnd.openxmlformats-officedocument.drawingml.chartshapes+xml"/>
  <Override PartName="/xl/charts/chart24.xml" ContentType="application/vnd.openxmlformats-officedocument.drawingml.chart+xml"/>
  <Override PartName="/xl/drawings/drawing12.xml" ContentType="application/vnd.openxmlformats-officedocument.drawingml.chartshapes+xml"/>
  <Override PartName="/xl/customProperty23.bin" ContentType="application/vnd.openxmlformats-officedocument.spreadsheetml.customProperty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charts/chart27.xml" ContentType="application/vnd.openxmlformats-officedocument.drawingml.chart+xml"/>
  <Override PartName="/xl/customProperty26.bin" ContentType="application/vnd.openxmlformats-officedocument.spreadsheetml.customProperty"/>
  <Override PartName="/xl/drawings/drawing15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ustomProperty27.bin" ContentType="application/vnd.openxmlformats-officedocument.spreadsheetml.customProperty"/>
  <Override PartName="/xl/customProperty28.bin" ContentType="application/vnd.openxmlformats-officedocument.spreadsheetml.customProperty"/>
  <Override PartName="/xl/drawings/drawing16.xml" ContentType="application/vnd.openxmlformats-officedocument.drawing+xml"/>
  <Override PartName="/xl/comments8.xml" ContentType="application/vnd.openxmlformats-officedocument.spreadsheetml.comment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ustomProperty29.bin" ContentType="application/vnd.openxmlformats-officedocument.spreadsheetml.customProperty"/>
  <Override PartName="/xl/customProperty30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W:\3 - JL\Coverage\SUL\1 - Models\"/>
    </mc:Choice>
  </mc:AlternateContent>
  <xr:revisionPtr revIDLastSave="0" documentId="13_ncr:1_{D9E32C98-2B32-4FE3-8760-CC2C3995FC7E}" xr6:coauthVersionLast="47" xr6:coauthVersionMax="47" xr10:uidLastSave="{00000000-0000-0000-0000-000000000000}"/>
  <bookViews>
    <workbookView xWindow="0" yWindow="0" windowWidth="28800" windowHeight="23400" firstSheet="1" activeTab="1" xr2:uid="{B5363141-A5A3-49DA-B22C-8780D27AD536}"/>
  </bookViews>
  <sheets>
    <sheet name="__FDSCACHE__" sheetId="63809" state="veryHidden" r:id="rId1"/>
    <sheet name="Cover Page" sheetId="63816" r:id="rId2"/>
    <sheet name="Valuation" sheetId="63808" r:id="rId3"/>
    <sheet name="Summary Valuation" sheetId="63842" state="hidden" r:id="rId4"/>
    <sheet name="DCF" sheetId="63807" r:id="rId5"/>
    <sheet name="Summary" sheetId="63836" r:id="rId6"/>
    <sheet name="MODEL" sheetId="1336" r:id="rId7"/>
    <sheet name="Divisionals" sheetId="63733" r:id="rId8"/>
    <sheet name="PPE &amp; Leases" sheetId="63829" r:id="rId9"/>
    <sheet name="Debt" sheetId="63830" r:id="rId10"/>
    <sheet name="Tables &amp; Charts" sheetId="63826" state="hidden" r:id="rId11"/>
    <sheet name="Results table" sheetId="63818" state="hidden" r:id="rId12"/>
    <sheet name="Vs. Consensus" sheetId="63832" state="hidden" r:id="rId13"/>
    <sheet name="COVID19 assumptions" sheetId="63821" state="hidden" r:id="rId14"/>
    <sheet name="Charts" sheetId="63825" state="hidden" r:id="rId15"/>
    <sheet name="Cost analysis" sheetId="63820" state="hidden" r:id="rId16"/>
    <sheet name="Additional Detail" sheetId="63802" state="hidden" r:id="rId17"/>
    <sheet name="Summary sheet" sheetId="63810" state="hidden" r:id="rId18"/>
    <sheet name="Ratio analysis" sheetId="63811" state="hidden" r:id="rId19"/>
    <sheet name="Metrics" sheetId="63824" state="hidden" r:id="rId20"/>
    <sheet name="Macpac" sheetId="63812" state="hidden" r:id="rId21"/>
    <sheet name="Autos peers" sheetId="63814" state="hidden" r:id="rId22"/>
    <sheet name="Outdoor peers" sheetId="63815" state="hidden" r:id="rId23"/>
    <sheet name="Sales momentum" sheetId="63817" state="hidden" r:id="rId24"/>
    <sheet name="Pure offline sales" sheetId="63822" state="hidden" r:id="rId25"/>
    <sheet name="Simple model" sheetId="63823" state="hidden" r:id="rId26"/>
  </sheets>
  <functionGroups builtInGroupCount="19"/>
  <definedNames>
    <definedName name="__123Graph_A" hidden="1">#REF!</definedName>
    <definedName name="__123Graph_ACURRENT" hidden="1">#REF!</definedName>
    <definedName name="__123Graph_B" hidden="1">#REF!</definedName>
    <definedName name="__123Graph_BCURRENT" hidden="1">#REF!</definedName>
    <definedName name="__123Graph_X" hidden="1">#REF!</definedName>
    <definedName name="__123Graph_XCURRENT" hidden="1">#REF!</definedName>
    <definedName name="__FDS_HYPERLINK_TOGGLE_STATE__" hidden="1">"ON"</definedName>
    <definedName name="__FDS_UNIQUE_RANGE_ID_GENERATOR_COUNTER" hidden="1">1</definedName>
    <definedName name="_2000">#REF!</definedName>
    <definedName name="_2001" localSheetId="1">#REF!</definedName>
    <definedName name="_2001" localSheetId="19">#REF!</definedName>
    <definedName name="_2001" localSheetId="5">#REF!</definedName>
    <definedName name="_2001" localSheetId="12">#REF!</definedName>
    <definedName name="_2001">MODEL!#REF!</definedName>
    <definedName name="_2002" localSheetId="1">#REF!</definedName>
    <definedName name="_2002" localSheetId="19">#REF!</definedName>
    <definedName name="_2002" localSheetId="5">#REF!</definedName>
    <definedName name="_2002" localSheetId="12">#REF!</definedName>
    <definedName name="_2002">MODEL!#REF!</definedName>
    <definedName name="_2003" localSheetId="1">#REF!</definedName>
    <definedName name="_2003" localSheetId="19">#REF!</definedName>
    <definedName name="_2003" localSheetId="5">#REF!</definedName>
    <definedName name="_2003" localSheetId="12">#REF!</definedName>
    <definedName name="_2003">MODEL!#REF!</definedName>
    <definedName name="_2004" localSheetId="5">#REF!</definedName>
    <definedName name="_2004" localSheetId="12">#REF!</definedName>
    <definedName name="_2004">MODEL!#REF!</definedName>
    <definedName name="_2005" localSheetId="1">#REF!</definedName>
    <definedName name="_2005" localSheetId="19">#REF!</definedName>
    <definedName name="_2005" localSheetId="5">#REF!</definedName>
    <definedName name="_2005" localSheetId="12">#REF!</definedName>
    <definedName name="_2005">MODEL!#REF!</definedName>
    <definedName name="_2005H1">#REF!</definedName>
    <definedName name="_2006" localSheetId="1">#REF!</definedName>
    <definedName name="_2006" localSheetId="19">#REF!</definedName>
    <definedName name="_2006" localSheetId="5">#REF!</definedName>
    <definedName name="_2006" localSheetId="12">#REF!</definedName>
    <definedName name="_2006">MODEL!#REF!</definedName>
    <definedName name="_2006H1" localSheetId="12">#REF!</definedName>
    <definedName name="_2006H1">MODEL!#REF!</definedName>
    <definedName name="_2007" localSheetId="1">#REF!</definedName>
    <definedName name="_2007" localSheetId="19">#REF!</definedName>
    <definedName name="_2007" localSheetId="5">#REF!</definedName>
    <definedName name="_2007" localSheetId="12">#REF!</definedName>
    <definedName name="_2007">MODEL!#REF!</definedName>
    <definedName name="_2007H1" localSheetId="12">#REF!</definedName>
    <definedName name="_2007H1">MODEL!#REF!</definedName>
    <definedName name="_2008" localSheetId="1">#REF!</definedName>
    <definedName name="_2008" localSheetId="19">#REF!</definedName>
    <definedName name="_2008" localSheetId="5">#REF!</definedName>
    <definedName name="_2008" localSheetId="12">#REF!</definedName>
    <definedName name="_2008">MODEL!#REF!</definedName>
    <definedName name="_2008H1" localSheetId="12">#REF!</definedName>
    <definedName name="_2008H1">MODEL!#REF!</definedName>
    <definedName name="_2009" localSheetId="5">#REF!</definedName>
    <definedName name="_2009" localSheetId="12">#REF!</definedName>
    <definedName name="_2009">MODEL!#REF!</definedName>
    <definedName name="_2009H1" localSheetId="12">#REF!</definedName>
    <definedName name="_2009H1">MODEL!#REF!</definedName>
    <definedName name="_2010" localSheetId="5">#REF!</definedName>
    <definedName name="_2010" localSheetId="12">#REF!</definedName>
    <definedName name="_2010">MODEL!#REF!</definedName>
    <definedName name="_2010H1" localSheetId="12">#REF!</definedName>
    <definedName name="_2010H1">MODEL!#REF!</definedName>
    <definedName name="_2011" localSheetId="5">#REF!</definedName>
    <definedName name="_2011" localSheetId="12">#REF!</definedName>
    <definedName name="_2011">MODEL!#REF!</definedName>
    <definedName name="_2011H1" localSheetId="12">#REF!</definedName>
    <definedName name="_2011H1">MODEL!#REF!</definedName>
    <definedName name="_2012" localSheetId="5">#REF!</definedName>
    <definedName name="_2012" localSheetId="12">#REF!</definedName>
    <definedName name="_2012">MODEL!#REF!</definedName>
    <definedName name="_2012H1" localSheetId="12">#REF!</definedName>
    <definedName name="_2012H1">MODEL!#REF!</definedName>
    <definedName name="_2013" localSheetId="5">#REF!</definedName>
    <definedName name="_2013" localSheetId="12">#REF!</definedName>
    <definedName name="_2013">MODEL!#REF!</definedName>
    <definedName name="_2013H1" localSheetId="12">#REF!</definedName>
    <definedName name="_2013H1">MODEL!#REF!</definedName>
    <definedName name="_2014" localSheetId="5">#REF!</definedName>
    <definedName name="_2014" localSheetId="12">#REF!</definedName>
    <definedName name="_2014">MODEL!#REF!</definedName>
    <definedName name="_2014H1" localSheetId="12">#REF!</definedName>
    <definedName name="_2014H1">MODEL!#REF!</definedName>
    <definedName name="_2015" localSheetId="5">#REF!</definedName>
    <definedName name="_2015" localSheetId="12">#REF!</definedName>
    <definedName name="_2015">MODEL!#REF!</definedName>
    <definedName name="_2015a">#REF!</definedName>
    <definedName name="_2015H1" localSheetId="12">#REF!</definedName>
    <definedName name="_2015H1">MODEL!#REF!</definedName>
    <definedName name="_2015H2" localSheetId="12">#REF!</definedName>
    <definedName name="_2015H2">MODEL!#REF!</definedName>
    <definedName name="_2016" localSheetId="5">#REF!</definedName>
    <definedName name="_2016" localSheetId="12">#REF!</definedName>
    <definedName name="_2016">MODEL!#REF!</definedName>
    <definedName name="_2016H1" localSheetId="12">#REF!</definedName>
    <definedName name="_2016H1">MODEL!#REF!</definedName>
    <definedName name="_2016H2" localSheetId="12">#REF!</definedName>
    <definedName name="_2016H2">MODEL!#REF!</definedName>
    <definedName name="_2017" localSheetId="5">#REF!</definedName>
    <definedName name="_2017" localSheetId="12">#REF!</definedName>
    <definedName name="_2017">MODEL!$E:$E</definedName>
    <definedName name="_2017H1">MODEL!$C:$C</definedName>
    <definedName name="_2017H2">MODEL!$D:$D</definedName>
    <definedName name="_2018" localSheetId="5">#REF!</definedName>
    <definedName name="_2018">MODEL!$H:$H</definedName>
    <definedName name="_2018H1">MODEL!$F:$F</definedName>
    <definedName name="_2018H2">MODEL!$G:$G</definedName>
    <definedName name="_2019" localSheetId="5">#REF!</definedName>
    <definedName name="_2019">MODEL!$K:$K</definedName>
    <definedName name="_2019H1">MODEL!$I:$I</definedName>
    <definedName name="_2019H2">MODEL!$J:$J</definedName>
    <definedName name="_2020" localSheetId="5">#REF!</definedName>
    <definedName name="_2020">MODEL!$N:$N</definedName>
    <definedName name="_2021" localSheetId="5">#REF!</definedName>
    <definedName name="_2021">MODEL!$Q:$Q</definedName>
    <definedName name="_2022" localSheetId="1">#REF!</definedName>
    <definedName name="_2022" localSheetId="5">#REF!</definedName>
    <definedName name="_2022">MODEL!$T:$T</definedName>
    <definedName name="_2023" localSheetId="1">#REF!</definedName>
    <definedName name="_2023" localSheetId="5">#REF!</definedName>
    <definedName name="_2023">MODEL!$W:$W</definedName>
    <definedName name="_2024" localSheetId="1">#REF!</definedName>
    <definedName name="_2024" localSheetId="5">#REF!</definedName>
    <definedName name="_2024">MODEL!$Z:$Z</definedName>
    <definedName name="_2025">#REF!</definedName>
    <definedName name="_2026">#REF!</definedName>
    <definedName name="_2027">#REF!</definedName>
    <definedName name="_2028">#REF!</definedName>
    <definedName name="_2029">#REF!</definedName>
    <definedName name="_2030">#REF!</definedName>
    <definedName name="_2031">#REF!</definedName>
    <definedName name="_2032">#REF!</definedName>
    <definedName name="_bdm.1421661346b9431aaf0476080159f31d.edm" hidden="1">#REF!</definedName>
    <definedName name="_bdm.FastTrackBookmark.8_12_2022_3_27_21_PM.edm" hidden="1">#REF!</definedName>
    <definedName name="_bdm.FastTrackBookmark.8_3_2022_4_00_23_PM.edm" hidden="1">#REF!</definedName>
    <definedName name="_bdm.FastTrackBookmark.8_4_2022_11_35_23_AM.edm" hidden="1">#REF!</definedName>
    <definedName name="_Dps1999">#REF!</definedName>
    <definedName name="_Dps2000">#REF!</definedName>
    <definedName name="_Dps2001">#REF!</definedName>
    <definedName name="_Dps2002">#REF!</definedName>
    <definedName name="_Dps2003">#REF!</definedName>
    <definedName name="_Fill" hidden="1">#REF!</definedName>
    <definedName name="_xlnm._FilterDatabase" localSheetId="6" hidden="1">MODEL!$K$122:$AR$127</definedName>
    <definedName name="_FYE2">#REF!</definedName>
    <definedName name="_GSRATES_1" hidden="1">"CF3000012000063019980601"</definedName>
    <definedName name="_GSRATES_2" hidden="1">"CF3000011997073119970701"</definedName>
    <definedName name="_GSRATES_3" hidden="1">"CF3000011998063019980601"</definedName>
    <definedName name="_GSRATES_4" hidden="1">"CF3000011998033119980301"</definedName>
    <definedName name="_GSRATES_COUNT" hidden="1">4</definedName>
    <definedName name="_Key1" hidden="1">#REF!</definedName>
    <definedName name="_Order1">0</definedName>
    <definedName name="_Order2" hidden="1">255</definedName>
    <definedName name="_PAN4">#REF!</definedName>
    <definedName name="_pan7">#REF!</definedName>
    <definedName name="_pan8">#REF!</definedName>
    <definedName name="_pan9">#REF!</definedName>
    <definedName name="_PPE1999">#REF!</definedName>
    <definedName name="_PPE2000">#REF!</definedName>
    <definedName name="_PPE2001">#REF!</definedName>
    <definedName name="_PPE2002">#REF!</definedName>
    <definedName name="_PPE2003">#REF!</definedName>
    <definedName name="_r2019">#REF!</definedName>
    <definedName name="_Report">"model"</definedName>
    <definedName name="_SH1" localSheetId="5">#REF!</definedName>
    <definedName name="_SH1">#REF!</definedName>
    <definedName name="_Sort" hidden="1">#REF!</definedName>
    <definedName name="_T_PLN_TAX_Y96">#REF!</definedName>
    <definedName name="_T_PLN_TAX_Y97">#REF!</definedName>
    <definedName name="_T_PLN_TAX_Y98">#REF!</definedName>
    <definedName name="_T_PLN_TAX_Y99">#REF!</definedName>
    <definedName name="_Table2_Out" hidden="1">#REF!</definedName>
    <definedName name="_WHO2" hidden="1">{#N/A,#N/A,FALSE,"SUMMARY";#N/A,#N/A,FALSE,"DETAIL";#N/A,#N/A,FALSE,"VARIANCE"}</definedName>
    <definedName name="_xleta.INDEX" hidden="1" xlm="1">#NAME?</definedName>
    <definedName name="_xleta.ROW" hidden="1" xlm="1">#NAME?</definedName>
    <definedName name="_Year">#REF!</definedName>
    <definedName name="a">#REF!</definedName>
    <definedName name="A_ALL_KEYWORDS_TYPE_ScalarContributed_EQTY_200004992">#REF!,#REF!,#REF!,#REF!,#REF!,#REF!,#REF!,#REF!,#REF!,#REF!</definedName>
    <definedName name="A_ALL_KEYWORDS_TYPE_ScalarContributed_EQTY_200014045">#REF!,#REF!,#REF!,#REF!,#REF!,#REF!,#REF!,#REF!</definedName>
    <definedName name="A_ALL_KEYWORDS_TYPE_ScalarContributed_EQTY_200014091">#REF!,#REF!,#REF!,#REF!,#REF!,#REF!,#REF!,#REF!</definedName>
    <definedName name="A_ALL_KEYWORDS_TYPE_ScalarContributed_EQTY_200014125" localSheetId="5">#REF!,#REF!,#REF!,#REF!,#REF!,#REF!,#REF!</definedName>
    <definedName name="A_ALL_KEYWORDS_TYPE_ScalarContributed_EQTY_200014125">#REF!,#REF!,#REF!,#REF!,#REF!,#REF!,#REF!</definedName>
    <definedName name="A_ALL_KEYWORDS_TYPE_ScalarContributed_EQTY_200014619">#REF!,#REF!,#REF!,#REF!,#REF!,#REF!,#REF!,#REF!</definedName>
    <definedName name="A_ALL_KEYWORDS_TYPE_ScalarContributed_EQTY_200017878">#REF!,#REF!,#REF!,#REF!,#REF!,#REF!,#REF!</definedName>
    <definedName name="A_ALL_KEYWORDS_TYPE_ScalarContributed_EQTY_200018702">#REF!,#REF!,#REF!,#REF!,#REF!,#REF!,#REF!</definedName>
    <definedName name="A_ALL_KEYWORDS_TYPE_ScalarContributed_EQTY_200019441">#REF!,#REF!,#REF!,#REF!,#REF!,#REF!,#REF!</definedName>
    <definedName name="A_ALL_KEYWORDS_TYPE_ScalarContributed_ISSR_208005563">#REF!,#REF!</definedName>
    <definedName name="A_ALL_KEYWORDS_TYPE_ScalarContributed_ISSR_208010774" localSheetId="5">#REF!,#REF!,#REF!</definedName>
    <definedName name="A_ALL_KEYWORDS_TYPE_ScalarContributed_ISSR_208010774">#REF!,#REF!,#REF!</definedName>
    <definedName name="A_ALL_KEYWORDS_TYPE_ScalarContributed_ISSR_208010809" localSheetId="19">#REF!,#REF!,#REF!</definedName>
    <definedName name="A_ALL_KEYWORDS_TYPE_ScalarContributed_ISSR_208010809">#REF!,#REF!,#REF!</definedName>
    <definedName name="A_ALL_KEYWORDS_TYPE_ScalarContributed_ISSR_208011369">#REF!,#REF!,#REF!</definedName>
    <definedName name="A_ALL_KEYWORDS_TYPE_ScalarContributed_ISSR_208015541">#REF!,#REF!</definedName>
    <definedName name="A_ALL_KEYWORDS_TYPE_ScalarContributed_ISSR_208015712">#REF!,#REF!,#REF!</definedName>
    <definedName name="A_ALL_KEYWORDS_TYPE_ScalarContributed_ISSR_208017888">#REF!,#REF!,#REF!</definedName>
    <definedName name="A_ALL_KEYWORDS_TYPE_ScalarReference_EQTY_200014091">#REF!</definedName>
    <definedName name="A_ALL_KEYWORDS_TYPE_ScalarReference_ISSR_208010809">#REF!</definedName>
    <definedName name="A_ALL_KEYWORDS_TYPE_Vector_EQTY_200004992">#REF!,#REF!,#REF!,#REF!,#REF!,#REF!,#REF!,#REF!,#REF!,#REF!,#REF!,#REF!,#REF!</definedName>
    <definedName name="A_ALL_KEYWORDS_TYPE_Vector_EQTY_200005072">#REF!,#REF!,#REF!,#REF!,#REF!,#REF!,#REF!,#REF!,#REF!,#REF!,#REF!,#REF!,#REF!,#REF!,#REF!,#REF!,#REF!,#REF!,#REF!,#REF!</definedName>
    <definedName name="A_ALL_KEYWORDS_TYPE_Vector_EQTY_200014021" localSheetId="5">#REF!,#REF!,#REF!,#REF!,#REF!,#REF!,#REF!,#REF!,#REF!,#REF!,#REF!,#REF!,#REF!</definedName>
    <definedName name="A_ALL_KEYWORDS_TYPE_Vector_EQTY_200014021">#REF!,#REF!,#REF!,#REF!,#REF!,#REF!,#REF!,#REF!,#REF!,#REF!,#REF!,#REF!,#REF!</definedName>
    <definedName name="A_ALL_KEYWORDS_TYPE_Vector_EQTY_200014091" localSheetId="19">#REF!,#REF!,#REF!,#REF!,#REF!,#REF!,#REF!,#REF!,#REF!,#REF!,#REF!,#REF!,#REF!</definedName>
    <definedName name="A_ALL_KEYWORDS_TYPE_Vector_EQTY_200014091">#REF!,#REF!,#REF!,#REF!,#REF!,#REF!,#REF!,#REF!,#REF!,#REF!,#REF!,#REF!,#REF!</definedName>
    <definedName name="A_ALL_KEYWORDS_TYPE_Vector_EQTY_200014125" localSheetId="5">#REF!,#REF!,#REF!,#REF!,#REF!,#REF!,#REF!,#REF!,#REF!,#REF!,#REF!,#REF!,#REF!</definedName>
    <definedName name="A_ALL_KEYWORDS_TYPE_Vector_EQTY_200014125">#REF!,#REF!,#REF!,#REF!,#REF!,#REF!,#REF!,#REF!,#REF!,#REF!,#REF!,#REF!,#REF!</definedName>
    <definedName name="A_ALL_KEYWORDS_TYPE_Vector_EQTY_200014619">#REF!,#REF!,#REF!,#REF!,#REF!,#REF!,#REF!,#REF!,#REF!,#REF!,#REF!,#REF!,#REF!</definedName>
    <definedName name="A_ALL_KEYWORDS_TYPE_Vector_EQTY_200017878">#REF!,#REF!,#REF!,#REF!,#REF!,#REF!,#REF!,#REF!,#REF!,#REF!,#REF!,#REF!,#REF!</definedName>
    <definedName name="A_ALL_KEYWORDS_TYPE_Vector_EQTY_200018018">#REF!,#REF!,#REF!,#REF!,#REF!,#REF!,#REF!,#REF!,#REF!,#REF!,#REF!,#REF!,#REF!</definedName>
    <definedName name="A_ALL_KEYWORDS_TYPE_Vector_EQTY_200018702">#REF!,#REF!,#REF!,#REF!,#REF!,#REF!,#REF!,#REF!,#REF!,#REF!,#REF!,#REF!,#REF!</definedName>
    <definedName name="A_ALL_KEYWORDS_TYPE_Vector_EQTY_200019441">#REF!,#REF!,#REF!,#REF!,#REF!,#REF!,#REF!,#REF!,#REF!,#REF!,#REF!,#REF!,#REF!</definedName>
    <definedName name="A_ALL_KEYWORDS_TYPE_Vector_ISSR_208005522">#REF!,#REF!,#REF!,#REF!,#REF!,#REF!,#REF!,#REF!,#REF!,#REF!,#REF!,#REF!,#REF!,#REF!,#REF!,#REF!,#REF!,#REF!,#REF!,#REF!,#REF!,#REF!,#REF!,#REF!,#REF!</definedName>
    <definedName name="A_ALL_KEYWORDS_TYPE_Vector_ISSR_208005563">#REF!,#REF!,#REF!,#REF!,#REF!,#REF!,#REF!,#REF!,#REF!,#REF!,#REF!,#REF!,#REF!,#REF!,#REF!,#REF!,#REF!,#REF!,#REF!,#REF!,#REF!,#REF!,#REF!,#REF!,#REF!,#REF!,#REF!,#REF!,#REF!,#REF!,#REF!,#REF!,#REF!,#REF!</definedName>
    <definedName name="A_ALL_KEYWORDS_TYPE_Vector_ISSR_208010774" localSheetId="5">#REF!,#REF!,#REF!,#REF!,#REF!,#REF!,#REF!,#REF!,#REF!,#REF!,#REF!,#REF!,#REF!,#REF!,#REF!,#REF!,#REF!,#REF!,#REF!</definedName>
    <definedName name="A_ALL_KEYWORDS_TYPE_Vector_ISSR_208010774">#REF!,#REF!,#REF!,#REF!,#REF!,#REF!,#REF!,#REF!,#REF!,#REF!,#REF!,#REF!,#REF!,#REF!,#REF!,#REF!,#REF!,#REF!,#REF!</definedName>
    <definedName name="A_ALL_KEYWORDS_TYPE_Vector_ISSR_208010826" localSheetId="5">#REF!,#REF!,#REF!,#REF!,#REF!,#REF!,#REF!,#REF!,#REF!,#REF!,#REF!,#REF!,#REF!,#REF!,#REF!,#REF!,#REF!,#REF!,#REF!,#REF!,#REF!,#REF!,#REF!,#REF!</definedName>
    <definedName name="A_ALL_KEYWORDS_TYPE_Vector_ISSR_208010826">#REF!,#REF!,#REF!,#REF!,#REF!,#REF!,#REF!,#REF!,#REF!,#REF!,#REF!,#REF!,#REF!,#REF!,#REF!,#REF!,#REF!,#REF!,#REF!,#REF!,#REF!,#REF!,#REF!,#REF!</definedName>
    <definedName name="A_ALL_KEYWORDS_TYPE_Vector_ISSR_208011369">#REF!,#REF!,#REF!,#REF!,#REF!,#REF!,#REF!,#REF!,#REF!,#REF!,#REF!,#REF!,#REF!,#REF!,#REF!,#REF!,#REF!,#REF!,#REF!</definedName>
    <definedName name="A_ALL_KEYWORDS_TYPE_Vector_ISSR_208013265">#REF!,#REF!,#REF!,#REF!,#REF!,#REF!,#REF!,#REF!,#REF!,#REF!,#REF!,#REF!,#REF!,#REF!,#REF!,#REF!,#REF!,#REF!,#REF!,#REF!,#REF!,#REF!,#REF!,#REF!,#REF!,#REF!,#REF!,#REF!,#REF!,#REF!,#REF!,#REF!,#REF!,#REF!,#REF!,#REF!,#REF!</definedName>
    <definedName name="A_ALL_KEYWORDS_TYPE_Vector_ISSR_208015541">#REF!,#REF!,#REF!,#REF!,#REF!,#REF!,#REF!,#REF!,#REF!,#REF!,#REF!,#REF!,#REF!,#REF!,#REF!,#REF!,#REF!,#REF!,#REF!,#REF!,#REF!</definedName>
    <definedName name="A_ALL_KEYWORDS_TYPE_Vector_ISSR_208015712">#REF!,#REF!,#REF!,#REF!,#REF!,#REF!,#REF!,#REF!,#REF!,#REF!,#REF!,#REF!,#REF!,#REF!,#REF!,#REF!,#REF!,#REF!</definedName>
    <definedName name="A_ALL_KEYWORDS_TYPE_Vector_ISSR_208016534">#REF!,#REF!,#REF!,#REF!,#REF!,#REF!,#REF!,#REF!,#REF!,#REF!,#REF!,#REF!,#REF!,#REF!,#REF!,#REF!,#REF!,#REF!,#REF!,#REF!,#REF!,#REF!,#REF!,#REF!,#REF!,#REF!,#REF!,#REF!,#REF!</definedName>
    <definedName name="A_ALL_KEYWORDS_TYPE_Vector_ISSR_208017888">#REF!,#REF!,#REF!,#REF!,#REF!,#REF!,#REF!,#REF!,#REF!,#REF!,#REF!,#REF!,#REF!,#REF!,#REF!,#REF!,#REF!,#REF!,#REF!</definedName>
    <definedName name="A_ALL_KEYWORDS_TYPE_Vector_ISSR_208019050">#REF!,#REF!,#REF!,#REF!,#REF!,#REF!,#REF!,#REF!,#REF!,#REF!,#REF!,#REF!,#REF!,#REF!,#REF!,#REF!,#REF!</definedName>
    <definedName name="A_ALL_KEYWORDS_TYPE_Vector_ISSR_208019950">#REF!,#REF!,#REF!,#REF!,#REF!,#REF!,#REF!,#REF!,#REF!,#REF!,#REF!,#REF!,#REF!,#REF!,#REF!,#REF!,#REF!,#REF!</definedName>
    <definedName name="A_ALL_LOV.AX">#REF!</definedName>
    <definedName name="A_ALL_NWL.AX">#REF!</definedName>
    <definedName name="A_ALL_SECTION_KEYWORDS_EQTY_200014091_1314">#REF!</definedName>
    <definedName name="A_ALL_SECTION_KEYWORDS_EQTY_200014091_1316A">#REF!</definedName>
    <definedName name="A_ALL_SECTION_KEYWORDS_EQTY_200014091_1316B">#REF!</definedName>
    <definedName name="A_ALL_SECTION_KEYWORDS_EQTY_200014091_1316C">#REF!</definedName>
    <definedName name="A_ALL_SECTION_KEYWORDS_EQTY_200014091_1316D">#REF!</definedName>
    <definedName name="A_ALL_SECTION_KEYWORDS_EQTY_200014091_1316E">#REF!</definedName>
    <definedName name="A_ALL_SECTION_KEYWORDS_EQTY_200014091_131E">#REF!</definedName>
    <definedName name="A_ALL_SECTION_KEYWORDS_EQTY_200014091_131O">#REF!</definedName>
    <definedName name="A_ALL_SECTION_KEYWORDS_EQTY_200014091_13A">#REF!</definedName>
    <definedName name="A_ALL_SECTION_KEYWORDS_EQTY_200014091_13K">#REF!</definedName>
    <definedName name="A_ALL_SECTION_KEYWORDS_EQTY_200014091_13U">#REF!</definedName>
    <definedName name="A_ALL_SECTION_KEYWORDS_EQTY_200014091_13V">#REF!</definedName>
    <definedName name="A_ALL_SECTION_KEYWORDS_EQTY_200014091_Reference_Data">#REF!</definedName>
    <definedName name="A_ALL_SECTION_KEYWORDS_ISSR_208005563_136E">#REF!,#REF!</definedName>
    <definedName name="A_ALL_SECTION_KEYWORDS_ISSR_208005563_13T">#REF!,#REF!</definedName>
    <definedName name="A_ALL_SECTION_KEYWORDS_ISSR_208010774_13V" localSheetId="5">#REF!,#REF!</definedName>
    <definedName name="A_ALL_SECTION_KEYWORDS_ISSR_208010774_13V">#REF!,#REF!</definedName>
    <definedName name="A_ALL_SECTION_KEYWORDS_ISSR_208010809_1314">#REF!</definedName>
    <definedName name="A_ALL_SECTION_KEYWORDS_ISSR_208010809_13168">#REF!</definedName>
    <definedName name="A_ALL_SECTION_KEYWORDS_ISSR_208010809_1316B">#REF!</definedName>
    <definedName name="A_ALL_SECTION_KEYWORDS_ISSR_208010809_1316C">#REF!</definedName>
    <definedName name="A_ALL_SECTION_KEYWORDS_ISSR_208010809_1316D">#REF!</definedName>
    <definedName name="A_ALL_SECTION_KEYWORDS_ISSR_208010809_1316E">#REF!</definedName>
    <definedName name="A_ALL_SECTION_KEYWORDS_ISSR_208010809_1316S">#REF!</definedName>
    <definedName name="A_ALL_SECTION_KEYWORDS_ISSR_208010809_1316T">#REF!</definedName>
    <definedName name="A_ALL_SECTION_KEYWORDS_ISSR_208010809_1316U">#REF!</definedName>
    <definedName name="A_ALL_SECTION_KEYWORDS_ISSR_208010809_1319">#REF!</definedName>
    <definedName name="A_ALL_SECTION_KEYWORDS_ISSR_208010809_131E">#REF!</definedName>
    <definedName name="A_ALL_SECTION_KEYWORDS_ISSR_208010809_131J">#REF!</definedName>
    <definedName name="A_ALL_SECTION_KEYWORDS_ISSR_208010809_131O">#REF!</definedName>
    <definedName name="A_ALL_SECTION_KEYWORDS_ISSR_208010809_136E">#REF!,#REF!</definedName>
    <definedName name="A_ALL_SECTION_KEYWORDS_ISSR_208010809_136J">#REF!</definedName>
    <definedName name="A_ALL_SECTION_KEYWORDS_ISSR_208010809_13A">#REF!,#REF!</definedName>
    <definedName name="A_ALL_SECTION_KEYWORDS_ISSR_208010809_13U">#REF!</definedName>
    <definedName name="A_ALL_SECTION_KEYWORDS_ISSR_208010809_13V" localSheetId="19">#REF!,#REF!</definedName>
    <definedName name="A_ALL_SECTION_KEYWORDS_ISSR_208010809_13V">#REF!,#REF!</definedName>
    <definedName name="A_ALL_SECTION_KEYWORDS_ISSR_208010809_Reference_Data">#REF!</definedName>
    <definedName name="A_ALL_SECTION_KEYWORDS_ISSR_208010826_136J" localSheetId="5">#REF!,#REF!</definedName>
    <definedName name="A_ALL_SECTION_KEYWORDS_ISSR_208010826_136J">#REF!,#REF!</definedName>
    <definedName name="A_ALL_SECTION_KEYWORDS_ISSR_208011369_13A">#REF!,#REF!</definedName>
    <definedName name="A_ALL_SECTION_KEYWORDS_ISSR_208011369_13V">#REF!,#REF!</definedName>
    <definedName name="A_ALL_SECTION_KEYWORDS_ISSR_208015019_136J">#REF!,#REF!</definedName>
    <definedName name="A_ALL_SECTION_KEYWORDS_ISSR_208015541_136E">#REF!,#REF!</definedName>
    <definedName name="A_ALL_SECTION_KEYWORDS_ISSR_208015541_13A">#REF!,#REF!</definedName>
    <definedName name="A_ALL_SECTION_KEYWORDS_ISSR_208015541_13V">#REF!,#REF!</definedName>
    <definedName name="A_ALL_SECTION_KEYWORDS_ISSR_208015712_136J">#REF!,#REF!</definedName>
    <definedName name="A_ALL_SECTION_KEYWORDS_ISSR_208015712_13V">#REF!,#REF!</definedName>
    <definedName name="A_ALL_SECTION_KEYWORDS_ISSR_208016534_13171">#REF!,#REF!</definedName>
    <definedName name="A_ALL_SECTION_KEYWORDS_ISSR_208016534_13172">#REF!,#REF!</definedName>
    <definedName name="A_ALL_SECTION_KEYWORDS_ISSR_208016534_136J">#REF!,#REF!</definedName>
    <definedName name="A_ALL_SECTION_KEYWORDS_ISSR_208017888_13V">#REF!,#REF!</definedName>
    <definedName name="A_ALL_SECTION_KEYWORDS_ISSR_208019050_1316S">#REF!,#REF!</definedName>
    <definedName name="A_ALL_SECTIONS_EQTY_200014619">#REF!,#REF!,#REF!,#REF!,#REF!,#REF!,#REF!,#REF!,#REF!,#REF!,#REF!,#REF!,#REF!</definedName>
    <definedName name="A_ALL_SECTIONS_ISSR_208005522">#REF!,#REF!,#REF!,#REF!,#REF!,#REF!,#REF!,#REF!,#REF!,#REF!,#REF!,#REF!,#REF!,#REF!,#REF!,#REF!,#REF!,#REF!,#REF!,#REF!,#REF!,#REF!,#REF!,#REF!</definedName>
    <definedName name="A_ALL_SECTIONS_ISSR_208011369">#REF!,#REF!,#REF!,#REF!,#REF!,#REF!,#REF!,#REF!,#REF!,#REF!,#REF!,#REF!,#REF!,#REF!</definedName>
    <definedName name="A_ALL_SUL.AX">#REF!</definedName>
    <definedName name="A_ALL_SUL.AX_" localSheetId="1">#REF!</definedName>
    <definedName name="A_ALL_SUL.AX_">#REF!</definedName>
    <definedName name="A_ALL_UNI.AX">#REF!</definedName>
    <definedName name="A_CURRENCY_EQTY_200014091_PRI">#REF!</definedName>
    <definedName name="A_CURRENCY_EQTY_200014091_PUB">#REF!</definedName>
    <definedName name="A_CURRENCY_EQTY_200014091_REP">#REF!</definedName>
    <definedName name="A_CURRENCY_ISSR_208010809_REP">#REF!</definedName>
    <definedName name="A_KEYWORD_EQTY_200014091_ANZ_LIST">#REF!</definedName>
    <definedName name="A_KEYWORD_EQTY_200014091_ASSET_SALES_GAIN_LOSS">#REF!</definedName>
    <definedName name="A_KEYWORD_EQTY_200014091_BASE_CASE_VAL_DCF">#REF!</definedName>
    <definedName name="A_KEYWORD_EQTY_200014091_BENEFITS_TAX_LOSSES">#REF!</definedName>
    <definedName name="A_KEYWORD_EQTY_200014091_BETA_ANALYST">#REF!</definedName>
    <definedName name="A_KEYWORD_EQTY_200014091_BVPS">#REF!</definedName>
    <definedName name="A_KEYWORD_EQTY_200014091_BVPS_PUB">#REF!</definedName>
    <definedName name="A_KEYWORD_EQTY_200014091_CATALYST1_DATE">#REF!</definedName>
    <definedName name="A_KEYWORD_EQTY_200014091_CATALYST1_EVENT">#REF!</definedName>
    <definedName name="A_KEYWORD_EQTY_200014091_CATALYST2_DATE">#REF!</definedName>
    <definedName name="A_KEYWORD_EQTY_200014091_CATALYST2_EVENT">#REF!</definedName>
    <definedName name="A_KEYWORD_EQTY_200014091_CATALYST3_DATE">#REF!</definedName>
    <definedName name="A_KEYWORD_EQTY_200014091_CATALYST3_EVENT">#REF!</definedName>
    <definedName name="A_KEYWORD_EQTY_200014091_CATALYST4_DATE">#REF!</definedName>
    <definedName name="A_KEYWORD_EQTY_200014091_CATALYST4_EVENT">#REF!</definedName>
    <definedName name="A_KEYWORD_EQTY_200014091_CATALYST5_DATE">#REF!</definedName>
    <definedName name="A_KEYWORD_EQTY_200014091_CATALYST5_EVENT">#REF!</definedName>
    <definedName name="A_KEYWORD_EQTY_200014091_CF_NI_PRE_PREF">#REF!</definedName>
    <definedName name="A_KEYWORD_EQTY_200014091_CF_OPS_SHARE_NZ">#REF!</definedName>
    <definedName name="A_KEYWORD_EQTY_200014091_COMMON_DIV_PAID">#REF!</definedName>
    <definedName name="A_KEYWORD_EQTY_200014091_CONVERTIBLE_NOTES">#REF!</definedName>
    <definedName name="A_KEYWORD_EQTY_200014091_COST_OF_EQUITY_DCF">#REF!</definedName>
    <definedName name="A_KEYWORD_EQTY_200014091_CUM_PRESENT_VAL_CASH_FLOWS_DCF">#REF!</definedName>
    <definedName name="A_KEYWORD_EQTY_200014091_CURRENCY_ISO">#REF!</definedName>
    <definedName name="A_KEYWORD_EQTY_200014091_DCF_CASH_FLOW">#REF!</definedName>
    <definedName name="A_KEYWORD_EQTY_200014091_DEBT_EQUITY">#REF!</definedName>
    <definedName name="A_KEYWORD_EQTY_200014091_DEBT_RISK_MARGIN_DCF">#REF!</definedName>
    <definedName name="A_KEYWORD_EQTY_200014091_DILUTE_SHARES">#REF!</definedName>
    <definedName name="A_KEYWORD_EQTY_200014091_DISCOUNT_FACTOR_DCF">#REF!</definedName>
    <definedName name="A_KEYWORD_EQTY_200014091_DPS">#REF!</definedName>
    <definedName name="A_KEYWORD_EQTY_200014091_DPS_PUB">#REF!</definedName>
    <definedName name="A_KEYWORD_EQTY_200014091_EBIT_PUB">#REF!</definedName>
    <definedName name="A_KEYWORD_EQTY_200014091_EBITDA_PUB">#REF!</definedName>
    <definedName name="A_KEYWORD_EQTY_200014091_EBITDAF">#REF!</definedName>
    <definedName name="A_KEYWORD_EQTY_200014091_EFPO">#REF!</definedName>
    <definedName name="A_KEYWORD_EQTY_200014091_EFPOWA">#REF!</definedName>
    <definedName name="A_KEYWORD_EQTY_200014091_EPS">#REF!</definedName>
    <definedName name="A_KEYWORD_EQTY_200014091_EPS_CONS_PUB">#REF!</definedName>
    <definedName name="A_KEYWORD_EQTY_200014091_EPS_FUL_DIL">#REF!</definedName>
    <definedName name="A_KEYWORD_EQTY_200014091_EPS_POST_BASIC">#REF!</definedName>
    <definedName name="A_KEYWORD_EQTY_200014091_EPS_PRE_GWILL">#REF!</definedName>
    <definedName name="A_KEYWORD_EQTY_200014091_EPS_PUB">#REF!</definedName>
    <definedName name="A_KEYWORD_EQTY_200014091_EPS_REPORTED">#REF!</definedName>
    <definedName name="A_KEYWORD_EQTY_200014091_EQ_PUB">#REF!</definedName>
    <definedName name="A_KEYWORD_EQTY_200014091_EQUITY_VALUE_DCF">#REF!</definedName>
    <definedName name="A_KEYWORD_EQTY_200014091_EV_ADJ_PUB">#REF!</definedName>
    <definedName name="A_KEYWORD_EQTY_200014091_FIN_INSTRUMENT_HEDGE_POST_TAX">#REF!</definedName>
    <definedName name="A_KEYWORD_EQTY_200014091_FINAL_DIV_AMOUNT">#REF!</definedName>
    <definedName name="A_KEYWORD_EQTY_200014091_FINAL_DIV_EXDATE">#REF!</definedName>
    <definedName name="A_KEYWORD_EQTY_200014091_FINAL_DIV_FRANK">#REF!</definedName>
    <definedName name="A_KEYWORD_EQTY_200014091_FINAL_DIV_TAXRATE">#REF!</definedName>
    <definedName name="A_KEYWORD_EQTY_200014091_FOREIGN_EXCHANGE_GAIN_LOSS">#REF!</definedName>
    <definedName name="A_KEYWORD_EQTY_200014091_FOREIGN_HOLDNG">#REF!</definedName>
    <definedName name="A_KEYWORD_EQTY_200014091_FRANK_TAX_RATE">#REF!</definedName>
    <definedName name="A_KEYWORD_EQTY_200014091_FRANKING">#REF!</definedName>
    <definedName name="A_KEYWORD_EQTY_200014091_FRANKING_ANZPUB">#REF!</definedName>
    <definedName name="A_KEYWORD_EQTY_200014091_FREE_FLOAT">#REF!</definedName>
    <definedName name="A_KEYWORD_EQTY_200014091_FULLY_DIL_EPS">#REF!</definedName>
    <definedName name="A_KEYWORD_EQTY_200014091_GWILL_ASSET_IMP_CHG_POST_TAX">#REF!</definedName>
    <definedName name="A_KEYWORD_EQTY_200014091_IMP_CREDITS_PER_SHARE_DCF">#REF!</definedName>
    <definedName name="A_KEYWORD_EQTY_200014091_INC_MINORITY">#REF!</definedName>
    <definedName name="A_KEYWORD_EQTY_200014091_INCTAX_PL_ON_AB">#REF!</definedName>
    <definedName name="A_KEYWORD_EQTY_200014091_INCTAX_PL_POST_AB">#REF!</definedName>
    <definedName name="A_KEYWORD_EQTY_200014091_INT_DIV_AMOUNT">#REF!</definedName>
    <definedName name="A_KEYWORD_EQTY_200014091_INT_DIV_EXDATE">#REF!</definedName>
    <definedName name="A_KEYWORD_EQTY_200014091_INT_DIV_FRANK">#REF!</definedName>
    <definedName name="A_KEYWORD_EQTY_200014091_INT_DIV_TAXRATE">#REF!</definedName>
    <definedName name="A_KEYWORD_EQTY_200014091_Interim_Type">#REF!</definedName>
    <definedName name="A_KEYWORD_EQTY_200014091_INTRINSIC_PER_SHARE_VALUE_DCF">#REF!</definedName>
    <definedName name="A_KEYWORD_EQTY_200014091_LEGAL_RATING">#REF!</definedName>
    <definedName name="A_KEYWORD_EQTY_200014091_MARGIN_TAX_RATE">#REF!</definedName>
    <definedName name="A_KEYWORD_EQTY_200014091_MARKET_VALUE_OF_INVESTMENTS_DCF">#REF!</definedName>
    <definedName name="A_KEYWORD_EQTY_200014091_MKT_EQ_RISK_PREM">#REF!</definedName>
    <definedName name="A_KEYWORD_EQTY_200014091_NET_DEBT_NET_CASH_DCF">#REF!</definedName>
    <definedName name="A_KEYWORD_EQTY_200014091_NET_DEBT_PUB">#REF!</definedName>
    <definedName name="A_KEYWORD_EQTY_200014091_NET_EARNING">#REF!</definedName>
    <definedName name="A_KEYWORD_EQTY_200014091_NET_INC">#REF!</definedName>
    <definedName name="A_KEYWORD_EQTY_200014091_NET_PROFIT">#REF!</definedName>
    <definedName name="A_KEYWORD_EQTY_200014091_NET_TANGIBLE_ASSETS_ADJUSTED_NZ">#REF!</definedName>
    <definedName name="A_KEYWORD_EQTY_200014091_NI_CONS">#REF!</definedName>
    <definedName name="A_KEYWORD_EQTY_200014091_NI_PRE_PREF">#REF!</definedName>
    <definedName name="A_KEYWORD_EQTY_200014091_NI_PUB">#REF!</definedName>
    <definedName name="A_KEYWORD_EQTY_200014091_NI_REPT_PUB">#REF!</definedName>
    <definedName name="A_KEYWORD_EQTY_200014091_NON_OP_ADD">#REF!</definedName>
    <definedName name="A_KEYWORD_EQTY_200014091_NOPAT">#REF!</definedName>
    <definedName name="A_KEYWORD_EQTY_200014091_NTA_PER_SHARE">#REF!</definedName>
    <definedName name="A_KEYWORD_EQTY_200014091_NUM_SH">#REF!</definedName>
    <definedName name="A_KEYWORD_EQTY_200014091_NZ_FRANKING">#REF!</definedName>
    <definedName name="A_KEYWORD_EQTY_200014091_OPPL_ATAX_POST_AB">#REF!</definedName>
    <definedName name="A_KEYWORD_EQTY_200014091_OPPL_ATAX_PRE_AB">#REF!</definedName>
    <definedName name="A_KEYWORD_EQTY_200014091_OPTIONS">#REF!</definedName>
    <definedName name="A_KEYWORD_EQTY_200014091_OTH_ASSET_IMPAIR_CHG_POST_TAX">#REF!</definedName>
    <definedName name="A_KEYWORD_EQTY_200014091_OTHER_ABNORMAL_ITEMS">#REF!</definedName>
    <definedName name="A_KEYWORD_EQTY_200014091_OTHER_CAPITAL">#REF!</definedName>
    <definedName name="A_KEYWORD_EQTY_200014091_OTHER_IFRS_ADJUST_POST_TAX">#REF!</definedName>
    <definedName name="A_KEYWORD_EQTY_200014091_PARTLY_PAID_SHARES">#REF!</definedName>
    <definedName name="A_KEYWORD_EQTY_200014091_PERPETUITY_GROWTH_RATE_DCF">#REF!</definedName>
    <definedName name="A_KEYWORD_EQTY_200014091_PREF_DIV">#REF!</definedName>
    <definedName name="A_KEYWORD_EQTY_200014091_PREFERENCE_SHARES">#REF!</definedName>
    <definedName name="A_KEYWORD_EQTY_200014091_PRESENT_VALUE_OF_CASH_FLOW_DCF">#REF!</definedName>
    <definedName name="A_KEYWORD_EQTY_200014091_PRI_TARG_METH">#REF!</definedName>
    <definedName name="A_KEYWORD_EQTY_200014091_PRI_TARG_MULT">#REF!</definedName>
    <definedName name="A_KEYWORD_EQTY_200014091_PRICE_CURRENCY_ISO">#REF!</definedName>
    <definedName name="A_KEYWORD_EQTY_200014091_PROF_ADJUST_EPS">#REF!</definedName>
    <definedName name="A_KEYWORD_EQTY_200014091_PROV_INC_TAX">#REF!</definedName>
    <definedName name="A_KEYWORD_EQTY_200014091_PTP_PUB">#REF!</definedName>
    <definedName name="A_KEYWORD_EQTY_200014091_PUB_CURRENCY_ISO">#REF!</definedName>
    <definedName name="A_KEYWORD_EQTY_200014091_RESTRUC_COSTS">#REF!</definedName>
    <definedName name="A_KEYWORD_EQTY_200014091_REVS_PUB">#REF!</definedName>
    <definedName name="A_KEYWORD_EQTY_200014091_RISK_ADJ_OPTION_VALUE_DCF">#REF!</definedName>
    <definedName name="A_KEYWORD_EQTY_200014091_RISK_FR_RATE">#REF!</definedName>
    <definedName name="A_KEYWORD_EQTY_200014091_RISK_TO_EARNINGS">#REF!</definedName>
    <definedName name="A_KEYWORD_EQTY_200014091_ROCE_ANZ">#REF!</definedName>
    <definedName name="A_KEYWORD_EQTY_200014091_Security_Name">#REF!</definedName>
    <definedName name="A_KEYWORD_EQTY_200014091_SH">#REF!</definedName>
    <definedName name="A_KEYWORD_EQTY_200014091_SHOLDERS_EQUITY_MBRS">#REF!</definedName>
    <definedName name="A_KEYWORD_EQTY_200014091_STD_FREE_OP_CASH_FLOW_DCF">#REF!</definedName>
    <definedName name="A_KEYWORD_EQTY_200014091_TARGET_PRICE">#REF!</definedName>
    <definedName name="A_KEYWORD_EQTY_200014091_TAX_EXC">#REF!</definedName>
    <definedName name="A_KEYWORD_EQTY_200014091_TAX_RATE_DCF">#REF!</definedName>
    <definedName name="A_KEYWORD_EQTY_200014091_TERMINAL_YEAR_DCF">#REF!</definedName>
    <definedName name="A_KEYWORD_EQTY_200014091_Ticker">#REF!</definedName>
    <definedName name="A_KEYWORD_EQTY_200014091_TOTAL_CAPITAL">#REF!</definedName>
    <definedName name="A_KEYWORD_EQTY_200014091_TOTAL_IFRS_ADJUST_POST_TAX">#REF!</definedName>
    <definedName name="A_KEYWORD_EQTY_200014091_TP_PERIOD">#REF!</definedName>
    <definedName name="A_KEYWORD_EQTY_200014091_WACC_DCF">#REF!</definedName>
    <definedName name="A_KEYWORD_EQTY_200014091_YEAR_END_CAPITAL_EVA">#REF!</definedName>
    <definedName name="A_KEYWORD_ISSR_208010809_ACC_AMORT">#REF!</definedName>
    <definedName name="A_KEYWORD_ISSR_208010809_ACC_DDA">#REF!</definedName>
    <definedName name="A_KEYWORD_ISSR_208010809_ACC_END_DATE">#REF!</definedName>
    <definedName name="A_KEYWORD_ISSR_208010809_ACC_PAY_GQ">#REF!</definedName>
    <definedName name="A_KEYWORD_ISSR_208010809_ACCESS_CONNECTION">#REF!</definedName>
    <definedName name="A_KEYWORD_ISSR_208010809_ACQ">#REF!</definedName>
    <definedName name="A_KEYWORD_ISSR_208010809_ADJ_UNF_PENS_GOOD">#REF!</definedName>
    <definedName name="A_KEYWORD_ISSR_208010809_AMORT_OF_INTANGIBLES">#REF!</definedName>
    <definedName name="A_KEYWORD_ISSR_208010809_AMORT_OF_INTANGIBLES_ADJ">#REF!</definedName>
    <definedName name="A_KEYWORD_ISSR_208010809_ASSOC_JV_ADDBK">#REF!</definedName>
    <definedName name="A_KEYWORD_ISSR_208010809_ASSOCIATE">#REF!</definedName>
    <definedName name="A_KEYWORD_ISSR_208010809_ASSOCIATE_OP">#REF!</definedName>
    <definedName name="A_KEYWORD_ISSR_208010809_AVG_CAPITAL_EMPLOYED_ADJ">#REF!</definedName>
    <definedName name="A_KEYWORD_ISSR_208010809_BAL_MINO_INT">#REF!</definedName>
    <definedName name="A_KEYWORD_ISSR_208010809_BAL_OF_FRANK_CREDITS">#REF!</definedName>
    <definedName name="A_KEYWORD_ISSR_208010809_BANK_ODRAFT">#REF!</definedName>
    <definedName name="A_KEYWORD_ISSR_208010809_BORROWINGS">#REF!</definedName>
    <definedName name="A_KEYWORD_ISSR_208010809_CAP_LEASES">#REF!</definedName>
    <definedName name="A_KEYWORD_ISSR_208010809_CAPEX">#REF!</definedName>
    <definedName name="A_KEYWORD_ISSR_208010809_CAPEX_EXPANSION">#REF!</definedName>
    <definedName name="A_KEYWORD_ISSR_208010809_CAPEX_MAINTENANCE">#REF!</definedName>
    <definedName name="A_KEYWORD_ISSR_208010809_CASH_EQ">#REF!</definedName>
    <definedName name="A_KEYWORD_ISSR_208010809_CASH_INT_EXP">#REF!</definedName>
    <definedName name="A_KEYWORD_ISSR_208010809_CASH_TAX_EXP">#REF!</definedName>
    <definedName name="A_KEYWORD_ISSR_208010809_CF_FIN">#REF!</definedName>
    <definedName name="A_KEYWORD_ISSR_208010809_CF_FX">#REF!</definedName>
    <definedName name="A_KEYWORD_ISSR_208010809_CF_INC_MINORITY">#REF!</definedName>
    <definedName name="A_KEYWORD_ISSR_208010809_CF_INV">#REF!</definedName>
    <definedName name="A_KEYWORD_ISSR_208010809_CF_INV_MISC">#REF!</definedName>
    <definedName name="A_KEYWORD_ISSR_208010809_CF_OPS">#REF!</definedName>
    <definedName name="A_KEYWORD_ISSR_208010809_CF_OPS_MISC">#REF!</definedName>
    <definedName name="A_KEYWORD_ISSR_208010809_CHG_LT_DEBT">#REF!</definedName>
    <definedName name="A_KEYWORD_ISSR_208010809_CO_BOR_MARGIN">#REF!</definedName>
    <definedName name="A_KEYWORD_ISSR_208010809_COST_GD_SD">#REF!</definedName>
    <definedName name="A_KEYWORD_ISSR_208010809_COST_OF_DEBT_DCF">#REF!</definedName>
    <definedName name="A_KEYWORD_ISSR_208010809_CUR_ASS">#REF!</definedName>
    <definedName name="A_KEYWORD_ISSR_208010809_CUR_ASS_MISC">#REF!</definedName>
    <definedName name="A_KEYWORD_ISSR_208010809_CUR_LIABS_MISC">#REF!</definedName>
    <definedName name="A_KEYWORD_ISSR_208010809_CURRENCY_ISO">#REF!</definedName>
    <definedName name="A_KEYWORD_ISSR_208010809_CUSTOMER_RECEIPTS">#REF!</definedName>
    <definedName name="A_KEYWORD_ISSR_208010809_DEBT_TO_EQUITY_MKT_VALUES_DCF">#REF!</definedName>
    <definedName name="A_KEYWORD_ISSR_208010809_DEBTORS">#REF!</definedName>
    <definedName name="A_KEYWORD_ISSR_208010809_DEF_INC_TAX">#REF!</definedName>
    <definedName name="A_KEYWORD_ISSR_208010809_DEFINED_BENEFIT_OBLIGATION">#REF!</definedName>
    <definedName name="A_KEYWORD_ISSR_208010809_DEFINED_BENEFIT_SURPLUS">#REF!</definedName>
    <definedName name="A_KEYWORD_ISSR_208010809_DEPR_AMORT">#REF!</definedName>
    <definedName name="A_KEYWORD_ISSR_208010809_DEPREC">#REF!</definedName>
    <definedName name="A_KEYWORD_ISSR_208010809_DIV_PAID">#REF!</definedName>
    <definedName name="A_KEYWORD_ISSR_208010809_DIVDS_ASSOC_JV">#REF!</definedName>
    <definedName name="A_KEYWORD_ISSR_208010809_DIVDS_PD_MINORITIES">#REF!</definedName>
    <definedName name="A_KEYWORD_ISSR_208010809_DIVEST">#REF!</definedName>
    <definedName name="A_KEYWORD_ISSR_208010809_DIVIDENDS_RECEIVED">#REF!</definedName>
    <definedName name="A_KEYWORD_ISSR_208010809_EBIT">#REF!</definedName>
    <definedName name="A_KEYWORD_ISSR_208010809_EBIT_CONSOLIDATED">#REF!</definedName>
    <definedName name="A_KEYWORD_ISSR_208010809_EBIT_CONSOLIDATED_PRE_ASSOC">#REF!</definedName>
    <definedName name="A_KEYWORD_ISSR_208010809_EBITDA_CALC">#REF!</definedName>
    <definedName name="A_KEYWORD_ISSR_208010809_EBITDA_CONSOLIDATED">#REF!</definedName>
    <definedName name="A_KEYWORD_ISSR_208010809_EMPLOYEES">#REF!</definedName>
    <definedName name="A_KEYWORD_ISSR_208010809_EQ">#REF!</definedName>
    <definedName name="A_KEYWORD_ISSR_208010809_EXP_ALUMINIUM">#REF!</definedName>
    <definedName name="A_KEYWORD_ISSR_208010809_EXP_BEEF">#REF!</definedName>
    <definedName name="A_KEYWORD_ISSR_208010809_EXP_CHICKEN">#REF!</definedName>
    <definedName name="A_KEYWORD_ISSR_208010809_EXP_COCOA">#REF!</definedName>
    <definedName name="A_KEYWORD_ISSR_208010809_EXP_COFFEE">#REF!</definedName>
    <definedName name="A_KEYWORD_ISSR_208010809_EXP_COPPER">#REF!</definedName>
    <definedName name="A_KEYWORD_ISSR_208010809_EXP_CORN">#REF!</definedName>
    <definedName name="A_KEYWORD_ISSR_208010809_EXP_COTTON">#REF!</definedName>
    <definedName name="A_KEYWORD_ISSR_208010809_EXP_DAIRY">#REF!</definedName>
    <definedName name="A_KEYWORD_ISSR_208010809_EXP_DIAMONDS">#REF!</definedName>
    <definedName name="A_KEYWORD_ISSR_208010809_EXP_GOLD">#REF!</definedName>
    <definedName name="A_KEYWORD_ISSR_208010809_EXP_NUTS">#REF!</definedName>
    <definedName name="A_KEYWORD_ISSR_208010809_EXP_OIL_DERIV_NGLS_PLASTICS">#REF!</definedName>
    <definedName name="A_KEYWORD_ISSR_208010809_EXP_OIL_PETRO_FUEL">#REF!</definedName>
    <definedName name="A_KEYWORD_ISSR_208010809_EXP_OTH_COMMODITY">#REF!</definedName>
    <definedName name="A_KEYWORD_ISSR_208010809_EXP_OTH_COST">#REF!</definedName>
    <definedName name="A_KEYWORD_ISSR_208010809_EXP_PALM_OIL">#REF!</definedName>
    <definedName name="A_KEYWORD_ISSR_208010809_EXP_PAPER_PULP">#REF!</definedName>
    <definedName name="A_KEYWORD_ISSR_208010809_EXP_PLATINUM">#REF!</definedName>
    <definedName name="A_KEYWORD_ISSR_208010809_EXP_PORK">#REF!</definedName>
    <definedName name="A_KEYWORD_ISSR_208010809_EXP_SILVER">#REF!</definedName>
    <definedName name="A_KEYWORD_ISSR_208010809_EXP_SOYBEAN">#REF!</definedName>
    <definedName name="A_KEYWORD_ISSR_208010809_EXP_SUGAR">#REF!</definedName>
    <definedName name="A_KEYWORD_ISSR_208010809_EXP_TOBACCO_LEAF">#REF!</definedName>
    <definedName name="A_KEYWORD_ISSR_208010809_EXP_WATER">#REF!</definedName>
    <definedName name="A_KEYWORD_ISSR_208010809_EXP_WHEAT">#REF!</definedName>
    <definedName name="A_KEYWORD_ISSR_208010809_FIN_INSTR_HEDGE_CURR_LIABILITY">#REF!</definedName>
    <definedName name="A_KEYWORD_ISSR_208010809_FIN_INSTR_HEDGE_CURRENT">#REF!</definedName>
    <definedName name="A_KEYWORD_ISSR_208010809_FIN_INSTR_HEDGE_NON_CURR_LIAB">#REF!</definedName>
    <definedName name="A_KEYWORD_ISSR_208010809_FIN_INSTR_HEDGE_NON_CURRENT">#REF!</definedName>
    <definedName name="A_KEYWORD_ISSR_208010809_FIN_INSTRUMENT_HEDGE_PRE_TAX">#REF!</definedName>
    <definedName name="A_KEYWORD_ISSR_208010809_FIX_ASS_INV">#REF!</definedName>
    <definedName name="A_KEYWORD_ISSR_208010809_GCI_INFL">#REF!</definedName>
    <definedName name="A_KEYWORD_ISSR_208010809_GOODWILL_AMORT">#REF!</definedName>
    <definedName name="A_KEYWORD_ISSR_208010809_GOODWILL_NET_AMNT">#REF!</definedName>
    <definedName name="A_KEYWORD_ISSR_208010809_GR_FIX_ASS">#REF!</definedName>
    <definedName name="A_KEYWORD_ISSR_208010809_GR_INTANG">#REF!</definedName>
    <definedName name="A_KEYWORD_ISSR_208010809_GWILL_ASSET_IMPAIR_CHG_PRE_TAX">#REF!</definedName>
    <definedName name="A_KEYWORD_ISSR_208010809_INT_EXP_IND">#REF!</definedName>
    <definedName name="A_KEYWORD_ISSR_208010809_INT_INC_IND">#REF!</definedName>
    <definedName name="A_KEYWORD_ISSR_208010809_INT_OTHERS_RECEIVED">#REF!</definedName>
    <definedName name="A_KEYWORD_ISSR_208010809_INV_SECUR">#REF!</definedName>
    <definedName name="A_KEYWORD_ISSR_208010809_INVESTMENTS">#REF!</definedName>
    <definedName name="A_KEYWORD_ISSR_208010809_Issuer_Name">#REF!</definedName>
    <definedName name="A_KEYWORD_ISSR_208010809_LABOUR">#REF!</definedName>
    <definedName name="A_KEYWORD_ISSR_208010809_LAND_BUILDINGS">#REF!</definedName>
    <definedName name="A_KEYWORD_ISSR_208010809_LEASE_DEEM_DEPR">#REF!</definedName>
    <definedName name="A_KEYWORD_ISSR_208010809_LEASE_DEEM_INT">#REF!</definedName>
    <definedName name="A_KEYWORD_ISSR_208010809_LEASE_PAY">#REF!</definedName>
    <definedName name="A_KEYWORD_ISSR_208010809_LOAN_REPAID_OTHER_ENTS">#REF!</definedName>
    <definedName name="A_KEYWORD_ISSR_208010809_LOANS_OTHER_ENTITIES">#REF!</definedName>
    <definedName name="A_KEYWORD_ISSR_208010809_LT_DEBT">#REF!</definedName>
    <definedName name="A_KEYWORD_ISSR_208010809_MARKETING_ADVERTISNIG">#REF!</definedName>
    <definedName name="A_KEYWORD_ISSR_208010809_MINORITIES">#REF!</definedName>
    <definedName name="A_KEYWORD_ISSR_208010809_MV_ASSOCIATES">#REF!</definedName>
    <definedName name="A_KEYWORD_ISSR_208010809_MV_CONVERTIBLE_NOTES">#REF!</definedName>
    <definedName name="A_KEYWORD_ISSR_208010809_MV_NET_OTHER_STAKEHOLDERS">#REF!</definedName>
    <definedName name="A_KEYWORD_ISSR_208010809_NCASSET_INVENTORIES">#REF!</definedName>
    <definedName name="A_KEYWORD_ISSR_208010809_NCASSET_INVESTMENT">#REF!</definedName>
    <definedName name="A_KEYWORD_ISSR_208010809_NCASSET_MISC">#REF!</definedName>
    <definedName name="A_KEYWORD_ISSR_208010809_NCASSET_RECEIVABLES">#REF!</definedName>
    <definedName name="A_KEYWORD_ISSR_208010809_NCASSET_TRADE_DEBTORS">#REF!</definedName>
    <definedName name="A_KEYWORD_ISSR_208010809_NCLIAB_MISC">#REF!</definedName>
    <definedName name="A_KEYWORD_ISSR_208010809_NCLIAB_OTHER_CREDITORS">#REF!</definedName>
    <definedName name="A_KEYWORD_ISSR_208010809_NCLIAB_PROVISIONS">#REF!</definedName>
    <definedName name="A_KEYWORD_ISSR_208010809_NCLIAB_TRADE_CREDITORS">#REF!</definedName>
    <definedName name="A_KEYWORD_ISSR_208010809_NET_ASSETS">#REF!</definedName>
    <definedName name="A_KEYWORD_ISSR_208010809_NET_DEBT">#REF!</definedName>
    <definedName name="A_KEYWORD_ISSR_208010809_NET_DEBT_ADJ">#REF!</definedName>
    <definedName name="A_KEYWORD_ISSR_208010809_NET_FIX_ASS">#REF!</definedName>
    <definedName name="A_KEYWORD_ISSR_208010809_NET_INT_CH">#REF!</definedName>
    <definedName name="A_KEYWORD_ISSR_208010809_NET_INT_EXP">#REF!</definedName>
    <definedName name="A_KEYWORD_ISSR_208010809_NET_INTANG">#REF!</definedName>
    <definedName name="A_KEYWORD_ISSR_208010809_NET_TANGIBLE_ASSETS">#REF!</definedName>
    <definedName name="A_KEYWORD_ISSR_208010809_NONPPE_CAPEX">#REF!</definedName>
    <definedName name="A_KEYWORD_ISSR_208010809_OP_COST">#REF!</definedName>
    <definedName name="A_KEYWORD_ISSR_208010809_OPPL_BTAX_EX_ASSOC">#REF!</definedName>
    <definedName name="A_KEYWORD_ISSR_208010809_OPPL_BTAX_POST_AB">#REF!</definedName>
    <definedName name="A_KEYWORD_ISSR_208010809_ORD_SH_FUND">#REF!</definedName>
    <definedName name="A_KEYWORD_ISSR_208010809_ORD_SHARE_CAPITAL">#REF!</definedName>
    <definedName name="A_KEYWORD_ISSR_208010809_OTH_COST_INC">#REF!</definedName>
    <definedName name="A_KEYWORD_ISSR_208010809_OTH_CUR_ASS">#REF!</definedName>
    <definedName name="A_KEYWORD_ISSR_208010809_OTH_CUR_LIABS">#REF!</definedName>
    <definedName name="A_KEYWORD_ISSR_208010809_OTH_DACF_ADJ">#REF!</definedName>
    <definedName name="A_KEYWORD_ISSR_208010809_OTH_FIN_CF">#REF!</definedName>
    <definedName name="A_KEYWORD_ISSR_208010809_OTH_GCI_ADJ">#REF!</definedName>
    <definedName name="A_KEYWORD_ISSR_208010809_OTH_INV_CF">#REF!</definedName>
    <definedName name="A_KEYWORD_ISSR_208010809_OTH_LT_ASS">#REF!</definedName>
    <definedName name="A_KEYWORD_ISSR_208010809_OTH_LT_CRED_GQ">#REF!</definedName>
    <definedName name="A_KEYWORD_ISSR_208010809_OTH_NONCASH_ADJ">#REF!</definedName>
    <definedName name="A_KEYWORD_ISSR_208010809_OTH_OP_CF">#REF!</definedName>
    <definedName name="A_KEYWORD_ISSR_208010809_OTH_OP_INC_EXP">#REF!</definedName>
    <definedName name="A_KEYWORD_ISSR_208010809_OTHER_ASSET_IMPAIR_CHG_PRE_TAX">#REF!</definedName>
    <definedName name="A_KEYWORD_ISSR_208010809_OTHER_CREDITORS">#REF!</definedName>
    <definedName name="A_KEYWORD_ISSR_208010809_OTHER_IFRS_ADJUST_PRE_TAX">#REF!</definedName>
    <definedName name="A_KEYWORD_ISSR_208010809_OTHER_INTANGIBLES_DEPREC">#REF!</definedName>
    <definedName name="A_KEYWORD_ISSR_208010809_OTHER_INTANGIBLES_NON_DEPREC">#REF!</definedName>
    <definedName name="A_KEYWORD_ISSR_208010809_OTHER_RECEIVABLES">#REF!</definedName>
    <definedName name="A_KEYWORD_ISSR_208010809_OTHER_REVENUE">#REF!</definedName>
    <definedName name="A_KEYWORD_ISSR_208010809_PERIOD_MILESTONE">#REF!</definedName>
    <definedName name="A_KEYWORD_ISSR_208010809_PERSONNEL">#REF!</definedName>
    <definedName name="A_KEYWORD_ISSR_208010809_PL_BTAX_ON_AB">#REF!</definedName>
    <definedName name="A_KEYWORD_ISSR_208010809_PL_SALE_ASSETS">#REF!</definedName>
    <definedName name="A_KEYWORD_ISSR_208010809_PLANT_EQUIP">#REF!</definedName>
    <definedName name="A_KEYWORD_ISSR_208010809_PREF_SH">#REF!</definedName>
    <definedName name="A_KEYWORD_ISSR_208010809_PROCEEDS_BORROWINGS">#REF!</definedName>
    <definedName name="A_KEYWORD_ISSR_208010809_PROCEEDS_NCASSET">#REF!</definedName>
    <definedName name="A_KEYWORD_ISSR_208010809_PROCEEDS_PURCH_OPER_BUS">#REF!</definedName>
    <definedName name="A_KEYWORD_ISSR_208010809_PROCEEDS_SALE_EQUITY_INV">#REF!</definedName>
    <definedName name="A_KEYWORD_ISSR_208010809_PROCEEDS_SALE_OPER_BUS">#REF!</definedName>
    <definedName name="A_KEYWORD_ISSR_208010809_PROFIT_DEFBEN_PLAN_POST_TAX">#REF!</definedName>
    <definedName name="A_KEYWORD_ISSR_208010809_PROFIT_DEFBEN_PLAN_PRE_TAX">#REF!</definedName>
    <definedName name="A_KEYWORD_ISSR_208010809_PROFIT_ON_DISP">#REF!</definedName>
    <definedName name="A_KEYWORD_ISSR_208010809_PROVISIONS">#REF!</definedName>
    <definedName name="A_KEYWORD_ISSR_208010809_PT_PROF">#REF!</definedName>
    <definedName name="A_KEYWORD_ISSR_208010809_PURCH_EQUITY_INVESTS">#REF!</definedName>
    <definedName name="A_KEYWORD_ISSR_208010809_R_AND_D_CAP">#REF!</definedName>
    <definedName name="A_KEYWORD_ISSR_208010809_RD_EXP">#REF!</definedName>
    <definedName name="A_KEYWORD_ISSR_208010809_REPAY_BORROWINGS">#REF!</definedName>
    <definedName name="A_KEYWORD_ISSR_208010809_RESERVES">#REF!</definedName>
    <definedName name="A_KEYWORD_ISSR_208010809_RETAIN_PROFIT_LOSS">#REF!</definedName>
    <definedName name="A_KEYWORD_ISSR_208010809_SALE_PROP_PLANT_EQUIP">#REF!</definedName>
    <definedName name="A_KEYWORD_ISSR_208010809_SALES">#REF!</definedName>
    <definedName name="A_KEYWORD_ISSR_208010809_SALES_AUSTRA">#REF!</definedName>
    <definedName name="A_KEYWORD_ISSR_208010809_SALES_BRAZIL">#REF!</definedName>
    <definedName name="A_KEYWORD_ISSR_208010809_SALES_CEE">#REF!</definedName>
    <definedName name="A_KEYWORD_ISSR_208010809_SALES_CEMENT">#REF!</definedName>
    <definedName name="A_KEYWORD_ISSR_208010809_SALES_CHINA">#REF!</definedName>
    <definedName name="A_KEYWORD_ISSR_208010809_SALES_CONS">#REF!</definedName>
    <definedName name="A_KEYWORD_ISSR_208010809_SALES_EU_EX_UK">#REF!</definedName>
    <definedName name="A_KEYWORD_ISSR_208010809_SALES_FINAN">#REF!</definedName>
    <definedName name="A_KEYWORD_ISSR_208010809_SALES_FX_AUD">#REF!</definedName>
    <definedName name="A_KEYWORD_ISSR_208010809_SALES_FX_BRL">#REF!</definedName>
    <definedName name="A_KEYWORD_ISSR_208010809_SALES_FX_CNY">#REF!</definedName>
    <definedName name="A_KEYWORD_ISSR_208010809_SALES_FX_EUR">#REF!</definedName>
    <definedName name="A_KEYWORD_ISSR_208010809_SALES_FX_GPB">#REF!</definedName>
    <definedName name="A_KEYWORD_ISSR_208010809_SALES_FX_INR">#REF!</definedName>
    <definedName name="A_KEYWORD_ISSR_208010809_SALES_FX_NZD">#REF!</definedName>
    <definedName name="A_KEYWORD_ISSR_208010809_SALES_FX_OTH">#REF!</definedName>
    <definedName name="A_KEYWORD_ISSR_208010809_SALES_FX_RUB">#REF!</definedName>
    <definedName name="A_KEYWORD_ISSR_208010809_SALES_FX_USD">#REF!</definedName>
    <definedName name="A_KEYWORD_ISSR_208010809_SALES_FX_YEN">#REF!</definedName>
    <definedName name="A_KEYWORD_ISSR_208010809_SALES_GLASS">#REF!</definedName>
    <definedName name="A_KEYWORD_ISSR_208010809_SALES_GOV">#REF!</definedName>
    <definedName name="A_KEYWORD_ISSR_208010809_SALES_IND">#REF!</definedName>
    <definedName name="A_KEYWORD_ISSR_208010809_SALES_INDIA">#REF!</definedName>
    <definedName name="A_KEYWORD_ISSR_208010809_SALES_JAPAN">#REF!</definedName>
    <definedName name="A_KEYWORD_ISSR_208010809_SALES_LUMBER">#REF!</definedName>
    <definedName name="A_KEYWORD_ISSR_208010809_SALES_ME">#REF!</definedName>
    <definedName name="A_KEYWORD_ISSR_208010809_SALES_NZ">#REF!</definedName>
    <definedName name="A_KEYWORD_ISSR_208010809_SALES_OIL_PETRO_FUEL">#REF!</definedName>
    <definedName name="A_KEYWORD_ISSR_208010809_SALES_OTH_AEJ">#REF!</definedName>
    <definedName name="A_KEYWORD_ISSR_208010809_SALES_OTH_AM">#REF!</definedName>
    <definedName name="A_KEYWORD_ISSR_208010809_SALES_OTH_COMMODITY">#REF!</definedName>
    <definedName name="A_KEYWORD_ISSR_208010809_SALES_OTH_EMEA">#REF!</definedName>
    <definedName name="A_KEYWORD_ISSR_208010809_SALES_OTH_SALES_SOURCES">#REF!</definedName>
    <definedName name="A_KEYWORD_ISSR_208010809_SALES_OTHER">#REF!</definedName>
    <definedName name="A_KEYWORD_ISSR_208010809_SALES_PAPER_PULP">#REF!</definedName>
    <definedName name="A_KEYWORD_ISSR_208010809_SALES_RUSSIA">#REF!</definedName>
    <definedName name="A_KEYWORD_ISSR_208010809_SALES_STEEL">#REF!</definedName>
    <definedName name="A_KEYWORD_ISSR_208010809_SALES_TOBACCO_LEAF">#REF!</definedName>
    <definedName name="A_KEYWORD_ISSR_208010809_SALES_TOT_AFRICA">#REF!</definedName>
    <definedName name="A_KEYWORD_ISSR_208010809_SALES_TOT_AM">#REF!</definedName>
    <definedName name="A_KEYWORD_ISSR_208010809_SALES_TOT_ASIA">#REF!</definedName>
    <definedName name="A_KEYWORD_ISSR_208010809_SALES_TOT_EMEA">#REF!</definedName>
    <definedName name="A_KEYWORD_ISSR_208010809_SALES_UK">#REF!</definedName>
    <definedName name="A_KEYWORD_ISSR_208010809_SALES_US">#REF!</definedName>
    <definedName name="A_KEYWORD_ISSR_208010809_SEL_GL_AD">#REF!</definedName>
    <definedName name="A_KEYWORD_ISSR_208010809_SEL_GL_AD_OTHER">#REF!</definedName>
    <definedName name="A_KEYWORD_ISSR_208010809_SH_REPUR">#REF!</definedName>
    <definedName name="A_KEYWORD_ISSR_208010809_SHARE_BASED_PAYMENTS">#REF!</definedName>
    <definedName name="A_KEYWORD_ISSR_208010809_SHORT_T_DEBT">#REF!</definedName>
    <definedName name="A_KEYWORD_ISSR_208010809_SHORT_TERM_LIABS">#REF!</definedName>
    <definedName name="A_KEYWORD_ISSR_208010809_STOCKS">#REF!</definedName>
    <definedName name="A_KEYWORD_ISSR_208010809_SUPPLIER_EMPLOYEE_PAYS">#REF!</definedName>
    <definedName name="A_KEYWORD_ISSR_208010809_TOT_ASSET">#REF!</definedName>
    <definedName name="A_KEYWORD_ISSR_208010809_TOT_CF">#REF!</definedName>
    <definedName name="A_KEYWORD_ISSR_208010809_TOT_LIAB">#REF!</definedName>
    <definedName name="A_KEYWORD_ISSR_208010809_TOT_LIAB_EQ">#REF!</definedName>
    <definedName name="A_KEYWORD_ISSR_208010809_TOT_LT_LIAB">#REF!</definedName>
    <definedName name="A_KEYWORD_ISSR_208010809_TOT_OPS_EXP">#REF!</definedName>
    <definedName name="A_KEYWORD_ISSR_208010809_TOT_OPS_EXP_DDA">#REF!</definedName>
    <definedName name="A_KEYWORD_ISSR_208010809_TOTAL_CAPITAL_EMPLOYED_ADJ">#REF!</definedName>
    <definedName name="A_KEYWORD_ISSR_208010809_TOTAL_DEPREC_AMORT">#REF!</definedName>
    <definedName name="A_KEYWORD_ISSR_208010809_TOTAL_IFRS_ADJUST_PRE_TAX">#REF!</definedName>
    <definedName name="A_KEYWORD_ISSR_208010809_TOTAL_NONCURR_ASSETS">#REF!</definedName>
    <definedName name="A_KEYWORD_ISSR_208010809_TOTAL_OPR_REVENUE">#REF!</definedName>
    <definedName name="A_KEYWORD_ISSR_208010809_TV_LICENCES_MASTERHEADS">#REF!</definedName>
    <definedName name="A_KEYWORD_ISSR_208010809_UNF_PENS">#REF!</definedName>
    <definedName name="A_KEYWORD_ISSR_208010809_UNF_PENS_LIAB_OTH">#REF!</definedName>
    <definedName name="A_KEYWORD_ISSR_208010809_UNF_PENS_OFF">#REF!</definedName>
    <definedName name="A_KEYWORD_ISSR_208010809_WORK_CAP">#REF!</definedName>
    <definedName name="A_LIVEDATA_EQTY_200014091">#REF!</definedName>
    <definedName name="A_LIVEDATA_ISSR_208010809">#REF!</definedName>
    <definedName name="A_PERIOD_2014">#REF!</definedName>
    <definedName name="A_PERIOD_2015">#REF!</definedName>
    <definedName name="A_PERIOD_2016">#REF!</definedName>
    <definedName name="A_PERIOD_2017">#REF!</definedName>
    <definedName name="A_SECTION_EQTY_200014091_1314">#REF!</definedName>
    <definedName name="A_SECTION_EQTY_200014091_1316A">#REF!</definedName>
    <definedName name="A_SECTION_EQTY_200014091_1316B">#REF!</definedName>
    <definedName name="A_SECTION_EQTY_200014091_1316C">#REF!</definedName>
    <definedName name="A_SECTION_EQTY_200014091_1316D">#REF!</definedName>
    <definedName name="A_SECTION_EQTY_200014091_1316E">#REF!</definedName>
    <definedName name="A_SECTION_EQTY_200014091_131E">#REF!</definedName>
    <definedName name="A_SECTION_EQTY_200014091_131O">#REF!</definedName>
    <definedName name="A_SECTION_EQTY_200014091_13A">#REF!</definedName>
    <definedName name="A_SECTION_EQTY_200014091_13K">#REF!</definedName>
    <definedName name="A_SECTION_EQTY_200014091_13U">#REF!</definedName>
    <definedName name="A_SECTION_EQTY_200014091_13V">#REF!</definedName>
    <definedName name="A_SECTION_EQTY_200014091_Reference_Data">#REF!</definedName>
    <definedName name="A_SECTION_ISSR_208010809_1314">#REF!</definedName>
    <definedName name="A_SECTION_ISSR_208010809_13168">#REF!</definedName>
    <definedName name="A_SECTION_ISSR_208010809_1316B">#REF!</definedName>
    <definedName name="A_SECTION_ISSR_208010809_1316C">#REF!</definedName>
    <definedName name="A_SECTION_ISSR_208010809_1316D">#REF!</definedName>
    <definedName name="A_SECTION_ISSR_208010809_1316E">#REF!</definedName>
    <definedName name="A_SECTION_ISSR_208010809_1316S">#REF!</definedName>
    <definedName name="A_SECTION_ISSR_208010809_1316T">#REF!</definedName>
    <definedName name="A_SECTION_ISSR_208010809_1316U">#REF!</definedName>
    <definedName name="A_SECTION_ISSR_208010809_1319">#REF!</definedName>
    <definedName name="A_SECTION_ISSR_208010809_131E">#REF!</definedName>
    <definedName name="A_SECTION_ISSR_208010809_131J">#REF!</definedName>
    <definedName name="A_SECTION_ISSR_208010809_131O">#REF!</definedName>
    <definedName name="A_SECTION_ISSR_208010809_13U">#REF!</definedName>
    <definedName name="A_SECTION_ISSR_208010809_13V">#REF!</definedName>
    <definedName name="A_SECTION_ISSR_208010809_Reference_Data">#REF!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bc" hidden="1">{#N/A,#N/A,FALSE,"Sheet1";#N/A,#N/A,FALSE,"Sheet2";#N/A,#N/A,FALSE,"Sheet3";#N/A,#N/A,FALSE,"Sheet4";#N/A,#N/A,FALSE,"Sheet5";#N/A,#N/A,FALSE,"Sheet6"}</definedName>
    <definedName name="Abnormal_Items_after_tax" localSheetId="5">#REF!</definedName>
    <definedName name="Abnormal_Items_after_tax">MODEL!$50:$50</definedName>
    <definedName name="Abnormal_items_post_tax">#REF!</definedName>
    <definedName name="abnormals">#REF!</definedName>
    <definedName name="ACC_DDA" localSheetId="5">#REF!</definedName>
    <definedName name="ACC_DDA">#REF!</definedName>
    <definedName name="AccAmortIntang" localSheetId="12">#REF!</definedName>
    <definedName name="AccAmortIntang">MODEL!#REF!</definedName>
    <definedName name="AccDepn">#REF!</definedName>
    <definedName name="AccDepPPE">MODEL!#REF!</definedName>
    <definedName name="AccImpairGoodwill">MODEL!#REF!</definedName>
    <definedName name="accumulated_amortisation" localSheetId="5">#REF!</definedName>
    <definedName name="Accumulated_amortisation">#REF!</definedName>
    <definedName name="accumulated_amortisation_gwill">#REF!</definedName>
    <definedName name="Accumulated_depreciation">#REF!</definedName>
    <definedName name="acquisitions" localSheetId="5">#REF!</definedName>
    <definedName name="Acquisitions">MODEL!$115:$115</definedName>
    <definedName name="Acquistion1999">#REF!</definedName>
    <definedName name="Acquistion2000">#REF!</definedName>
    <definedName name="Acquistion2001">#REF!</definedName>
    <definedName name="Acquistion2002">#REF!</definedName>
    <definedName name="Acquistion2003">#REF!</definedName>
    <definedName name="ACwvu.Half._.year._.forecast." localSheetId="6" hidden="1">MODEL!#REF!</definedName>
    <definedName name="ACwvu.Printout." localSheetId="6" hidden="1">MODEL!#REF!</definedName>
    <definedName name="ad" hidden="1">{#N/A,#N/A,FALSE,"Sheet1";#N/A,#N/A,FALSE,"Sheet2";#N/A,#N/A,FALSE,"Sheet3";#N/A,#N/A,FALSE,"Sheet4";#N/A,#N/A,FALSE,"Sheet5";#N/A,#N/A,FALSE,"Sheet6"}</definedName>
    <definedName name="adcd" hidden="1">{#N/A,#N/A,FALSE,"Sheet8";#N/A,#N/A,FALSE,"Sheet7"}</definedName>
    <definedName name="Adj_Bond_Cash_Return">#REF!</definedName>
    <definedName name="Adjusted_Total_Capital_Employed1999">#REF!</definedName>
    <definedName name="Adjusted_Total_Capital_Employed2000">#REF!</definedName>
    <definedName name="Adjusted_Total_Capital_Employed2001">#REF!</definedName>
    <definedName name="Adjusted_Total_Capital_Employed2002">#REF!</definedName>
    <definedName name="Adjusted_Total_Capital_Employed2003">#REF!</definedName>
    <definedName name="adjustmentoptions">#REF!</definedName>
    <definedName name="Administration_costs" localSheetId="5">#REF!</definedName>
    <definedName name="Administration_costs">#REF!</definedName>
    <definedName name="All_Debt">"ExcessCash"</definedName>
    <definedName name="All_Industrials_Index" localSheetId="1">#REF!</definedName>
    <definedName name="All_Industrials_Index" localSheetId="12">#REF!</definedName>
    <definedName name="All_Industrials_Index">#REF!</definedName>
    <definedName name="Americas_EBIT" localSheetId="5">#REF!</definedName>
    <definedName name="Americas_EBIT">#REF!</definedName>
    <definedName name="Amort_Int1999">#REF!</definedName>
    <definedName name="Amort_Int2000">#REF!</definedName>
    <definedName name="Amort_Int2001">#REF!</definedName>
    <definedName name="Amort_Int2002">#REF!</definedName>
    <definedName name="Amort_Int2003">#REF!</definedName>
    <definedName name="Amort_Lease">#REF!</definedName>
    <definedName name="Amortisation" localSheetId="1">#REF!</definedName>
    <definedName name="Amortisation" localSheetId="19">#REF!</definedName>
    <definedName name="amortisation" localSheetId="5">#REF!</definedName>
    <definedName name="Amortisation" localSheetId="12">#REF!</definedName>
    <definedName name="Amortisation">MODEL!#REF!</definedName>
    <definedName name="Amortisation_CFS">#REF!</definedName>
    <definedName name="anal">#REF!</definedName>
    <definedName name="anscount" hidden="1">1</definedName>
    <definedName name="ANZ_EBIT" localSheetId="5">#REF!</definedName>
    <definedName name="ANZ_EBIT">#REF!</definedName>
    <definedName name="ANZ_Sales" localSheetId="5">#REF!</definedName>
    <definedName name="ANZ_Sales">#REF!</definedName>
    <definedName name="Apparel_Division">"title"</definedName>
    <definedName name="asdf2" hidden="1">{#N/A,#N/A,FALSE,"Mill 5"}</definedName>
    <definedName name="asdf45" hidden="1">{#N/A,#N/A,FALSE,"SUMMARY";#N/A,#N/A,FALSE,"DETAIL";#N/A,#N/A,FALSE,"VARIANCE"}</definedName>
    <definedName name="asdfasdfas" hidden="1">{#N/A,#N/A,FALSE,"Sheet1";#N/A,#N/A,FALSE,"Sheet2";#N/A,#N/A,FALSE,"Sheet3";#N/A,#N/A,FALSE,"Sheet4";#N/A,#N/A,FALSE,"Sheet5";#N/A,#N/A,FALSE,"Sheet6"}</definedName>
    <definedName name="Asia_2011" localSheetId="5">#REF!</definedName>
    <definedName name="Asia_2011">#REF!</definedName>
    <definedName name="Asia_2012" localSheetId="5">#REF!</definedName>
    <definedName name="Asia_2012">#REF!</definedName>
    <definedName name="Asia_2013" localSheetId="5">#REF!</definedName>
    <definedName name="Asia_2013">#REF!</definedName>
    <definedName name="Asia_2014" localSheetId="5">#REF!</definedName>
    <definedName name="Asia_2014">#REF!</definedName>
    <definedName name="Asia_2015" localSheetId="5">#REF!</definedName>
    <definedName name="Asia_2015">#REF!</definedName>
    <definedName name="Asia_2016" localSheetId="5">#REF!</definedName>
    <definedName name="Asia_2016">#REF!</definedName>
    <definedName name="Asia_2017" localSheetId="5">#REF!</definedName>
    <definedName name="Asia_2017">#REF!</definedName>
    <definedName name="Asia_2018" localSheetId="5">#REF!</definedName>
    <definedName name="Asia_2018">#REF!</definedName>
    <definedName name="Asia_EBIT" localSheetId="5">#REF!</definedName>
    <definedName name="Asia_EBIT">#REF!</definedName>
    <definedName name="Asia_sales" localSheetId="5">#REF!</definedName>
    <definedName name="Asia_sales">#REF!</definedName>
    <definedName name="Asset_sales" localSheetId="5">#REF!</definedName>
    <definedName name="Asset_sales">MODEL!$116:$116</definedName>
    <definedName name="Assets_Sales1999">#REF!</definedName>
    <definedName name="Assets_Sales2000">#REF!</definedName>
    <definedName name="Assets_Sales2001">#REF!</definedName>
    <definedName name="Assets_Sales2002">#REF!</definedName>
    <definedName name="Assets_Sales2003">#REF!</definedName>
    <definedName name="assets_total">#REF!</definedName>
    <definedName name="assetsales">#REF!</definedName>
    <definedName name="AUDGBP" localSheetId="5">#REF!</definedName>
    <definedName name="AUDGBP">#REF!</definedName>
    <definedName name="AUDUSD" localSheetId="5">#REF!</definedName>
    <definedName name="AUDUSD">#REF!</definedName>
    <definedName name="AusEBIT">#REF!</definedName>
    <definedName name="AusSales">#REF!</definedName>
    <definedName name="Aust_housing">#REF!</definedName>
    <definedName name="Aust_Risk_Free" localSheetId="1">#REF!</definedName>
    <definedName name="Aust_Risk_Free" localSheetId="12">#REF!</definedName>
    <definedName name="Aust_Risk_Free">#REF!</definedName>
    <definedName name="Aust_Sales">#REF!</definedName>
    <definedName name="Auto_EBIT_Margin">Divisionals!$92:$92</definedName>
    <definedName name="Auto_EBITDA" localSheetId="19">#REF!</definedName>
    <definedName name="Auto_EBITDA">Divisionals!#REF!</definedName>
    <definedName name="Auto_EBITDA_Margin" localSheetId="19">#REF!</definedName>
    <definedName name="Auto_EBITDA_Margin">Divisionals!#REF!</definedName>
    <definedName name="Auto_Gross_Margin">Divisionals!$76:$76</definedName>
    <definedName name="Auto_Total_Stores">Divisionals!$67:$67</definedName>
    <definedName name="AutoCycle_EBIT">MODEL!#REF!</definedName>
    <definedName name="AutoCycle_EBITMargin" localSheetId="19">#REF!</definedName>
    <definedName name="AutoCycle_EBITMargin">Divisionals!#REF!</definedName>
    <definedName name="AutoCycle_Sales">MODEL!#REF!</definedName>
    <definedName name="Ave_Dil_No_Shares">#REF!</definedName>
    <definedName name="Ave_equity">#REF!</definedName>
    <definedName name="average_assets">#REF!</definedName>
    <definedName name="Average_Capital_Employed1999">#REF!</definedName>
    <definedName name="Average_Capital_Employed2000">#REF!</definedName>
    <definedName name="Average_Capital_Employed2001">#REF!</definedName>
    <definedName name="Average_Capital_Employed2002">#REF!</definedName>
    <definedName name="Average_Capital_Employed2003">#REF!</definedName>
    <definedName name="average_equity">#REF!</definedName>
    <definedName name="Average_equity_including_prefs">#REF!</definedName>
    <definedName name="average_gross_loans">#REF!</definedName>
    <definedName name="Avg_Funds_Employed">MODEL!#REF!</definedName>
    <definedName name="Bad_Doubtful_Debts_Expense">#REF!</definedName>
    <definedName name="Balance_of_franking_credits">#REF!</definedName>
    <definedName name="BaseYear">#REF!</definedName>
    <definedName name="bbbbbbbbbbbbbb">#REF!</definedName>
    <definedName name="BCF_Avg_Sales_Store">Divisionals!$147:$147</definedName>
    <definedName name="BCF_EBIT">Divisionals!$293:$293</definedName>
    <definedName name="BCF_Expenses" localSheetId="19">#REF!</definedName>
    <definedName name="BCF_Expenses">Divisionals!#REF!</definedName>
    <definedName name="BCF_GP">Divisionals!$272:$272</definedName>
    <definedName name="BCF_Sales">Divisionals!$152:$152</definedName>
    <definedName name="BCF_Stores">Divisionals!$178:$178</definedName>
    <definedName name="belnew" hidden="1">{"IS",#N/A,FALSE,"IS";"RPTIS",#N/A,FALSE,"RPTIS";"STATS",#N/A,FALSE,"STATS";"CELL",#N/A,FALSE,"CELL";"BS",#N/A,FALSE,"BS"}</definedName>
    <definedName name="BETA" localSheetId="1">#REF!</definedName>
    <definedName name="BETA" localSheetId="12">#REF!</definedName>
    <definedName name="BETA">#REF!</definedName>
    <definedName name="BeyondFCF" localSheetId="1">#REF!</definedName>
    <definedName name="BeyondFCF" localSheetId="12">#REF!</definedName>
    <definedName name="BeyondFCF">#REF!</definedName>
    <definedName name="Big_w_EBIT">#REF!</definedName>
    <definedName name="BLUE" hidden="1">{#N/A,#N/A,FALSE,"Barranca"}</definedName>
    <definedName name="BLUE1" hidden="1">{#N/A,#N/A,FALSE,"Total";#N/A,#N/A,FALSE,"Sew";#N/A,#N/A,FALSE,"Finish";#N/A,#N/A,FALSE,"CUT";#N/A,#N/A,FALSE,"Mill 5";#N/A,#N/A,FALSE,"Mill 6";#N/A,#N/A,FALSE,"Mill 8";#N/A,#N/A,FALSE,"Mill 9";#N/A,#N/A,FALSE,"Mill 10";#N/A,#N/A,FALSE,"Mill 12";#N/A,#N/A,FALSE,"Mill 15";#N/A,#N/A,FALSE,"Mill 17"}</definedName>
    <definedName name="Bond_Cash_Yield">#REF!</definedName>
    <definedName name="Borrowings_current" localSheetId="5">#REF!</definedName>
    <definedName name="Borrowings_current">MODEL!$168:$168</definedName>
    <definedName name="Borrowings_incurred">MODEL!$122:$122</definedName>
    <definedName name="Borrowings_incurred_repaid">#REF!</definedName>
    <definedName name="Borrowings_non_current" localSheetId="5">#REF!</definedName>
    <definedName name="Borrowings_non_current">MODEL!$176:$176</definedName>
    <definedName name="Borrowings1999">#REF!</definedName>
    <definedName name="Borrowings2000">#REF!</definedName>
    <definedName name="Borrowings2001">#REF!</definedName>
    <definedName name="Borrowings2002">#REF!</definedName>
    <definedName name="Borrowings2003">#REF!</definedName>
    <definedName name="borrowingsincurredrepaid">#REF!</definedName>
    <definedName name="BS_Total_CA" localSheetId="5">#REF!</definedName>
    <definedName name="BS_Total_CA">#REF!</definedName>
    <definedName name="BV">#REF!</definedName>
    <definedName name="BVPS" localSheetId="5">#REF!</definedName>
    <definedName name="BVPS">#REF!</definedName>
    <definedName name="cagnew" hidden="1">{"IS",#N/A,FALSE,"IS";"RPTIS",#N/A,FALSE,"RPTIS";"STATS",#N/A,FALSE,"STATS";"CELL",#N/A,FALSE,"CELL";"BS",#N/A,FALSE,"BS"}</definedName>
    <definedName name="cansatchurn1">#REF!</definedName>
    <definedName name="cansatchurn2">#REF!</definedName>
    <definedName name="cansatg2">#REF!</definedName>
    <definedName name="cansatstbhome">#REF!</definedName>
    <definedName name="cansatstbhomeg2">#REF!</definedName>
    <definedName name="cansatsub">#REF!</definedName>
    <definedName name="CAP_AVE_01" localSheetId="1">#REF!</definedName>
    <definedName name="CAP_AVE_01" localSheetId="12">#REF!</definedName>
    <definedName name="CAP_AVE_01">#REF!</definedName>
    <definedName name="Cap_Leases" localSheetId="12">#REF!</definedName>
    <definedName name="Cap_Leases">'Additional Detail'!$76:$76</definedName>
    <definedName name="CAP_YE_01" localSheetId="1">#REF!</definedName>
    <definedName name="CAP_YE_01" localSheetId="12">#REF!</definedName>
    <definedName name="CAP_YE_01">#REF!</definedName>
    <definedName name="CAPE_BPPS_02">#REF!</definedName>
    <definedName name="CAPE_BPPS_03">#REF!</definedName>
    <definedName name="CAPE_BPPS_04">#REF!</definedName>
    <definedName name="capex" localSheetId="1">#REF!</definedName>
    <definedName name="capex" localSheetId="19">#REF!</definedName>
    <definedName name="capex" localSheetId="5">#REF!</definedName>
    <definedName name="capex">MODEL!$114:$114</definedName>
    <definedName name="Capex_expansion">#REF!</definedName>
    <definedName name="Capex_maintenance">#REF!</definedName>
    <definedName name="capexexpansion">#REF!</definedName>
    <definedName name="capexmaintenance">#REF!</definedName>
    <definedName name="capital_tier_1">#REF!</definedName>
    <definedName name="capital_tier_2">#REF!</definedName>
    <definedName name="cash" localSheetId="5">#REF!</definedName>
    <definedName name="Cash">MODEL!$150:$150</definedName>
    <definedName name="Cash_And_Equivs1999">#REF!</definedName>
    <definedName name="Cash_And_Equivs2000">#REF!</definedName>
    <definedName name="Cash_And_Equivs2001">#REF!</definedName>
    <definedName name="Cash_And_Equivs2002">#REF!</definedName>
    <definedName name="Cash_And_Equivs2003">#REF!</definedName>
    <definedName name="Cash_deposits">MODEL!$150:$150</definedName>
    <definedName name="Cash_rate">#REF!</definedName>
    <definedName name="CashFlowFX" localSheetId="12">#REF!</definedName>
    <definedName name="CashFlowFX">'Additional Detail'!$72:$72</definedName>
    <definedName name="Category">#REF!</definedName>
    <definedName name="CD">#REF!</definedName>
    <definedName name="cdaf" hidden="1">{#N/A,#N/A,FALSE,"Sheet1";#N/A,#N/A,FALSE,"Sheet2";#N/A,#N/A,FALSE,"Sheet3";#N/A,#N/A,FALSE,"Sheet4";#N/A,#N/A,FALSE,"Sheet5";#N/A,#N/A,FALSE,"Sheet6"}</definedName>
    <definedName name="Cf_Dividends_Received1999">#REF!</definedName>
    <definedName name="Cf_Dividends_Received2000">#REF!</definedName>
    <definedName name="Cf_Dividends_Received2001">#REF!</definedName>
    <definedName name="Cf_Dividends_Received2002">#REF!</definedName>
    <definedName name="Cf_Dividends_Received2003">#REF!</definedName>
    <definedName name="CF_FX_Adj" localSheetId="5">#REF!</definedName>
    <definedName name="CF_FX_Adj">#REF!</definedName>
    <definedName name="CF_Net_Interest_Exp">#REF!</definedName>
    <definedName name="CFPS">MODEL!#REF!</definedName>
    <definedName name="CFS_FX">#REF!</definedName>
    <definedName name="Change_In_Work_Cap1999">#REF!</definedName>
    <definedName name="Change_in_working_capital">MODEL!$196:$196</definedName>
    <definedName name="changeincash">#REF!</definedName>
    <definedName name="changeinworkingcapital">#REF!</definedName>
    <definedName name="changeinworkingcapitaldcf">#REF!</definedName>
    <definedName name="Claims_Incurred">#REF!</definedName>
    <definedName name="Closing_issued_shares" localSheetId="5">#REF!</definedName>
    <definedName name="Closing_issued_shares">#REF!</definedName>
    <definedName name="CN">#REF!</definedName>
    <definedName name="Code">#REF!</definedName>
    <definedName name="code.GetProfileBook">#REF!</definedName>
    <definedName name="Code_12M">#REF!</definedName>
    <definedName name="code_1m">#REF!</definedName>
    <definedName name="Code_3M">#REF!</definedName>
    <definedName name="Code_YearNow">#REF!</definedName>
    <definedName name="COE_AMP">#REF!</definedName>
    <definedName name="COE_AXA">#REF!</definedName>
    <definedName name="COE_NRM">#REF!</definedName>
    <definedName name="COE_QBE">#REF!</definedName>
    <definedName name="COE_TWR">#REF!</definedName>
    <definedName name="COGS" localSheetId="5">#REF!</definedName>
    <definedName name="COGS">#REF!</definedName>
    <definedName name="COGS_ROW">'Additional Detail'!$85:$85</definedName>
    <definedName name="COGS_US">'Additional Detail'!$84:$84</definedName>
    <definedName name="Company">#REF!</definedName>
    <definedName name="company_eps">#REF!</definedName>
    <definedName name="consolidatedpretaxprofit">#REF!</definedName>
    <definedName name="consolnpat">#REF!</definedName>
    <definedName name="cont_lu">#REF!</definedName>
    <definedName name="Conv">#REF!</definedName>
    <definedName name="Converting_preference_dividends">#REF!</definedName>
    <definedName name="core_tier1">#REF!</definedName>
    <definedName name="Core_tier1_ratio">#REF!</definedName>
    <definedName name="corp_EBIT" localSheetId="5">#REF!</definedName>
    <definedName name="corp_EBIT">#REF!</definedName>
    <definedName name="Corporate" localSheetId="5">#REF!</definedName>
    <definedName name="Corporate">#REF!</definedName>
    <definedName name="COS">MODEL!$9:$9</definedName>
    <definedName name="Cost_Equity">#REF!</definedName>
    <definedName name="cost_income">#REF!</definedName>
    <definedName name="Cost_of_Sales">#REF!</definedName>
    <definedName name="CostDebt" localSheetId="1">#REF!</definedName>
    <definedName name="CostDebt" localSheetId="12">#REF!</definedName>
    <definedName name="CostDebt">#REF!</definedName>
    <definedName name="CostEquity" localSheetId="1">#REF!</definedName>
    <definedName name="CostEquity" localSheetId="12">#REF!</definedName>
    <definedName name="CostEquity">#REF!</definedName>
    <definedName name="Creditor_Days">Divisionals!#REF!</definedName>
    <definedName name="Creditors1999">#REF!</definedName>
    <definedName name="Creditors2000">#REF!</definedName>
    <definedName name="Creditors2001">#REF!</definedName>
    <definedName name="Creditors2002">#REF!</definedName>
    <definedName name="Creditors2003">#REF!</definedName>
    <definedName name="cs">#REF!</definedName>
    <definedName name="CurrencyList">#REF!</definedName>
    <definedName name="current_borrowings" localSheetId="5">#REF!</definedName>
    <definedName name="Current_borrowings">#REF!</definedName>
    <definedName name="Current_Date">#REF!</definedName>
    <definedName name="Current_investments" localSheetId="5">#REF!</definedName>
    <definedName name="Current_investments">#REF!</definedName>
    <definedName name="current_options">#REF!</definedName>
    <definedName name="Current_price">#REF!</definedName>
    <definedName name="Current_provisions" localSheetId="5">#REF!</definedName>
    <definedName name="Current_provisions">#REF!</definedName>
    <definedName name="currentL_provisions">#REF!</definedName>
    <definedName name="CurrentSO">#REF!</definedName>
    <definedName name="currr">#REF!</definedName>
    <definedName name="CV">#REF!</definedName>
    <definedName name="Cwvu.Full_Year." hidden="1">#REF!,#REF!</definedName>
    <definedName name="Cwvu.GREY_ALL." hidden="1">#REF!</definedName>
    <definedName name="Cwvu.Half._.year._.forecast." localSheetId="6" hidden="1">MODEL!#REF!,MODEL!#REF!,MODEL!#REF!,MODEL!#REF!,MODEL!#REF!,MODEL!#REF!,MODEL!#REF!,MODEL!#REF!,MODEL!#REF!,MODEL!#REF!,MODEL!#REF!,MODEL!#REF!</definedName>
    <definedName name="Cwvu.Printout." localSheetId="6" hidden="1">MODEL!#REF!,MODEL!#REF!,MODEL!#REF!,MODEL!#REF!,MODEL!#REF!,MODEL!#REF!,MODEL!#REF!,MODEL!#REF!,MODEL!#REF!,MODEL!#REF!,MODEL!#REF!,MODEL!#REF!,MODEL!#REF!,MODEL!#REF!,MODEL!#REF!,MODEL!#REF!</definedName>
    <definedName name="Cwvu.Summary." hidden="1">#REF!,#REF!,#REF!,#REF!</definedName>
    <definedName name="CYR">"JANUARY 1, 2000"</definedName>
    <definedName name="DAC_current">#REF!</definedName>
    <definedName name="_xlnm.Database">#REF!</definedName>
    <definedName name="DateHeader">#REF!</definedName>
    <definedName name="Dates">OFFSET(#REF!,0,0,1,COUNT(#REF!))</definedName>
    <definedName name="DCF_BASE" localSheetId="12">#REF!</definedName>
    <definedName name="DCF_BASE">#REF!</definedName>
    <definedName name="DCF_INF" localSheetId="1">#REF!</definedName>
    <definedName name="DCF_INF" localSheetId="12">#REF!</definedName>
    <definedName name="DCF_INF">#REF!</definedName>
    <definedName name="DCF_OPTION" localSheetId="1">#REF!</definedName>
    <definedName name="DCF_OPTION" localSheetId="12">#REF!</definedName>
    <definedName name="DCF_OPTION">#REF!</definedName>
    <definedName name="DCF_Result" localSheetId="1">#REF!</definedName>
    <definedName name="DCF_Result" localSheetId="12">#REF!</definedName>
    <definedName name="DCF_Result">#REF!</definedName>
    <definedName name="DCF_WACC" localSheetId="1">#REF!</definedName>
    <definedName name="DCF_WACC" localSheetId="12">#REF!</definedName>
    <definedName name="DCF_WACC">#REF!</definedName>
    <definedName name="DCFCurrent">#REF!</definedName>
    <definedName name="DDA_FA_EXP1999">#REF!</definedName>
    <definedName name="DDA_FA_EXP2000">#REF!</definedName>
    <definedName name="DDA_FA_EXP2001">#REF!</definedName>
    <definedName name="DDA_FA_EXP2002">#REF!</definedName>
    <definedName name="DDA_FA_EXP2003">#REF!</definedName>
    <definedName name="ddd" hidden="1">{#N/A,#N/A,FALSE,"FAB VENDORS";"BUD SUM",#N/A,FALSE,"BUD SUM WO TEX"}</definedName>
    <definedName name="DDE" localSheetId="1">#REF!</definedName>
    <definedName name="DDE" localSheetId="12">#REF!</definedName>
    <definedName name="DDE">#REF!</definedName>
    <definedName name="debt_10">#REF!</definedName>
    <definedName name="debt_11">#REF!</definedName>
    <definedName name="debt_12">#REF!</definedName>
    <definedName name="debt_13">#REF!</definedName>
    <definedName name="debt_14">#REF!</definedName>
    <definedName name="debt_15">#REF!</definedName>
    <definedName name="debt_16">#REF!</definedName>
    <definedName name="debt_17">#REF!</definedName>
    <definedName name="debt_2">#REF!</definedName>
    <definedName name="debt_3">#REF!</definedName>
    <definedName name="debt_4">#REF!</definedName>
    <definedName name="debt_5">#REF!</definedName>
    <definedName name="debt_6">#REF!</definedName>
    <definedName name="debt_7">#REF!</definedName>
    <definedName name="debt_8">#REF!</definedName>
    <definedName name="debt_9">#REF!</definedName>
    <definedName name="Debt_equity" localSheetId="5">#REF!</definedName>
    <definedName name="Debt_equity">MODEL!#REF!</definedName>
    <definedName name="Debtor_Days">Divisionals!#REF!</definedName>
    <definedName name="Debtors">#REF!</definedName>
    <definedName name="Debtors_turnover">MODEL!#REF!</definedName>
    <definedName name="debtors1999">#REF!</definedName>
    <definedName name="debtors2000">#REF!</definedName>
    <definedName name="debtors2001">#REF!</definedName>
    <definedName name="debtors2002">#REF!</definedName>
    <definedName name="debtors2003">#REF!</definedName>
    <definedName name="Deferred_income_tax_provision" localSheetId="5">#REF!</definedName>
    <definedName name="Deferred_income_tax_provision">MODEL!$178:$178</definedName>
    <definedName name="Deferred_Tax_Asset">#REF!</definedName>
    <definedName name="dep_amort">#REF!</definedName>
    <definedName name="DepAmortExp_01" localSheetId="1">#REF!</definedName>
    <definedName name="DepAmortExp_01" localSheetId="12">#REF!</definedName>
    <definedName name="DepAmortExp_01">#REF!</definedName>
    <definedName name="Depn_and_Amortn" localSheetId="5">#REF!</definedName>
    <definedName name="Depn_and_Amortn">#REF!</definedName>
    <definedName name="DeprAmort">#REF!</definedName>
    <definedName name="Depreciation" localSheetId="1">#REF!</definedName>
    <definedName name="Depreciation" localSheetId="19">#REF!</definedName>
    <definedName name="depreciation" localSheetId="5">#REF!</definedName>
    <definedName name="Depreciation" localSheetId="12">#REF!</definedName>
    <definedName name="Depreciation">MODEL!$106:$106</definedName>
    <definedName name="Depreciation_amortisation" localSheetId="5">#REF!</definedName>
    <definedName name="Depreciation_amortisation">'Additional Detail'!$43:$43</definedName>
    <definedName name="Depreciation_CFS">#REF!</definedName>
    <definedName name="Depreciation_USA">#REF!</definedName>
    <definedName name="displayyy">#REF!</definedName>
    <definedName name="Dividend_income">#REF!</definedName>
    <definedName name="Dividend_payout">MODEL!$55:$55</definedName>
    <definedName name="Dividends_paid">MODEL!$125:$125</definedName>
    <definedName name="Dividends_Paid1999">#REF!</definedName>
    <definedName name="Dividends_Paid2000">#REF!</definedName>
    <definedName name="Dividends_Paid2001">#REF!</definedName>
    <definedName name="Dividends_Paid2002">#REF!</definedName>
    <definedName name="Dividends_Paid2003">#REF!</definedName>
    <definedName name="dividendsfrominvestments">#REF!</definedName>
    <definedName name="dividendspaid">#REF!</definedName>
    <definedName name="divisionals" localSheetId="19">#REF!</definedName>
    <definedName name="divisionals">Divisionals!$1:$1048576</definedName>
    <definedName name="Divisions">Divisionals!$A:$BD</definedName>
    <definedName name="Dotti_EBITA">#REF!</definedName>
    <definedName name="Dotti_Sales">#REF!</definedName>
    <definedName name="Dotti_Stores" localSheetId="5">#REF!</definedName>
    <definedName name="Dotti_Stores">#REF!</definedName>
    <definedName name="DPS" localSheetId="5">#REF!</definedName>
    <definedName name="DPS">MODEL!$56:$56</definedName>
    <definedName name="DPS_special">#REF!</definedName>
    <definedName name="DS" localSheetId="5" hidden="1">{"Full_Year",#N/A,FALSE,"PE1_S";#N/A,#N/A,FALSE,"DIVIS_S"}</definedName>
    <definedName name="DS" hidden="1">{"Full_Year",#N/A,FALSE,"PE1_S";#N/A,#N/A,FALSE,"DIVIS_S"}</definedName>
    <definedName name="E_ALL_ALU.AX">#REF!</definedName>
    <definedName name="E_ALL_APT.AX">#REF!</definedName>
    <definedName name="E_ALL_AX1.AX">#REF!</definedName>
    <definedName name="E_ALL_CCX.AX">#REF!</definedName>
    <definedName name="E_ALL_KEYWORDS_TYPE_ScalarContributed_EQTY_200004992">#REF!,#REF!,#REF!,#REF!,#REF!,#REF!,#REF!,#REF!,#REF!,#REF!</definedName>
    <definedName name="E_ALL_KEYWORDS_TYPE_ScalarContributed_EQTY_200014091">#REF!,#REF!,#REF!,#REF!,#REF!,#REF!,#REF!</definedName>
    <definedName name="E_ALL_KEYWORDS_TYPE_ScalarContributed_EQTY_200014125" localSheetId="5">#REF!,#REF!,#REF!,#REF!,#REF!,#REF!,#REF!</definedName>
    <definedName name="E_ALL_KEYWORDS_TYPE_ScalarContributed_EQTY_200014125">#REF!,#REF!,#REF!,#REF!,#REF!,#REF!,#REF!</definedName>
    <definedName name="E_ALL_KEYWORDS_TYPE_ScalarContributed_EQTY_200014619">#REF!,#REF!,#REF!,#REF!,#REF!,#REF!,#REF!,#REF!</definedName>
    <definedName name="E_ALL_KEYWORDS_TYPE_ScalarContributed_EQTY_200019441">#REF!,#REF!,#REF!,#REF!,#REF!,#REF!,#REF!</definedName>
    <definedName name="E_ALL_KEYWORDS_TYPE_ScalarContributed_ISSR_208010809">#REF!,#REF!</definedName>
    <definedName name="E_ALL_KEYWORDS_TYPE_ScalarContributed_ISSR_208011369">#REF!,#REF!,#REF!</definedName>
    <definedName name="E_ALL_KEYWORDS_TYPE_ScalarContributed_ISSR_208015541">#REF!,#REF!</definedName>
    <definedName name="E_ALL_KEYWORDS_TYPE_ScalarContributed_ISSR_208017888">#REF!,#REF!,#REF!</definedName>
    <definedName name="E_ALL_KEYWORDS_TYPE_ScalarReference_EQTY_200014091">#REF!</definedName>
    <definedName name="E_ALL_KEYWORDS_TYPE_ScalarReference_ISSR_208010809">#REF!</definedName>
    <definedName name="E_ALL_KEYWORDS_TYPE_Vector_EQTY_200004992">#REF!,#REF!,#REF!,#REF!,#REF!,#REF!,#REF!,#REF!,#REF!,#REF!,#REF!,#REF!,#REF!</definedName>
    <definedName name="E_ALL_KEYWORDS_TYPE_Vector_EQTY_200014091">#REF!,#REF!,#REF!,#REF!,#REF!,#REF!,#REF!,#REF!,#REF!,#REF!,#REF!,#REF!,#REF!</definedName>
    <definedName name="E_ALL_KEYWORDS_TYPE_Vector_EQTY_200014125" localSheetId="5">#REF!,#REF!,#REF!,#REF!,#REF!,#REF!,#REF!,#REF!,#REF!,#REF!,#REF!,#REF!,#REF!</definedName>
    <definedName name="E_ALL_KEYWORDS_TYPE_Vector_EQTY_200014125">#REF!,#REF!,#REF!,#REF!,#REF!,#REF!,#REF!,#REF!,#REF!,#REF!,#REF!,#REF!,#REF!</definedName>
    <definedName name="E_ALL_KEYWORDS_TYPE_Vector_EQTY_200014619">#REF!,#REF!,#REF!,#REF!,#REF!,#REF!,#REF!,#REF!,#REF!,#REF!,#REF!,#REF!,#REF!</definedName>
    <definedName name="E_ALL_KEYWORDS_TYPE_Vector_EQTY_200017878">#REF!,#REF!,#REF!,#REF!,#REF!,#REF!,#REF!,#REF!,#REF!,#REF!,#REF!,#REF!,#REF!</definedName>
    <definedName name="E_ALL_KEYWORDS_TYPE_Vector_EQTY_200018702">#REF!,#REF!,#REF!,#REF!,#REF!,#REF!,#REF!,#REF!,#REF!,#REF!,#REF!,#REF!,#REF!</definedName>
    <definedName name="E_ALL_KEYWORDS_TYPE_Vector_EQTY_200019441">#REF!,#REF!,#REF!,#REF!,#REF!,#REF!,#REF!,#REF!,#REF!,#REF!,#REF!,#REF!,#REF!</definedName>
    <definedName name="E_ALL_KEYWORDS_TYPE_Vector_ISSR_208005522">#REF!,#REF!,#REF!,#REF!,#REF!,#REF!,#REF!,#REF!,#REF!,#REF!,#REF!,#REF!,#REF!,#REF!,#REF!,#REF!,#REF!,#REF!,#REF!,#REF!,#REF!,#REF!,#REF!,#REF!,#REF!</definedName>
    <definedName name="E_ALL_KEYWORDS_TYPE_Vector_ISSR_208010826" localSheetId="5">#REF!,#REF!,#REF!,#REF!,#REF!,#REF!,#REF!,#REF!,#REF!,#REF!,#REF!,#REF!,#REF!,#REF!,#REF!,#REF!,#REF!,#REF!,#REF!,#REF!,#REF!,#REF!,#REF!,#REF!</definedName>
    <definedName name="E_ALL_KEYWORDS_TYPE_Vector_ISSR_208010826">#REF!,#REF!,#REF!,#REF!,#REF!,#REF!,#REF!,#REF!,#REF!,#REF!,#REF!,#REF!,#REF!,#REF!,#REF!,#REF!,#REF!,#REF!,#REF!,#REF!,#REF!,#REF!,#REF!,#REF!</definedName>
    <definedName name="E_ALL_KEYWORDS_TYPE_Vector_ISSR_208011369">#REF!,#REF!,#REF!,#REF!,#REF!,#REF!,#REF!,#REF!,#REF!,#REF!,#REF!,#REF!,#REF!,#REF!,#REF!,#REF!,#REF!,#REF!,#REF!</definedName>
    <definedName name="E_ALL_KEYWORDS_TYPE_Vector_ISSR_208013265">#REF!,#REF!,#REF!,#REF!,#REF!,#REF!,#REF!,#REF!,#REF!,#REF!,#REF!,#REF!,#REF!,#REF!,#REF!,#REF!,#REF!,#REF!,#REF!,#REF!,#REF!,#REF!,#REF!,#REF!,#REF!,#REF!,#REF!,#REF!,#REF!,#REF!,#REF!,#REF!,#REF!,#REF!,#REF!,#REF!,#REF!</definedName>
    <definedName name="E_ALL_KEYWORDS_TYPE_Vector_ISSR_208015541">#REF!,#REF!,#REF!,#REF!,#REF!,#REF!,#REF!,#REF!,#REF!,#REF!,#REF!,#REF!,#REF!,#REF!,#REF!,#REF!,#REF!,#REF!,#REF!,#REF!,#REF!</definedName>
    <definedName name="E_ALL_KEYWORDS_TYPE_Vector_ISSR_208015712">#REF!,#REF!,#REF!,#REF!,#REF!,#REF!,#REF!,#REF!,#REF!,#REF!,#REF!,#REF!,#REF!,#REF!,#REF!,#REF!,#REF!,#REF!</definedName>
    <definedName name="E_ALL_KEYWORDS_TYPE_Vector_ISSR_208017888">#REF!,#REF!,#REF!,#REF!,#REF!,#REF!,#REF!,#REF!,#REF!,#REF!,#REF!,#REF!,#REF!,#REF!,#REF!,#REF!,#REF!,#REF!,#REF!</definedName>
    <definedName name="E_ALL_KEYWORDS_TYPE_Vector_ISSR_208019950">#REF!,#REF!,#REF!,#REF!,#REF!,#REF!,#REF!,#REF!,#REF!,#REF!,#REF!,#REF!,#REF!,#REF!,#REF!,#REF!,#REF!,#REF!</definedName>
    <definedName name="E_ALL_LOV.AX">#REF!</definedName>
    <definedName name="E_ALL_NEA.AX">#REF!</definedName>
    <definedName name="E_ALL_NWL.AX">#REF!</definedName>
    <definedName name="E_ALL_NXT.AX">#REF!</definedName>
    <definedName name="E_ALL_PEP.AX">#REF!</definedName>
    <definedName name="E_ALL_PMV.AX" localSheetId="5">#REF!</definedName>
    <definedName name="E_ALL_PMV.AX">#REF!</definedName>
    <definedName name="E_ALL_SECTION_KEYWORDS_EQTY_200014091_1314">#REF!</definedName>
    <definedName name="E_ALL_SECTION_KEYWORDS_EQTY_200014091_1316A">#REF!</definedName>
    <definedName name="E_ALL_SECTION_KEYWORDS_EQTY_200014091_1316B">#REF!</definedName>
    <definedName name="E_ALL_SECTION_KEYWORDS_EQTY_200014091_1316C">#REF!</definedName>
    <definedName name="E_ALL_SECTION_KEYWORDS_EQTY_200014091_1316D">#REF!</definedName>
    <definedName name="E_ALL_SECTION_KEYWORDS_EQTY_200014091_1316E">#REF!</definedName>
    <definedName name="E_ALL_SECTION_KEYWORDS_EQTY_200014091_131E">#REF!</definedName>
    <definedName name="E_ALL_SECTION_KEYWORDS_EQTY_200014091_131O">#REF!</definedName>
    <definedName name="E_ALL_SECTION_KEYWORDS_EQTY_200014091_13A">#REF!</definedName>
    <definedName name="E_ALL_SECTION_KEYWORDS_EQTY_200014091_13K">#REF!</definedName>
    <definedName name="E_ALL_SECTION_KEYWORDS_EQTY_200014091_13U">#REF!</definedName>
    <definedName name="E_ALL_SECTION_KEYWORDS_EQTY_200014091_13V">#REF!</definedName>
    <definedName name="E_ALL_SECTION_KEYWORDS_EQTY_200014091_Reference_Data">#REF!</definedName>
    <definedName name="E_ALL_SECTION_KEYWORDS_ISSR_208010809_1314">#REF!</definedName>
    <definedName name="E_ALL_SECTION_KEYWORDS_ISSR_208010809_13168">#REF!</definedName>
    <definedName name="E_ALL_SECTION_KEYWORDS_ISSR_208010809_1316B">#REF!</definedName>
    <definedName name="E_ALL_SECTION_KEYWORDS_ISSR_208010809_1316C">#REF!</definedName>
    <definedName name="E_ALL_SECTION_KEYWORDS_ISSR_208010809_1316D">#REF!</definedName>
    <definedName name="E_ALL_SECTION_KEYWORDS_ISSR_208010809_1316E">#REF!</definedName>
    <definedName name="E_ALL_SECTION_KEYWORDS_ISSR_208010809_1316S">#REF!</definedName>
    <definedName name="E_ALL_SECTION_KEYWORDS_ISSR_208010809_1316T">#REF!</definedName>
    <definedName name="E_ALL_SECTION_KEYWORDS_ISSR_208010809_1316U">#REF!</definedName>
    <definedName name="E_ALL_SECTION_KEYWORDS_ISSR_208010809_1319">#REF!</definedName>
    <definedName name="E_ALL_SECTION_KEYWORDS_ISSR_208010809_131E">#REF!</definedName>
    <definedName name="E_ALL_SECTION_KEYWORDS_ISSR_208010809_131J">#REF!</definedName>
    <definedName name="E_ALL_SECTION_KEYWORDS_ISSR_208010809_131O">#REF!</definedName>
    <definedName name="E_ALL_SECTION_KEYWORDS_ISSR_208010809_136J">#REF!</definedName>
    <definedName name="E_ALL_SECTION_KEYWORDS_ISSR_208010809_13U">#REF!</definedName>
    <definedName name="E_ALL_SECTION_KEYWORDS_ISSR_208010809_13V">#REF!</definedName>
    <definedName name="E_ALL_SECTION_KEYWORDS_ISSR_208010809_Reference_Data">#REF!</definedName>
    <definedName name="E_ALL_SECTION_KEYWORDS_ISSR_208010826_136J" localSheetId="5">#REF!,#REF!</definedName>
    <definedName name="E_ALL_SECTION_KEYWORDS_ISSR_208010826_136J">#REF!,#REF!</definedName>
    <definedName name="E_ALL_SECTION_KEYWORDS_ISSR_208011369_13A">#REF!,#REF!</definedName>
    <definedName name="E_ALL_SECTION_KEYWORDS_ISSR_208011369_13V">#REF!,#REF!</definedName>
    <definedName name="E_ALL_SECTION_KEYWORDS_ISSR_208015541_1314">#REF!,#REF!</definedName>
    <definedName name="E_ALL_SECTION_KEYWORDS_ISSR_208015541_136E">#REF!,#REF!</definedName>
    <definedName name="E_ALL_SECTION_KEYWORDS_ISSR_208015541_13A">#REF!,#REF!</definedName>
    <definedName name="E_ALL_SECTION_KEYWORDS_ISSR_208015541_13V">#REF!,#REF!</definedName>
    <definedName name="E_ALL_SECTION_KEYWORDS_ISSR_208015712_136J">#REF!,#REF!</definedName>
    <definedName name="E_ALL_SECTION_KEYWORDS_ISSR_208016534_136J">#REF!,#REF!</definedName>
    <definedName name="E_ALL_SECTION_KEYWORDS_ISSR_208017888_13V">#REF!,#REF!</definedName>
    <definedName name="E_ALL_SECTIONS_EQTY_200014619">#REF!,#REF!,#REF!,#REF!,#REF!,#REF!,#REF!,#REF!,#REF!,#REF!,#REF!,#REF!,#REF!</definedName>
    <definedName name="E_ALL_SECTIONS_ISSR_208005522">#REF!,#REF!,#REF!,#REF!,#REF!,#REF!,#REF!,#REF!,#REF!,#REF!,#REF!,#REF!,#REF!,#REF!,#REF!,#REF!,#REF!,#REF!,#REF!,#REF!,#REF!,#REF!,#REF!,#REF!</definedName>
    <definedName name="E_ALL_SECTIONS_ISSR_208011369">#REF!,#REF!,#REF!,#REF!,#REF!,#REF!,#REF!,#REF!,#REF!,#REF!,#REF!,#REF!,#REF!,#REF!</definedName>
    <definedName name="E_ALL_SUL.AX" localSheetId="19">#REF!</definedName>
    <definedName name="E_ALL_SUL.AX">#REF!</definedName>
    <definedName name="E_ALL_TPW.AX">#REF!</definedName>
    <definedName name="E_ALL_TWE.AX" localSheetId="5">#REF!</definedName>
    <definedName name="E_ALL_TWE.AX">#REF!</definedName>
    <definedName name="E_ALL_UNI.AX">#REF!</definedName>
    <definedName name="E_CURRENCY_EQTY_200014091_PRI">#REF!</definedName>
    <definedName name="E_CURRENCY_EQTY_200014091_PUB">#REF!</definedName>
    <definedName name="E_CURRENCY_EQTY_200014091_REP">#REF!</definedName>
    <definedName name="E_CURRENCY_EQTY_200014125_PRI" localSheetId="5">#REF!</definedName>
    <definedName name="E_CURRENCY_EQTY_200014125_PRI">#REF!</definedName>
    <definedName name="E_CURRENCY_EQTY_200014125_PUB" localSheetId="5">#REF!</definedName>
    <definedName name="E_CURRENCY_EQTY_200014125_PUB">#REF!</definedName>
    <definedName name="E_CURRENCY_EQTY_200014125_REP" localSheetId="5">#REF!</definedName>
    <definedName name="E_CURRENCY_EQTY_200014125_REP">#REF!</definedName>
    <definedName name="E_CURRENCY_ISSR_208010809_REP">#REF!</definedName>
    <definedName name="E_CURRENCY_ISSR_208010826_REP" localSheetId="5">#REF!</definedName>
    <definedName name="E_CURRENCY_ISSR_208010826_REP">#REF!</definedName>
    <definedName name="E_KEYWORD_EQTY_200014091_ANZ_CONVICTION">#REF!</definedName>
    <definedName name="E_KEYWORD_EQTY_200014091_ANZ_LIST">#REF!</definedName>
    <definedName name="E_KEYWORD_EQTY_200014091_ASSET_SALES_GAIN_LOSS">#REF!</definedName>
    <definedName name="E_KEYWORD_EQTY_200014091_BASE_CASE_VAL_DCF">#REF!</definedName>
    <definedName name="E_KEYWORD_EQTY_200014091_BENEFITS_TAX_LOSSES">#REF!</definedName>
    <definedName name="E_KEYWORD_EQTY_200014091_BETA_ANALYST">#REF!</definedName>
    <definedName name="E_KEYWORD_EQTY_200014091_BVPS">#REF!</definedName>
    <definedName name="E_KEYWORD_EQTY_200014091_BVPS_PUB">#REF!</definedName>
    <definedName name="E_KEYWORD_EQTY_200014091_CATALYST1_DATE">#REF!</definedName>
    <definedName name="E_KEYWORD_EQTY_200014091_CATALYST1_EVENT">#REF!</definedName>
    <definedName name="E_KEYWORD_EQTY_200014091_CATALYST2_DATE">#REF!</definedName>
    <definedName name="E_KEYWORD_EQTY_200014091_CATALYST2_EVENT">#REF!</definedName>
    <definedName name="E_KEYWORD_EQTY_200014091_CATALYST3_DATE">#REF!</definedName>
    <definedName name="E_KEYWORD_EQTY_200014091_CATALYST3_EVENT">#REF!</definedName>
    <definedName name="E_KEYWORD_EQTY_200014091_CATALYST4_DATE">#REF!</definedName>
    <definedName name="E_KEYWORD_EQTY_200014091_CATALYST4_EVENT">#REF!</definedName>
    <definedName name="E_KEYWORD_EQTY_200014091_CATALYST5_DATE">#REF!</definedName>
    <definedName name="E_KEYWORD_EQTY_200014091_CATALYST5_EVENT">#REF!</definedName>
    <definedName name="E_KEYWORD_EQTY_200014091_CF_NI_PRE_PREF">#REF!</definedName>
    <definedName name="E_KEYWORD_EQTY_200014091_CF_OPS_SHARE_NZ">#REF!</definedName>
    <definedName name="E_KEYWORD_EQTY_200014091_COMMON_DIV_PAID">#REF!</definedName>
    <definedName name="E_KEYWORD_EQTY_200014091_CONVERTIBLE_NOTES">#REF!</definedName>
    <definedName name="E_KEYWORD_EQTY_200014091_COST_OF_EQUITY_DCF">#REF!</definedName>
    <definedName name="E_KEYWORD_EQTY_200014091_CUM_PRESENT_VAL_CASH_FLOWS_DCF">#REF!</definedName>
    <definedName name="E_KEYWORD_EQTY_200014091_CURRENCY_ISO">#REF!</definedName>
    <definedName name="E_KEYWORD_EQTY_200014091_DCF_CASH_FLOW">#REF!</definedName>
    <definedName name="E_KEYWORD_EQTY_200014091_DEBT_EQUITY">#REF!</definedName>
    <definedName name="E_KEYWORD_EQTY_200014091_DEBT_RISK_MARGIN_DCF">#REF!</definedName>
    <definedName name="E_KEYWORD_EQTY_200014091_DILUTE_SHARES">#REF!</definedName>
    <definedName name="E_KEYWORD_EQTY_200014091_DISCOUNT_FACTOR_DCF">#REF!</definedName>
    <definedName name="E_KEYWORD_EQTY_200014091_DPS">#REF!</definedName>
    <definedName name="E_KEYWORD_EQTY_200014091_DPS_PUB">#REF!</definedName>
    <definedName name="E_KEYWORD_EQTY_200014091_EBIT_PUB">#REF!</definedName>
    <definedName name="E_KEYWORD_EQTY_200014091_EBITDA_PUB">#REF!</definedName>
    <definedName name="E_KEYWORD_EQTY_200014091_EBITDAF">#REF!</definedName>
    <definedName name="E_KEYWORD_EQTY_200014091_EFPO">#REF!</definedName>
    <definedName name="E_KEYWORD_EQTY_200014091_EFPOWA">#REF!</definedName>
    <definedName name="E_KEYWORD_EQTY_200014091_EPS">#REF!</definedName>
    <definedName name="E_KEYWORD_EQTY_200014091_EPS_CONS_PUB">#REF!</definedName>
    <definedName name="E_KEYWORD_EQTY_200014091_EPS_FUL_DIL">#REF!</definedName>
    <definedName name="E_KEYWORD_EQTY_200014091_EPS_POST_BASIC">#REF!</definedName>
    <definedName name="E_KEYWORD_EQTY_200014091_EPS_PRE_GWILL">#REF!</definedName>
    <definedName name="E_KEYWORD_EQTY_200014091_EPS_PUB">#REF!</definedName>
    <definedName name="E_KEYWORD_EQTY_200014091_EPS_REPORTED">#REF!</definedName>
    <definedName name="E_KEYWORD_EQTY_200014091_EQ_PUB">#REF!</definedName>
    <definedName name="E_KEYWORD_EQTY_200014091_EQUITY_VALUE_DCF">#REF!</definedName>
    <definedName name="E_KEYWORD_EQTY_200014091_EV_ADJ_PUB">#REF!</definedName>
    <definedName name="E_KEYWORD_EQTY_200014091_FIN_INSTRUMENT_HEDGE_POST_TAX">#REF!</definedName>
    <definedName name="E_KEYWORD_EQTY_200014091_FINAL_DIV_AMOUNT">#REF!</definedName>
    <definedName name="E_KEYWORD_EQTY_200014091_FINAL_DIV_EXDATE">#REF!</definedName>
    <definedName name="E_KEYWORD_EQTY_200014091_FINAL_DIV_FRANK">#REF!</definedName>
    <definedName name="E_KEYWORD_EQTY_200014091_FINAL_DIV_TAXRATE">#REF!</definedName>
    <definedName name="E_KEYWORD_EQTY_200014091_FOREIGN_EXCHANGE_GAIN_LOSS">#REF!</definedName>
    <definedName name="E_KEYWORD_EQTY_200014091_FOREIGN_HOLDNG">#REF!</definedName>
    <definedName name="E_KEYWORD_EQTY_200014091_FRANK_TAX_RATE">#REF!</definedName>
    <definedName name="E_KEYWORD_EQTY_200014091_FRANKING">#REF!</definedName>
    <definedName name="E_KEYWORD_EQTY_200014091_FRANKING_ANZPUB">#REF!</definedName>
    <definedName name="E_KEYWORD_EQTY_200014091_FREE_FLOAT">#REF!</definedName>
    <definedName name="E_KEYWORD_EQTY_200014091_FULLY_DIL_EPS">#REF!</definedName>
    <definedName name="E_KEYWORD_EQTY_200014091_GWILL_ASSET_IMP_CHG_POST_TAX">#REF!</definedName>
    <definedName name="E_KEYWORD_EQTY_200014091_IMP_CREDITS_PER_SHARE_DCF">#REF!</definedName>
    <definedName name="E_KEYWORD_EQTY_200014091_INC_MINORITY">#REF!</definedName>
    <definedName name="E_KEYWORD_EQTY_200014091_INCTAX_PL_ON_AB">#REF!</definedName>
    <definedName name="E_KEYWORD_EQTY_200014091_INCTAX_PL_POST_AB">#REF!</definedName>
    <definedName name="E_KEYWORD_EQTY_200014091_INT_DIV_AMOUNT">#REF!</definedName>
    <definedName name="E_KEYWORD_EQTY_200014091_INT_DIV_EXDATE">#REF!</definedName>
    <definedName name="E_KEYWORD_EQTY_200014091_INT_DIV_FRANK">#REF!</definedName>
    <definedName name="E_KEYWORD_EQTY_200014091_INT_DIV_TAXRATE">#REF!</definedName>
    <definedName name="E_KEYWORD_EQTY_200014091_Interim_Type">#REF!</definedName>
    <definedName name="E_KEYWORD_EQTY_200014091_INTRINSIC_PER_SHARE_VALUE_DCF">#REF!</definedName>
    <definedName name="E_KEYWORD_EQTY_200014091_LEGAL_RATING">#REF!</definedName>
    <definedName name="E_KEYWORD_EQTY_200014091_MARGIN_TAX_RATE">#REF!</definedName>
    <definedName name="E_KEYWORD_EQTY_200014091_MARKET_VALUE_OF_INVESTMENTS_DCF">#REF!</definedName>
    <definedName name="E_KEYWORD_EQTY_200014091_MKT_EQ_RISK_PREM">#REF!</definedName>
    <definedName name="E_KEYWORD_EQTY_200014091_NET_DEBT_NET_CASH_DCF">#REF!</definedName>
    <definedName name="E_KEYWORD_EQTY_200014091_NET_DEBT_PUB">#REF!</definedName>
    <definedName name="E_KEYWORD_EQTY_200014091_NET_EARNING">#REF!</definedName>
    <definedName name="E_KEYWORD_EQTY_200014091_NET_INC">#REF!</definedName>
    <definedName name="E_KEYWORD_EQTY_200014091_NET_PROFIT">#REF!</definedName>
    <definedName name="E_KEYWORD_EQTY_200014091_NET_TANGIBLE_ASSETS_ADJUSTED_NZ">#REF!</definedName>
    <definedName name="E_KEYWORD_EQTY_200014091_NI_CONS">#REF!</definedName>
    <definedName name="E_KEYWORD_EQTY_200014091_NI_PRE_PREF">#REF!</definedName>
    <definedName name="E_KEYWORD_EQTY_200014091_NI_PUB">#REF!</definedName>
    <definedName name="E_KEYWORD_EQTY_200014091_NI_REPT_PUB">#REF!</definedName>
    <definedName name="E_KEYWORD_EQTY_200014091_NON_OP_ADD">#REF!</definedName>
    <definedName name="E_KEYWORD_EQTY_200014091_NOPAT">#REF!</definedName>
    <definedName name="E_KEYWORD_EQTY_200014091_NTA_PER_SHARE">#REF!</definedName>
    <definedName name="E_KEYWORD_EQTY_200014091_NUM_SH">#REF!</definedName>
    <definedName name="E_KEYWORD_EQTY_200014091_NZ_FRANKING">#REF!</definedName>
    <definedName name="E_KEYWORD_EQTY_200014091_OPPL_ATAX_POST_AB">#REF!</definedName>
    <definedName name="E_KEYWORD_EQTY_200014091_OPPL_ATAX_PRE_AB">#REF!</definedName>
    <definedName name="E_KEYWORD_EQTY_200014091_OPTIONS">#REF!</definedName>
    <definedName name="E_KEYWORD_EQTY_200014091_OTH_ASSET_IMPAIR_CHG_POST_TAX">#REF!</definedName>
    <definedName name="E_KEYWORD_EQTY_200014091_OTHER_ABNORMAL_ITEMS">#REF!</definedName>
    <definedName name="E_KEYWORD_EQTY_200014091_OTHER_CAPITAL">#REF!</definedName>
    <definedName name="E_KEYWORD_EQTY_200014091_OTHER_IFRS_ADJUST_POST_TAX">#REF!</definedName>
    <definedName name="E_KEYWORD_EQTY_200014091_PARTLY_PAID_SHARES">#REF!</definedName>
    <definedName name="E_KEYWORD_EQTY_200014091_PERPETUITY_GROWTH_RATE_DCF">#REF!</definedName>
    <definedName name="E_KEYWORD_EQTY_200014091_PREF_DIV">#REF!</definedName>
    <definedName name="E_KEYWORD_EQTY_200014091_PREFERENCE_SHARES">#REF!</definedName>
    <definedName name="E_KEYWORD_EQTY_200014091_PRESENT_VALUE_OF_CASH_FLOW_DCF">#REF!</definedName>
    <definedName name="E_KEYWORD_EQTY_200014091_PRI_TARG_METH">#REF!</definedName>
    <definedName name="E_KEYWORD_EQTY_200014091_PRI_TARG_MULT">#REF!</definedName>
    <definedName name="E_KEYWORD_EQTY_200014091_PRICE_CURRENCY_ISO">#REF!</definedName>
    <definedName name="E_KEYWORD_EQTY_200014091_PROF_ADJUST_EPS">#REF!</definedName>
    <definedName name="E_KEYWORD_EQTY_200014091_PROV_INC_TAX">#REF!</definedName>
    <definedName name="E_KEYWORD_EQTY_200014091_PTP_PUB">#REF!</definedName>
    <definedName name="E_KEYWORD_EQTY_200014091_PUB_CURRENCY_ISO">#REF!</definedName>
    <definedName name="E_KEYWORD_EQTY_200014091_RESTRUC_COSTS">#REF!</definedName>
    <definedName name="E_KEYWORD_EQTY_200014091_REVS_PUB">#REF!</definedName>
    <definedName name="E_KEYWORD_EQTY_200014091_RISK_ADJ_OPTION_VALUE_DCF">#REF!</definedName>
    <definedName name="E_KEYWORD_EQTY_200014091_RISK_FR_RATE">#REF!</definedName>
    <definedName name="E_KEYWORD_EQTY_200014091_RISK_TO_EARNINGS">#REF!</definedName>
    <definedName name="E_KEYWORD_EQTY_200014091_ROCE_ANZ">#REF!</definedName>
    <definedName name="E_KEYWORD_EQTY_200014091_Security_Name">#REF!</definedName>
    <definedName name="E_KEYWORD_EQTY_200014091_SH">#REF!</definedName>
    <definedName name="E_KEYWORD_EQTY_200014091_SHOLDERS_EQUITY_MBRS">#REF!</definedName>
    <definedName name="E_KEYWORD_EQTY_200014091_STD_FREE_OP_CASH_FLOW_DCF">#REF!</definedName>
    <definedName name="E_KEYWORD_EQTY_200014091_TARGET_PRICE">#REF!</definedName>
    <definedName name="E_KEYWORD_EQTY_200014091_TAX_EXC">#REF!</definedName>
    <definedName name="E_KEYWORD_EQTY_200014091_TAX_RATE_DCF">#REF!</definedName>
    <definedName name="E_KEYWORD_EQTY_200014091_TERMINAL_YEAR_DCF">#REF!</definedName>
    <definedName name="E_KEYWORD_EQTY_200014091_Ticker">#REF!</definedName>
    <definedName name="E_KEYWORD_EQTY_200014091_TOTAL_CAPITAL">#REF!</definedName>
    <definedName name="E_KEYWORD_EQTY_200014091_TOTAL_IFRS_ADJUST_POST_TAX">#REF!</definedName>
    <definedName name="E_KEYWORD_EQTY_200014091_TP_PERIOD">#REF!</definedName>
    <definedName name="E_KEYWORD_EQTY_200014091_WACC_DCF">#REF!</definedName>
    <definedName name="E_KEYWORD_EQTY_200014091_YEAR_END_CAPITAL_EVA">#REF!</definedName>
    <definedName name="E_KEYWORD_ISSR_208010809_ACC_AMORT">#REF!</definedName>
    <definedName name="E_KEYWORD_ISSR_208010809_ACC_DDA">#REF!</definedName>
    <definedName name="E_KEYWORD_ISSR_208010809_ACC_END_DATE">#REF!</definedName>
    <definedName name="E_KEYWORD_ISSR_208010809_ACC_PAY_GQ">#REF!</definedName>
    <definedName name="E_KEYWORD_ISSR_208010809_ACCESS_CONNECTION">#REF!</definedName>
    <definedName name="E_KEYWORD_ISSR_208010809_ACQ">#REF!</definedName>
    <definedName name="E_KEYWORD_ISSR_208010809_ADJ_UNF_PENS_GOOD">#REF!</definedName>
    <definedName name="E_KEYWORD_ISSR_208010809_AMORT_OF_INTANGIBLES">#REF!</definedName>
    <definedName name="E_KEYWORD_ISSR_208010809_AMORT_OF_INTANGIBLES_ADJ">#REF!</definedName>
    <definedName name="E_KEYWORD_ISSR_208010809_ASSOC_JV_ADDBK">#REF!</definedName>
    <definedName name="E_KEYWORD_ISSR_208010809_ASSOCIATE">#REF!</definedName>
    <definedName name="E_KEYWORD_ISSR_208010809_ASSOCIATE_OP">#REF!</definedName>
    <definedName name="E_KEYWORD_ISSR_208010809_AVG_CAPITAL_EMPLOYED_ADJ">#REF!</definedName>
    <definedName name="E_KEYWORD_ISSR_208010809_BAL_MINO_INT">#REF!</definedName>
    <definedName name="E_KEYWORD_ISSR_208010809_BAL_OF_FRANK_CREDITS">#REF!</definedName>
    <definedName name="E_KEYWORD_ISSR_208010809_BANK_ODRAFT">#REF!</definedName>
    <definedName name="E_KEYWORD_ISSR_208010809_BORROWINGS">#REF!</definedName>
    <definedName name="E_KEYWORD_ISSR_208010809_CAP_LEASES">#REF!</definedName>
    <definedName name="E_KEYWORD_ISSR_208010809_CAPEX">#REF!</definedName>
    <definedName name="E_KEYWORD_ISSR_208010809_CAPEX_EXPANSION">#REF!</definedName>
    <definedName name="E_KEYWORD_ISSR_208010809_CAPEX_MAINTENANCE">#REF!</definedName>
    <definedName name="E_KEYWORD_ISSR_208010809_CASH_EQ">#REF!</definedName>
    <definedName name="E_KEYWORD_ISSR_208010809_CASH_INT_EXP">#REF!</definedName>
    <definedName name="E_KEYWORD_ISSR_208010809_CASH_TAX_EXP">#REF!</definedName>
    <definedName name="E_KEYWORD_ISSR_208010809_CF_FIN">#REF!</definedName>
    <definedName name="E_KEYWORD_ISSR_208010809_CF_FX">#REF!</definedName>
    <definedName name="E_KEYWORD_ISSR_208010809_CF_INC_MINORITY">#REF!</definedName>
    <definedName name="E_KEYWORD_ISSR_208010809_CF_INV">#REF!</definedName>
    <definedName name="E_KEYWORD_ISSR_208010809_CF_INV_MISC">#REF!</definedName>
    <definedName name="E_KEYWORD_ISSR_208010809_CF_OPS">#REF!</definedName>
    <definedName name="E_KEYWORD_ISSR_208010809_CF_OPS_MISC">#REF!</definedName>
    <definedName name="E_KEYWORD_ISSR_208010809_CHG_LT_DEBT">#REF!</definedName>
    <definedName name="E_KEYWORD_ISSR_208010809_CO_BOR_MARGIN">#REF!</definedName>
    <definedName name="E_KEYWORD_ISSR_208010809_COST_GD_SD">#REF!</definedName>
    <definedName name="E_KEYWORD_ISSR_208010809_COST_OF_DEBT_DCF">#REF!</definedName>
    <definedName name="E_KEYWORD_ISSR_208010809_CUR_ASS">#REF!</definedName>
    <definedName name="E_KEYWORD_ISSR_208010809_CUR_ASS_MISC">#REF!</definedName>
    <definedName name="E_KEYWORD_ISSR_208010809_CUR_LIABS_MISC">#REF!</definedName>
    <definedName name="E_KEYWORD_ISSR_208010809_CURRENCY_ISO">#REF!</definedName>
    <definedName name="E_KEYWORD_ISSR_208010809_CUSTOMER_RECEIPTS">#REF!</definedName>
    <definedName name="E_KEYWORD_ISSR_208010809_DEBT_TO_EQUITY_MKT_VALUES_DCF">#REF!</definedName>
    <definedName name="E_KEYWORD_ISSR_208010809_DEBTORS">#REF!</definedName>
    <definedName name="E_KEYWORD_ISSR_208010809_DEF_INC_TAX">#REF!</definedName>
    <definedName name="E_KEYWORD_ISSR_208010809_DEFINED_BENEFIT_OBLIGATION">#REF!</definedName>
    <definedName name="E_KEYWORD_ISSR_208010809_DEFINED_BENEFIT_SURPLUS">#REF!</definedName>
    <definedName name="E_KEYWORD_ISSR_208010809_DEPR_AMORT">#REF!</definedName>
    <definedName name="E_KEYWORD_ISSR_208010809_DEPREC">#REF!</definedName>
    <definedName name="E_KEYWORD_ISSR_208010809_DIV_PAID">#REF!</definedName>
    <definedName name="E_KEYWORD_ISSR_208010809_DIVDS_ASSOC_JV">#REF!</definedName>
    <definedName name="E_KEYWORD_ISSR_208010809_DIVDS_PD_MINORITIES">#REF!</definedName>
    <definedName name="E_KEYWORD_ISSR_208010809_DIVEST">#REF!</definedName>
    <definedName name="E_KEYWORD_ISSR_208010809_DIVIDENDS_RECEIVED">#REF!</definedName>
    <definedName name="E_KEYWORD_ISSR_208010809_EBIT">#REF!</definedName>
    <definedName name="E_KEYWORD_ISSR_208010809_EBIT_CONSOLIDATED">#REF!</definedName>
    <definedName name="E_KEYWORD_ISSR_208010809_EBIT_CONSOLIDATED_PRE_ASSOC">#REF!</definedName>
    <definedName name="E_KEYWORD_ISSR_208010809_EBITDA_CALC">#REF!</definedName>
    <definedName name="E_KEYWORD_ISSR_208010809_EBITDA_CONSOLIDATED">#REF!</definedName>
    <definedName name="E_KEYWORD_ISSR_208010809_EMPLOYEES">#REF!</definedName>
    <definedName name="E_KEYWORD_ISSR_208010809_EQ">#REF!</definedName>
    <definedName name="E_KEYWORD_ISSR_208010809_EXP_ALUMINIUM">#REF!</definedName>
    <definedName name="E_KEYWORD_ISSR_208010809_EXP_BEEF">#REF!</definedName>
    <definedName name="E_KEYWORD_ISSR_208010809_EXP_CHICKEN">#REF!</definedName>
    <definedName name="E_KEYWORD_ISSR_208010809_EXP_COCOA">#REF!</definedName>
    <definedName name="E_KEYWORD_ISSR_208010809_EXP_COFFEE">#REF!</definedName>
    <definedName name="E_KEYWORD_ISSR_208010809_EXP_COPPER">#REF!</definedName>
    <definedName name="E_KEYWORD_ISSR_208010809_EXP_CORN">#REF!</definedName>
    <definedName name="E_KEYWORD_ISSR_208010809_EXP_COTTON">#REF!</definedName>
    <definedName name="E_KEYWORD_ISSR_208010809_EXP_DAIRY">#REF!</definedName>
    <definedName name="E_KEYWORD_ISSR_208010809_EXP_DIAMONDS">#REF!</definedName>
    <definedName name="E_KEYWORD_ISSR_208010809_EXP_GOLD">#REF!</definedName>
    <definedName name="E_KEYWORD_ISSR_208010809_EXP_NUTS">#REF!</definedName>
    <definedName name="E_KEYWORD_ISSR_208010809_EXP_OIL_DERIV_NGLS_PLASTICS">#REF!</definedName>
    <definedName name="E_KEYWORD_ISSR_208010809_EXP_OIL_PETRO_FUEL">#REF!</definedName>
    <definedName name="E_KEYWORD_ISSR_208010809_EXP_OTH_COMMODITY">#REF!</definedName>
    <definedName name="E_KEYWORD_ISSR_208010809_EXP_OTH_COST">#REF!</definedName>
    <definedName name="E_KEYWORD_ISSR_208010809_EXP_PALM_OIL">#REF!</definedName>
    <definedName name="E_KEYWORD_ISSR_208010809_EXP_PAPER_PULP">#REF!</definedName>
    <definedName name="E_KEYWORD_ISSR_208010809_EXP_PLATINUM">#REF!</definedName>
    <definedName name="E_KEYWORD_ISSR_208010809_EXP_PORK">#REF!</definedName>
    <definedName name="E_KEYWORD_ISSR_208010809_EXP_SILVER">#REF!</definedName>
    <definedName name="E_KEYWORD_ISSR_208010809_EXP_SOYBEAN">#REF!</definedName>
    <definedName name="E_KEYWORD_ISSR_208010809_EXP_SUGAR">#REF!</definedName>
    <definedName name="E_KEYWORD_ISSR_208010809_EXP_TOBACCO_LEAF">#REF!</definedName>
    <definedName name="E_KEYWORD_ISSR_208010809_EXP_WATER">#REF!</definedName>
    <definedName name="E_KEYWORD_ISSR_208010809_EXP_WHEAT">#REF!</definedName>
    <definedName name="E_KEYWORD_ISSR_208010809_FIN_INSTR_HEDGE_CURR_LIABILITY">#REF!</definedName>
    <definedName name="E_KEYWORD_ISSR_208010809_FIN_INSTR_HEDGE_CURRENT">#REF!</definedName>
    <definedName name="E_KEYWORD_ISSR_208010809_FIN_INSTR_HEDGE_NON_CURR_LIAB">#REF!</definedName>
    <definedName name="E_KEYWORD_ISSR_208010809_FIN_INSTR_HEDGE_NON_CURRENT">#REF!</definedName>
    <definedName name="E_KEYWORD_ISSR_208010809_FIN_INSTRUMENT_HEDGE_PRE_TAX">#REF!</definedName>
    <definedName name="E_KEYWORD_ISSR_208010809_FIX_ASS_INV">#REF!</definedName>
    <definedName name="E_KEYWORD_ISSR_208010809_GCI_INFL">#REF!</definedName>
    <definedName name="E_KEYWORD_ISSR_208010809_GOODWILL_AMORT">#REF!</definedName>
    <definedName name="E_KEYWORD_ISSR_208010809_GOODWILL_NET_AMNT">#REF!</definedName>
    <definedName name="E_KEYWORD_ISSR_208010809_GR_FIX_ASS">#REF!</definedName>
    <definedName name="E_KEYWORD_ISSR_208010809_GR_INTANG">#REF!</definedName>
    <definedName name="E_KEYWORD_ISSR_208010809_GWILL_ASSET_IMPAIR_CHG_PRE_TAX">#REF!</definedName>
    <definedName name="E_KEYWORD_ISSR_208010809_INT_EXP_IND">#REF!</definedName>
    <definedName name="E_KEYWORD_ISSR_208010809_INT_INC_IND">#REF!</definedName>
    <definedName name="E_KEYWORD_ISSR_208010809_INT_OTHERS_RECEIVED">#REF!</definedName>
    <definedName name="E_KEYWORD_ISSR_208010809_INV_SECUR">#REF!</definedName>
    <definedName name="E_KEYWORD_ISSR_208010809_INVESTMENTS">#REF!</definedName>
    <definedName name="E_KEYWORD_ISSR_208010809_Issuer_Name">#REF!</definedName>
    <definedName name="E_KEYWORD_ISSR_208010809_LABOUR">#REF!</definedName>
    <definedName name="E_KEYWORD_ISSR_208010809_LAND_BUILDINGS">#REF!</definedName>
    <definedName name="E_KEYWORD_ISSR_208010809_LEASE_DEEM_DEPR">#REF!</definedName>
    <definedName name="E_KEYWORD_ISSR_208010809_LEASE_DEEM_INT">#REF!</definedName>
    <definedName name="E_KEYWORD_ISSR_208010809_LEASE_PAY">#REF!</definedName>
    <definedName name="E_KEYWORD_ISSR_208010809_LOAN_REPAID_OTHER_ENTS">#REF!</definedName>
    <definedName name="E_KEYWORD_ISSR_208010809_LOANS_OTHER_ENTITIES">#REF!</definedName>
    <definedName name="E_KEYWORD_ISSR_208010809_LT_DEBT">#REF!</definedName>
    <definedName name="E_KEYWORD_ISSR_208010809_MARKETING_ADVERTISNIG">#REF!</definedName>
    <definedName name="E_KEYWORD_ISSR_208010809_MINORITIES">#REF!</definedName>
    <definedName name="E_KEYWORD_ISSR_208010809_MV_ASSOCIATES">#REF!</definedName>
    <definedName name="E_KEYWORD_ISSR_208010809_MV_CONVERTIBLE_NOTES">#REF!</definedName>
    <definedName name="E_KEYWORD_ISSR_208010809_MV_NET_OTHER_STAKEHOLDERS">#REF!</definedName>
    <definedName name="E_KEYWORD_ISSR_208010809_NCASSET_INVENTORIES">#REF!</definedName>
    <definedName name="E_KEYWORD_ISSR_208010809_NCASSET_INVESTMENT">#REF!</definedName>
    <definedName name="E_KEYWORD_ISSR_208010809_NCASSET_MISC">#REF!</definedName>
    <definedName name="E_KEYWORD_ISSR_208010809_NCASSET_RECEIVABLES">#REF!</definedName>
    <definedName name="E_KEYWORD_ISSR_208010809_NCASSET_TRADE_DEBTORS">#REF!</definedName>
    <definedName name="E_KEYWORD_ISSR_208010809_NCLIAB_MISC">#REF!</definedName>
    <definedName name="E_KEYWORD_ISSR_208010809_NCLIAB_OTHER_CREDITORS">#REF!</definedName>
    <definedName name="E_KEYWORD_ISSR_208010809_NCLIAB_PROVISIONS">#REF!</definedName>
    <definedName name="E_KEYWORD_ISSR_208010809_NCLIAB_TRADE_CREDITORS">#REF!</definedName>
    <definedName name="E_KEYWORD_ISSR_208010809_NET_ASSETS">#REF!</definedName>
    <definedName name="E_KEYWORD_ISSR_208010809_NET_DEBT">#REF!</definedName>
    <definedName name="E_KEYWORD_ISSR_208010809_NET_DEBT_ADJ">#REF!</definedName>
    <definedName name="E_KEYWORD_ISSR_208010809_NET_FIX_ASS">#REF!</definedName>
    <definedName name="E_KEYWORD_ISSR_208010809_NET_INT_CH">#REF!</definedName>
    <definedName name="E_KEYWORD_ISSR_208010809_NET_INT_EXP">#REF!</definedName>
    <definedName name="E_KEYWORD_ISSR_208010809_NET_INTANG">#REF!</definedName>
    <definedName name="E_KEYWORD_ISSR_208010809_NET_TANGIBLE_ASSETS">#REF!</definedName>
    <definedName name="E_KEYWORD_ISSR_208010809_NONPPE_CAPEX">#REF!</definedName>
    <definedName name="E_KEYWORD_ISSR_208010809_OP_COST">#REF!</definedName>
    <definedName name="E_KEYWORD_ISSR_208010809_OPPL_BTAX_EX_ASSOC">#REF!</definedName>
    <definedName name="E_KEYWORD_ISSR_208010809_OPPL_BTAX_POST_AB">#REF!</definedName>
    <definedName name="E_KEYWORD_ISSR_208010809_ORD_SH_FUND">#REF!</definedName>
    <definedName name="E_KEYWORD_ISSR_208010809_ORD_SHARE_CAPITAL">#REF!</definedName>
    <definedName name="E_KEYWORD_ISSR_208010809_OTH_COST_INC">#REF!</definedName>
    <definedName name="E_KEYWORD_ISSR_208010809_OTH_CUR_ASS">#REF!</definedName>
    <definedName name="E_KEYWORD_ISSR_208010809_OTH_CUR_LIABS">#REF!</definedName>
    <definedName name="E_KEYWORD_ISSR_208010809_OTH_DACF_ADJ">#REF!</definedName>
    <definedName name="E_KEYWORD_ISSR_208010809_OTH_FIN_CF">#REF!</definedName>
    <definedName name="E_KEYWORD_ISSR_208010809_OTH_GCI_ADJ">#REF!</definedName>
    <definedName name="E_KEYWORD_ISSR_208010809_OTH_INV_CF">#REF!</definedName>
    <definedName name="E_KEYWORD_ISSR_208010809_OTH_LT_ASS">#REF!</definedName>
    <definedName name="E_KEYWORD_ISSR_208010809_OTH_LT_CRED_GQ">#REF!</definedName>
    <definedName name="E_KEYWORD_ISSR_208010809_OTH_NONCASH_ADJ">#REF!</definedName>
    <definedName name="E_KEYWORD_ISSR_208010809_OTH_OP_CF">#REF!</definedName>
    <definedName name="E_KEYWORD_ISSR_208010809_OTH_OP_INC_EXP">#REF!</definedName>
    <definedName name="E_KEYWORD_ISSR_208010809_OTHER_ASSET_IMPAIR_CHG_PRE_TAX">#REF!</definedName>
    <definedName name="E_KEYWORD_ISSR_208010809_OTHER_CREDITORS">#REF!</definedName>
    <definedName name="E_KEYWORD_ISSR_208010809_OTHER_IFRS_ADJUST_PRE_TAX">#REF!</definedName>
    <definedName name="E_KEYWORD_ISSR_208010809_OTHER_INTANGIBLES_DEPREC">#REF!</definedName>
    <definedName name="E_KEYWORD_ISSR_208010809_OTHER_INTANGIBLES_NON_DEPREC">#REF!</definedName>
    <definedName name="E_KEYWORD_ISSR_208010809_OTHER_RECEIVABLES">#REF!</definedName>
    <definedName name="E_KEYWORD_ISSR_208010809_OTHER_REVENUE">#REF!</definedName>
    <definedName name="E_KEYWORD_ISSR_208010809_PERIOD_MILESTONE">#REF!</definedName>
    <definedName name="E_KEYWORD_ISSR_208010809_PERSONNEL">#REF!</definedName>
    <definedName name="E_KEYWORD_ISSR_208010809_PL_BTAX_ON_AB">#REF!</definedName>
    <definedName name="E_KEYWORD_ISSR_208010809_PL_SALE_ASSETS">#REF!</definedName>
    <definedName name="E_KEYWORD_ISSR_208010809_PLANT_EQUIP">#REF!</definedName>
    <definedName name="E_KEYWORD_ISSR_208010809_PREF_SH">#REF!</definedName>
    <definedName name="E_KEYWORD_ISSR_208010809_PROCEEDS_BORROWINGS">#REF!</definedName>
    <definedName name="E_KEYWORD_ISSR_208010809_PROCEEDS_NCASSET">#REF!</definedName>
    <definedName name="E_KEYWORD_ISSR_208010809_PROCEEDS_PURCH_OPER_BUS">#REF!</definedName>
    <definedName name="E_KEYWORD_ISSR_208010809_PROCEEDS_SALE_EQUITY_INV">#REF!</definedName>
    <definedName name="E_KEYWORD_ISSR_208010809_PROCEEDS_SALE_OPER_BUS">#REF!</definedName>
    <definedName name="E_KEYWORD_ISSR_208010809_PROFIT_DEFBEN_PLAN_POST_TAX">#REF!</definedName>
    <definedName name="E_KEYWORD_ISSR_208010809_PROFIT_DEFBEN_PLAN_PRE_TAX">#REF!</definedName>
    <definedName name="E_KEYWORD_ISSR_208010809_PROFIT_ON_DISP">#REF!</definedName>
    <definedName name="E_KEYWORD_ISSR_208010809_PROVISIONS">#REF!</definedName>
    <definedName name="E_KEYWORD_ISSR_208010809_PT_PROF">#REF!</definedName>
    <definedName name="E_KEYWORD_ISSR_208010809_PURCH_EQUITY_INVESTS">#REF!</definedName>
    <definedName name="E_KEYWORD_ISSR_208010809_R_AND_D_CAP">#REF!</definedName>
    <definedName name="E_KEYWORD_ISSR_208010809_RD_EXP">#REF!</definedName>
    <definedName name="E_KEYWORD_ISSR_208010809_REPAY_BORROWINGS">#REF!</definedName>
    <definedName name="E_KEYWORD_ISSR_208010809_RESERVES">#REF!</definedName>
    <definedName name="E_KEYWORD_ISSR_208010809_RETAIN_PROFIT_LOSS">#REF!</definedName>
    <definedName name="E_KEYWORD_ISSR_208010809_SALE_PROP_PLANT_EQUIP">#REF!</definedName>
    <definedName name="E_KEYWORD_ISSR_208010809_SALES">#REF!</definedName>
    <definedName name="E_KEYWORD_ISSR_208010809_SALES_AUSTRA">#REF!</definedName>
    <definedName name="E_KEYWORD_ISSR_208010809_SALES_BRAZIL">#REF!</definedName>
    <definedName name="E_KEYWORD_ISSR_208010809_SALES_CEE">#REF!</definedName>
    <definedName name="E_KEYWORD_ISSR_208010809_SALES_CEMENT">#REF!</definedName>
    <definedName name="E_KEYWORD_ISSR_208010809_SALES_CHINA">#REF!</definedName>
    <definedName name="E_KEYWORD_ISSR_208010809_SALES_CONS">#REF!</definedName>
    <definedName name="E_KEYWORD_ISSR_208010809_SALES_EU_EX_UK">#REF!</definedName>
    <definedName name="E_KEYWORD_ISSR_208010809_SALES_FINAN">#REF!</definedName>
    <definedName name="E_KEYWORD_ISSR_208010809_SALES_FX_AUD">#REF!</definedName>
    <definedName name="E_KEYWORD_ISSR_208010809_SALES_FX_BRL">#REF!</definedName>
    <definedName name="E_KEYWORD_ISSR_208010809_SALES_FX_CNY">#REF!</definedName>
    <definedName name="E_KEYWORD_ISSR_208010809_SALES_FX_EUR">#REF!</definedName>
    <definedName name="E_KEYWORD_ISSR_208010809_SALES_FX_GPB">#REF!</definedName>
    <definedName name="E_KEYWORD_ISSR_208010809_SALES_FX_INR">#REF!</definedName>
    <definedName name="E_KEYWORD_ISSR_208010809_SALES_FX_NZD">#REF!</definedName>
    <definedName name="E_KEYWORD_ISSR_208010809_SALES_FX_OTH">#REF!</definedName>
    <definedName name="E_KEYWORD_ISSR_208010809_SALES_FX_RUB">#REF!</definedName>
    <definedName name="E_KEYWORD_ISSR_208010809_SALES_FX_USD">#REF!</definedName>
    <definedName name="E_KEYWORD_ISSR_208010809_SALES_FX_YEN">#REF!</definedName>
    <definedName name="E_KEYWORD_ISSR_208010809_SALES_GLASS">#REF!</definedName>
    <definedName name="E_KEYWORD_ISSR_208010809_SALES_GOV">#REF!</definedName>
    <definedName name="E_KEYWORD_ISSR_208010809_SALES_IND">#REF!</definedName>
    <definedName name="E_KEYWORD_ISSR_208010809_SALES_INDIA">#REF!</definedName>
    <definedName name="E_KEYWORD_ISSR_208010809_SALES_JAPAN">#REF!</definedName>
    <definedName name="E_KEYWORD_ISSR_208010809_SALES_LUMBER">#REF!</definedName>
    <definedName name="E_KEYWORD_ISSR_208010809_SALES_ME">#REF!</definedName>
    <definedName name="E_KEYWORD_ISSR_208010809_SALES_NZ">#REF!</definedName>
    <definedName name="E_KEYWORD_ISSR_208010809_SALES_OIL_PETRO_FUEL">#REF!</definedName>
    <definedName name="E_KEYWORD_ISSR_208010809_SALES_OTH_AEJ">#REF!</definedName>
    <definedName name="E_KEYWORD_ISSR_208010809_SALES_OTH_AM">#REF!</definedName>
    <definedName name="E_KEYWORD_ISSR_208010809_SALES_OTH_COMMODITY">#REF!</definedName>
    <definedName name="E_KEYWORD_ISSR_208010809_SALES_OTH_EMEA">#REF!</definedName>
    <definedName name="E_KEYWORD_ISSR_208010809_SALES_OTH_SALES_SOURCES">#REF!</definedName>
    <definedName name="E_KEYWORD_ISSR_208010809_SALES_OTHER">#REF!</definedName>
    <definedName name="E_KEYWORD_ISSR_208010809_SALES_PAPER_PULP">#REF!</definedName>
    <definedName name="E_KEYWORD_ISSR_208010809_SALES_RUSSIA">#REF!</definedName>
    <definedName name="E_KEYWORD_ISSR_208010809_SALES_STEEL">#REF!</definedName>
    <definedName name="E_KEYWORD_ISSR_208010809_SALES_TOBACCO_LEAF">#REF!</definedName>
    <definedName name="E_KEYWORD_ISSR_208010809_SALES_TOT_AFRICA">#REF!</definedName>
    <definedName name="E_KEYWORD_ISSR_208010809_SALES_TOT_AM">#REF!</definedName>
    <definedName name="E_KEYWORD_ISSR_208010809_SALES_TOT_ASIA">#REF!</definedName>
    <definedName name="E_KEYWORD_ISSR_208010809_SALES_TOT_EMEA">#REF!</definedName>
    <definedName name="E_KEYWORD_ISSR_208010809_SALES_UK">#REF!</definedName>
    <definedName name="E_KEYWORD_ISSR_208010809_SALES_US">#REF!</definedName>
    <definedName name="E_KEYWORD_ISSR_208010809_SEL_GL_AD">#REF!</definedName>
    <definedName name="E_KEYWORD_ISSR_208010809_SEL_GL_AD_OTHER">#REF!</definedName>
    <definedName name="E_KEYWORD_ISSR_208010809_SH_REPUR">#REF!</definedName>
    <definedName name="E_KEYWORD_ISSR_208010809_SHARE_BASED_PAYMENTS">#REF!</definedName>
    <definedName name="E_KEYWORD_ISSR_208010809_SHORT_T_DEBT">#REF!</definedName>
    <definedName name="E_KEYWORD_ISSR_208010809_SHORT_TERM_LIABS">#REF!</definedName>
    <definedName name="E_KEYWORD_ISSR_208010809_STOCKS">#REF!</definedName>
    <definedName name="E_KEYWORD_ISSR_208010809_SUPPLIER_EMPLOYEE_PAYS">#REF!</definedName>
    <definedName name="E_KEYWORD_ISSR_208010809_TOT_ASSET">#REF!</definedName>
    <definedName name="E_KEYWORD_ISSR_208010809_TOT_CF">#REF!</definedName>
    <definedName name="E_KEYWORD_ISSR_208010809_TOT_LIAB">#REF!</definedName>
    <definedName name="E_KEYWORD_ISSR_208010809_TOT_LIAB_EQ">#REF!</definedName>
    <definedName name="E_KEYWORD_ISSR_208010809_TOT_LT_LIAB">#REF!</definedName>
    <definedName name="E_KEYWORD_ISSR_208010809_TOT_OPS_EXP">#REF!</definedName>
    <definedName name="E_KEYWORD_ISSR_208010809_TOT_OPS_EXP_DDA">#REF!</definedName>
    <definedName name="E_KEYWORD_ISSR_208010809_TOTAL_CAPITAL_EMPLOYED_ADJ">#REF!</definedName>
    <definedName name="E_KEYWORD_ISSR_208010809_TOTAL_DEPREC_AMORT">#REF!</definedName>
    <definedName name="E_KEYWORD_ISSR_208010809_TOTAL_IFRS_ADJUST_PRE_TAX">#REF!</definedName>
    <definedName name="E_KEYWORD_ISSR_208010809_TOTAL_NONCURR_ASSETS">#REF!</definedName>
    <definedName name="E_KEYWORD_ISSR_208010809_TOTAL_OPR_REVENUE">#REF!</definedName>
    <definedName name="E_KEYWORD_ISSR_208010809_TV_LICENCES_MASTERHEADS">#REF!</definedName>
    <definedName name="E_KEYWORD_ISSR_208010809_UNF_PENS">#REF!</definedName>
    <definedName name="E_KEYWORD_ISSR_208010809_UNF_PENS_LIAB_OTH">#REF!</definedName>
    <definedName name="E_KEYWORD_ISSR_208010809_UNF_PENS_OFF">#REF!</definedName>
    <definedName name="E_KEYWORD_ISSR_208010809_WORK_CAP">#REF!</definedName>
    <definedName name="E_LIVEDATA_EQTY_200014091">#REF!</definedName>
    <definedName name="E_LIVEDATA_ISSR_208010809">#REF!</definedName>
    <definedName name="E_PERIOD_2006">#REF!</definedName>
    <definedName name="E_PERIOD_2007">#REF!</definedName>
    <definedName name="E_PERIOD_2008">#REF!</definedName>
    <definedName name="E_PERIOD_2009">#REF!</definedName>
    <definedName name="E_PERIOD_2010">#REF!</definedName>
    <definedName name="E_PERIOD_2011">#REF!</definedName>
    <definedName name="E_PERIOD_2012">#REF!</definedName>
    <definedName name="E_PERIOD_2013">#REF!</definedName>
    <definedName name="E_PERIOD_2013_H1">#REF!</definedName>
    <definedName name="E_PERIOD_2013_H2">#REF!</definedName>
    <definedName name="E_PERIOD_2014">#REF!</definedName>
    <definedName name="E_PERIOD_2014_H1">#REF!</definedName>
    <definedName name="E_PERIOD_2015">#REF!</definedName>
    <definedName name="E_PERIOD_2016">#REF!</definedName>
    <definedName name="E_PERIOD_2017">#REF!</definedName>
    <definedName name="E_SECTION_EQTY_200014091_1314">#REF!</definedName>
    <definedName name="E_SECTION_EQTY_200014091_1316A">#REF!</definedName>
    <definedName name="E_SECTION_EQTY_200014091_1316B">#REF!</definedName>
    <definedName name="E_SECTION_EQTY_200014091_1316C">#REF!</definedName>
    <definedName name="E_SECTION_EQTY_200014091_1316D">#REF!</definedName>
    <definedName name="E_SECTION_EQTY_200014091_1316E">#REF!</definedName>
    <definedName name="E_SECTION_EQTY_200014091_131E">#REF!</definedName>
    <definedName name="E_SECTION_EQTY_200014091_131O">#REF!</definedName>
    <definedName name="E_SECTION_EQTY_200014091_13A">#REF!</definedName>
    <definedName name="E_SECTION_EQTY_200014091_13K">#REF!</definedName>
    <definedName name="E_SECTION_EQTY_200014091_13U">#REF!</definedName>
    <definedName name="E_SECTION_EQTY_200014091_13V">#REF!</definedName>
    <definedName name="E_SECTION_EQTY_200014091_Reference_Data">#REF!</definedName>
    <definedName name="E_SECTION_ISSR_208010809_1314">#REF!</definedName>
    <definedName name="E_SECTION_ISSR_208010809_13168">#REF!</definedName>
    <definedName name="E_SECTION_ISSR_208010809_1316B">#REF!</definedName>
    <definedName name="E_SECTION_ISSR_208010809_1316C">#REF!</definedName>
    <definedName name="E_SECTION_ISSR_208010809_1316D">#REF!</definedName>
    <definedName name="E_SECTION_ISSR_208010809_1316E">#REF!</definedName>
    <definedName name="E_SECTION_ISSR_208010809_1316S">#REF!</definedName>
    <definedName name="E_SECTION_ISSR_208010809_1316T">#REF!</definedName>
    <definedName name="E_SECTION_ISSR_208010809_1316U">#REF!</definedName>
    <definedName name="E_SECTION_ISSR_208010809_1319">#REF!</definedName>
    <definedName name="E_SECTION_ISSR_208010809_131E">#REF!</definedName>
    <definedName name="E_SECTION_ISSR_208010809_131J">#REF!</definedName>
    <definedName name="E_SECTION_ISSR_208010809_131O">#REF!</definedName>
    <definedName name="E_SECTION_ISSR_208010809_13U">#REF!</definedName>
    <definedName name="E_SECTION_ISSR_208010809_13V">#REF!</definedName>
    <definedName name="E_SECTION_ISSR_208010809_Reference_Data">#REF!</definedName>
    <definedName name="e4r5" hidden="1">{#N/A,#N/A,FALSE,"Barranca"}</definedName>
    <definedName name="e4rtg" hidden="1">{#N/A,#N/A,FALSE,"Total";#N/A,#N/A,FALSE,"Sew";#N/A,#N/A,FALSE,"Finish";#N/A,#N/A,FALSE,"CUT";#N/A,#N/A,FALSE,"Mill 5";#N/A,#N/A,FALSE,"Mill 6";#N/A,#N/A,FALSE,"Mill 8";#N/A,#N/A,FALSE,"Mill 9";#N/A,#N/A,FALSE,"Mill 10";#N/A,#N/A,FALSE,"Mill 12";#N/A,#N/A,FALSE,"Mill 15";#N/A,#N/A,FALSE,"Mill 17"}</definedName>
    <definedName name="EBIT" localSheetId="5">#REF!</definedName>
    <definedName name="EBIT">#REF!</definedName>
    <definedName name="EBIT_Corporate">MODEL!#REF!</definedName>
    <definedName name="EBIT_Hotels" localSheetId="5">#REF!</definedName>
    <definedName name="EBIT_Hotels">#REF!</definedName>
    <definedName name="EBIT_Margin" localSheetId="1">#REF!</definedName>
    <definedName name="EBIT_Margin" localSheetId="19">#REF!</definedName>
    <definedName name="EBIT_Margin">MODEL!#REF!</definedName>
    <definedName name="EBIT_NZ_FL" localSheetId="5">#REF!</definedName>
    <definedName name="EBIT_NZ_FL">#REF!</definedName>
    <definedName name="EBITDA" localSheetId="1">#REF!</definedName>
    <definedName name="EBITDA" localSheetId="19">#REF!</definedName>
    <definedName name="EBITDA" localSheetId="5">#REF!</definedName>
    <definedName name="EBITDA" localSheetId="12">#REF!</definedName>
    <definedName name="EBITDA">'Additional Detail'!$42:$42</definedName>
    <definedName name="EBITDA_ADJ1999">#REF!</definedName>
    <definedName name="EBITDA_ADJ2000">#REF!</definedName>
    <definedName name="EBITDA_ADJ2001">#REF!</definedName>
    <definedName name="EBITDA_ADJ2003">#REF!</definedName>
    <definedName name="EBITDA_AU" localSheetId="5">#REF!</definedName>
    <definedName name="EBITDA_AU">#REF!</definedName>
    <definedName name="EBITDA_Margin">MODEL!$27:$27</definedName>
    <definedName name="EBITDA_NZ_In_AUD" localSheetId="5">#REF!</definedName>
    <definedName name="EBITDA_NZ_In_AUD">#REF!</definedName>
    <definedName name="EBITS" localSheetId="5">#REF!</definedName>
    <definedName name="EBITS">#REF!</definedName>
    <definedName name="ECAPEX_01" localSheetId="1">#REF!</definedName>
    <definedName name="ECAPEX_01" localSheetId="12">#REF!</definedName>
    <definedName name="ECAPEX_01">#REF!</definedName>
    <definedName name="ed" hidden="1">{#N/A,#N/A,FALSE,"FAB VENDORS";"BUD SUM",#N/A,FALSE,"BUD SUM WO TEX"}</definedName>
    <definedName name="EFPO" localSheetId="5">#REF!</definedName>
    <definedName name="EFPO">MODEL!$86:$86</definedName>
    <definedName name="EFPOWA" localSheetId="5">#REF!</definedName>
    <definedName name="EFPOWA">MODEL!$88:$88</definedName>
    <definedName name="Efpowa1999">#REF!</definedName>
    <definedName name="Efpowa2000">#REF!</definedName>
    <definedName name="Efpowa2001">#REF!</definedName>
    <definedName name="Efpowa2002">#REF!</definedName>
    <definedName name="Efpowa2003">#REF!</definedName>
    <definedName name="EFPOWAbasic_issuedshares">#REF!</definedName>
    <definedName name="EFPOWAdilutedissuedshares">#REF!</definedName>
    <definedName name="EMEA_2011" localSheetId="5">#REF!</definedName>
    <definedName name="EMEA_2011">#REF!</definedName>
    <definedName name="EMEA_2012" localSheetId="5">#REF!</definedName>
    <definedName name="EMEA_2012">#REF!</definedName>
    <definedName name="EMEA_2013" localSheetId="5">#REF!</definedName>
    <definedName name="EMEA_2013">#REF!</definedName>
    <definedName name="EMEA_2014" localSheetId="5">#REF!</definedName>
    <definedName name="EMEA_2014">#REF!</definedName>
    <definedName name="EMEA_2015" localSheetId="5">#REF!</definedName>
    <definedName name="EMEA_2015">#REF!</definedName>
    <definedName name="EMEA_2016" localSheetId="5">#REF!</definedName>
    <definedName name="EMEA_2016">#REF!</definedName>
    <definedName name="EMEA_2017" localSheetId="5">#REF!</definedName>
    <definedName name="EMEA_2017">#REF!</definedName>
    <definedName name="EMEA_2018" localSheetId="5">#REF!</definedName>
    <definedName name="EMEA_2018">#REF!</definedName>
    <definedName name="EMEA_EBIT" localSheetId="5">#REF!</definedName>
    <definedName name="EMEA_EBIT">#REF!</definedName>
    <definedName name="EMEA_sales" localSheetId="5">#REF!</definedName>
    <definedName name="EMEA_sales">#REF!</definedName>
    <definedName name="Employee_costs">#REF!</definedName>
    <definedName name="Employees_No">#REF!</definedName>
    <definedName name="End_Dil_No_Shares">#REF!</definedName>
    <definedName name="Endeavour_EBIT">#REF!</definedName>
    <definedName name="EPS" localSheetId="5">#REF!</definedName>
    <definedName name="EPS">MODEL!$80:$80</definedName>
    <definedName name="EPS__pre_NRIs" localSheetId="5">#REF!</definedName>
    <definedName name="EPS__pre_NRIs">#REF!</definedName>
    <definedName name="EPS_growth_pre_ga">MODEL!#REF!</definedName>
    <definedName name="EPS_GS">#REF!</definedName>
    <definedName name="EPS_pre_ga" localSheetId="5">#REF!</definedName>
    <definedName name="EPS_pre_ga">MODEL!#REF!</definedName>
    <definedName name="EPS_pre_goodwill_amortisation">#REF!</definedName>
    <definedName name="equity">#REF!</definedName>
    <definedName name="equity_buyback">#REF!</definedName>
    <definedName name="equity_drp">#REF!</definedName>
    <definedName name="Equity_profits" localSheetId="5">#REF!</definedName>
    <definedName name="Equity_profits">#REF!</definedName>
    <definedName name="Equity_raised" localSheetId="5">#REF!</definedName>
    <definedName name="Equity_raised">MODEL!$123:$123</definedName>
    <definedName name="Equity_Reserves1999">#REF!</definedName>
    <definedName name="Equity_Reserves2000">#REF!</definedName>
    <definedName name="Equity_Reserves2001">#REF!</definedName>
    <definedName name="Equity_Reserves2002">#REF!</definedName>
    <definedName name="Equity_Reserves2003">#REF!</definedName>
    <definedName name="equity_SPP">#REF!</definedName>
    <definedName name="equityprofits">#REF!</definedName>
    <definedName name="ev.Calculation" hidden="1">-4105</definedName>
    <definedName name="ev.Initialized" hidden="1">FALSE</definedName>
    <definedName name="Expansionary_capex" localSheetId="5">#REF!</definedName>
    <definedName name="Expansionary_capex">#REF!</definedName>
    <definedName name="Expense_Margin">MODEL!$61:$61</definedName>
    <definedName name="Expenses">Divisionals!#REF!</definedName>
    <definedName name="FCF">MODEL!$142:$142</definedName>
    <definedName name="FCO_Sales">Divisionals!$252:$252</definedName>
    <definedName name="FCO_Stores">Divisionals!$256:$256</definedName>
    <definedName name="fdas" hidden="1">{"IS",#N/A,FALSE,"IS";"RPTIS",#N/A,FALSE,"RPTIS";"STATS",#N/A,FALSE,"STATS";"CELL",#N/A,FALSE,"CELL";"BS",#N/A,FALSE,"BS"}</definedName>
    <definedName name="FDO_EBIT" localSheetId="1">#REF!</definedName>
    <definedName name="FDO_EBIT" localSheetId="19">#REF!</definedName>
    <definedName name="FDO_EBIT">Divisionals!#REF!</definedName>
    <definedName name="FDO_Expenses" localSheetId="1">#REF!</definedName>
    <definedName name="FDO_Expenses" localSheetId="19">#REF!</definedName>
    <definedName name="FDO_Expenses">Divisionals!#REF!</definedName>
    <definedName name="FDO_GP" localSheetId="1">#REF!</definedName>
    <definedName name="FDO_GP" localSheetId="19">#REF!</definedName>
    <definedName name="FDO_GP">Divisionals!#REF!</definedName>
    <definedName name="feb" hidden="1">{#N/A,#N/A,FALSE,"FAB VENDORS";"BUD SUM",#N/A,FALSE,"BUD SUM WO TEX"}</definedName>
    <definedName name="fff" hidden="1">{"IS",#N/A,FALSE,"IS";"RPTIS",#N/A,FALSE,"RPTIS";"STATS",#N/A,FALSE,"STATS";"CELL",#N/A,FALSE,"CELL";"BS",#N/A,FALSE,"BS"}</definedName>
    <definedName name="fffffffffff">#REF!</definedName>
    <definedName name="ffffffffffffff">#REF!</definedName>
    <definedName name="FIN_INSTR_HEDGE_CURRENT">#REF!</definedName>
    <definedName name="Final_CF" localSheetId="1">#REF!</definedName>
    <definedName name="Final_CF">#REF!</definedName>
    <definedName name="Final_dividend" localSheetId="5">#REF!</definedName>
    <definedName name="Final_dividend">MODEL!$92:$92</definedName>
    <definedName name="Final_forecast" localSheetId="1">#REF!</definedName>
    <definedName name="Final_forecast">#REF!</definedName>
    <definedName name="financial_instr_hedging">#REF!</definedName>
    <definedName name="Financial_Instruments_Current_Assets" localSheetId="5">#REF!</definedName>
    <definedName name="Financial_Instruments_Current_Assets">#REF!</definedName>
    <definedName name="Financial_Instruments_Current_Liabilities" localSheetId="5">#REF!</definedName>
    <definedName name="Financial_Instruments_Current_Liabilities">#REF!</definedName>
    <definedName name="Financial_Instruments_Non_Current_Assets" localSheetId="5">#REF!</definedName>
    <definedName name="Financial_Instruments_Non_Current_Assets">#REF!</definedName>
    <definedName name="Financial_Instruments_Non_Current_Liabilities" localSheetId="5">#REF!</definedName>
    <definedName name="Financial_Instruments_Non_Current_Liabilities">#REF!</definedName>
    <definedName name="Financial_Services">#REF!</definedName>
    <definedName name="Financial_Summary_Table" localSheetId="1">#REF!</definedName>
    <definedName name="Financial_Summary_Table" localSheetId="12">#REF!</definedName>
    <definedName name="Financial_Summary_Table">#REF!</definedName>
    <definedName name="FINCopyDirection">1</definedName>
    <definedName name="FINCriteriaType">1</definedName>
    <definedName name="fininstrnoncurrliab">#REF!</definedName>
    <definedName name="FITB" localSheetId="5">#REF!</definedName>
    <definedName name="FITB">MODEL!$161:$161</definedName>
    <definedName name="Fixed_Charges_Cover">Divisionals!#REF!</definedName>
    <definedName name="Fixed_Charges_Cover_">#REF!</definedName>
    <definedName name="Fixed_Charges_Cover_EBIT">Divisionals!#REF!</definedName>
    <definedName name="FLP_19">#REF!</definedName>
    <definedName name="Food_EBIT">#REF!</definedName>
    <definedName name="Forecast_Less_10" localSheetId="1">#REF!</definedName>
    <definedName name="Forecast_Less_10" localSheetId="12">#REF!</definedName>
    <definedName name="Forecast_Less_10">#REF!</definedName>
    <definedName name="Forecast_Plus_10" localSheetId="1">#REF!</definedName>
    <definedName name="Forecast_Plus_10" localSheetId="12">#REF!</definedName>
    <definedName name="Forecast_Plus_10">#REF!</definedName>
    <definedName name="franking" localSheetId="5">#REF!</definedName>
    <definedName name="Franking">MODEL!$57:$57</definedName>
    <definedName name="Franking_Credits" localSheetId="5">#REF!</definedName>
    <definedName name="Franking_Credits">#REF!</definedName>
    <definedName name="Franking_Tax_Rate">#REF!</definedName>
    <definedName name="Franking1999">#REF!</definedName>
    <definedName name="Franking2000">#REF!</definedName>
    <definedName name="Franking2001">#REF!</definedName>
    <definedName name="Franking2002">#REF!</definedName>
    <definedName name="Franking2003">#REF!</definedName>
    <definedName name="FrankingCredits" localSheetId="12">#REF!</definedName>
    <definedName name="FrankingCredits">'Additional Detail'!$71:$71</definedName>
    <definedName name="Free_Float">#REF!</definedName>
    <definedName name="GeoAus">'Additional Detail'!$79:$79</definedName>
    <definedName name="GeoNZ">'Additional Detail'!$80:$80</definedName>
    <definedName name="GetFromOra_Click">#REF!</definedName>
    <definedName name="GNAL">#REF!</definedName>
    <definedName name="Goldcross_Avg_Sales_Store">Divisionals!$116:$116</definedName>
    <definedName name="Goldcross_EBIT">Divisionals!$133:$133</definedName>
    <definedName name="Goldcross_Expenses">Divisionals!$128:$128</definedName>
    <definedName name="Goldcross_GP">Divisionals!$125:$125</definedName>
    <definedName name="Goldcross_GrossMargin">Divisionals!$126:$126</definedName>
    <definedName name="Goldcross_Sales">Divisionals!$118:$118</definedName>
    <definedName name="Goldcross_Stores">Divisionals!$141:$141</definedName>
    <definedName name="goodwill" localSheetId="5">#REF!</definedName>
    <definedName name="Goodwill">MODEL!$158:$158</definedName>
    <definedName name="Goodwill1999">#REF!</definedName>
    <definedName name="Goodwill2000">#REF!</definedName>
    <definedName name="Goodwill2001">#REF!</definedName>
    <definedName name="Goodwill2002">#REF!</definedName>
    <definedName name="Goodwill2003">#REF!</definedName>
    <definedName name="Grant">#REF!</definedName>
    <definedName name="Grape_vines" localSheetId="5">#REF!</definedName>
    <definedName name="Grape_vines">#REF!</definedName>
    <definedName name="Gross_Earned_Premiums">#REF!</definedName>
    <definedName name="gross_impaired_assets">#REF!</definedName>
    <definedName name="Gross_Intangibles">#REF!</definedName>
    <definedName name="gross_loans">#REF!</definedName>
    <definedName name="Gross_Margin">MODEL!#REF!</definedName>
    <definedName name="gross_operating_cashflow">MODEL!$101:$101</definedName>
    <definedName name="Gross_Profit">MODEL!$10:$10</definedName>
    <definedName name="Gross_property_plant_equipment">#REF!</definedName>
    <definedName name="Gross_Written_Premiums">#REF!</definedName>
    <definedName name="GrossGoodwill">MODEL!#REF!</definedName>
    <definedName name="GrossOthIntang">MODEL!#REF!</definedName>
    <definedName name="Group_EBITDA">#REF!</definedName>
    <definedName name="Group_Labour">#REF!</definedName>
    <definedName name="Group_SGA">#REF!</definedName>
    <definedName name="Group_Stores">Divisionals!#REF!</definedName>
    <definedName name="Growth_Less_1" localSheetId="1">#REF!</definedName>
    <definedName name="Growth_Less_1" localSheetId="12">#REF!</definedName>
    <definedName name="Growth_Less_1">#REF!</definedName>
    <definedName name="Growth_Plus_1" localSheetId="1">#REF!</definedName>
    <definedName name="Growth_Plus_1" localSheetId="12">#REF!</definedName>
    <definedName name="Growth_Plus_1">#REF!</definedName>
    <definedName name="GSJBW_Valuation">#REF!</definedName>
    <definedName name="H1_2013" localSheetId="5">#REF!</definedName>
    <definedName name="H1_2013">#REF!</definedName>
    <definedName name="H1_2014" localSheetId="5">#REF!</definedName>
    <definedName name="H1_2014">#REF!</definedName>
    <definedName name="H1_2015" localSheetId="5">#REF!</definedName>
    <definedName name="H1_2015">#REF!</definedName>
    <definedName name="H1_2016" localSheetId="5">#REF!</definedName>
    <definedName name="H1_2016">#REF!</definedName>
    <definedName name="H2_2015" localSheetId="5">#REF!</definedName>
    <definedName name="H2_2015">#REF!</definedName>
    <definedName name="H2_2016" localSheetId="5">#REF!</definedName>
    <definedName name="H2_2016">#REF!</definedName>
    <definedName name="Header">#REF!</definedName>
    <definedName name="Help" hidden="1">{#N/A,#N/A,FALSE,"Barranca"}</definedName>
    <definedName name="help1" hidden="1">{#N/A,#N/A,FALSE,"Total";#N/A,#N/A,FALSE,"Sew";#N/A,#N/A,FALSE,"Finish";#N/A,#N/A,FALSE,"CUT";#N/A,#N/A,FALSE,"Mill 5";#N/A,#N/A,FALSE,"Mill 6";#N/A,#N/A,FALSE,"Mill 8";#N/A,#N/A,FALSE,"Mill 9";#N/A,#N/A,FALSE,"Mill 10";#N/A,#N/A,FALSE,"Mill 12";#N/A,#N/A,FALSE,"Mill 15";#N/A,#N/A,FALSE,"Mill 17"}</definedName>
    <definedName name="help2" hidden="1">{#N/A,#N/A,FALSE,"Total";#N/A,#N/A,FALSE,"Sew";#N/A,#N/A,FALSE,"Finish";#N/A,#N/A,FALSE,"CUT";#N/A,#N/A,FALSE,"Mill 5";#N/A,#N/A,FALSE,"Mill 6";#N/A,#N/A,FALSE,"Mill 8";#N/A,#N/A,FALSE,"Mill 9";#N/A,#N/A,FALSE,"Mill 10";#N/A,#N/A,FALSE,"Mill 12";#N/A,#N/A,FALSE,"Mill 15";#N/A,#N/A,FALSE,"Mill 17"}</definedName>
    <definedName name="ID">#REF!</definedName>
    <definedName name="IMP_CREDIT" localSheetId="1">#REF!</definedName>
    <definedName name="IMP_CREDIT" localSheetId="12">#REF!</definedName>
    <definedName name="IMP_CREDIT">#REF!</definedName>
    <definedName name="income_Tax">#REF!</definedName>
    <definedName name="Income_Taxes_Paid1999">#REF!</definedName>
    <definedName name="Income_Taxes_Paid2000">#REF!</definedName>
    <definedName name="Income_Taxes_Paid2001">#REF!</definedName>
    <definedName name="Income_Taxes_Paid2002">#REF!</definedName>
    <definedName name="Income_Taxes_Paid2003">#REF!</definedName>
    <definedName name="incometaxexpense">#REF!</definedName>
    <definedName name="Increase_in_financial_asset">#REF!</definedName>
    <definedName name="INCTAX_OTHER__1999">#REF!</definedName>
    <definedName name="INCTAX_OTHER__2000">#REF!</definedName>
    <definedName name="INCTAX_OTHER__2001">#REF!</definedName>
    <definedName name="INCTAX_OTHER__2002">#REF!</definedName>
    <definedName name="INCTAX_OTHER__2003">#REF!</definedName>
    <definedName name="IncWCap_01" localSheetId="1">#REF!</definedName>
    <definedName name="IncWCap_01" localSheetId="12">#REF!</definedName>
    <definedName name="IncWCap_01">#REF!</definedName>
    <definedName name="Initial_gas_price">#REF!</definedName>
    <definedName name="Insure_PNAV">#REF!</definedName>
    <definedName name="Int_10">#REF!</definedName>
    <definedName name="Int_11">#REF!</definedName>
    <definedName name="Int_12">#REF!</definedName>
    <definedName name="Int_13">#REF!</definedName>
    <definedName name="Int_14">#REF!</definedName>
    <definedName name="Int_15">#REF!</definedName>
    <definedName name="Int_16">#REF!</definedName>
    <definedName name="Int_17">#REF!</definedName>
    <definedName name="Int_2">#REF!</definedName>
    <definedName name="Int_3">#REF!</definedName>
    <definedName name="Int_4">#REF!</definedName>
    <definedName name="Int_5">#REF!</definedName>
    <definedName name="Int_6">#REF!</definedName>
    <definedName name="Int_7">#REF!</definedName>
    <definedName name="Int_8">#REF!</definedName>
    <definedName name="Int_9">#REF!</definedName>
    <definedName name="Int_Exp_Copy">#REF!</definedName>
    <definedName name="Int_Exp_Paste">#REF!</definedName>
    <definedName name="Int_Expense">#REF!</definedName>
    <definedName name="Int_Others_Paid1999">#REF!</definedName>
    <definedName name="Int_Others_Paid2000">#REF!</definedName>
    <definedName name="Int_Others_Paid2001">#REF!</definedName>
    <definedName name="Int_Others_Paid2002">#REF!</definedName>
    <definedName name="Int_Others_Paid2003">#REF!</definedName>
    <definedName name="Int_Others_Received1999">#REF!</definedName>
    <definedName name="Int_Others_Received2000">#REF!</definedName>
    <definedName name="Int_Others_Received2001">#REF!</definedName>
    <definedName name="Int_Others_Received2002">#REF!</definedName>
    <definedName name="Int_Others_Received2003">#REF!</definedName>
    <definedName name="Int_Rev_Copy">#REF!</definedName>
    <definedName name="Int_Rev_Paste">#REF!</definedName>
    <definedName name="intangibles">#REF!</definedName>
    <definedName name="Interest_Cover">MODEL!$139:$139</definedName>
    <definedName name="interest_expense" localSheetId="5">#REF!</definedName>
    <definedName name="Interest_expense">#REF!</definedName>
    <definedName name="interest_income" localSheetId="5">#REF!</definedName>
    <definedName name="Interest_Income">#REF!</definedName>
    <definedName name="Interest_Rev" localSheetId="1">#REF!</definedName>
    <definedName name="Interest_Rev" localSheetId="19">#REF!</definedName>
    <definedName name="Interest_Rev" localSheetId="12">#REF!</definedName>
    <definedName name="Interest_Rev">MODEL!$134:$134</definedName>
    <definedName name="Interest_Rev_Just">#REF!</definedName>
    <definedName name="Interim_dividend" localSheetId="5">#REF!</definedName>
    <definedName name="Interim_dividend">MODEL!$91:$91</definedName>
    <definedName name="invent">#REF!</definedName>
    <definedName name="Inventories">MODEL!$152:$152</definedName>
    <definedName name="Inventories1999">#REF!</definedName>
    <definedName name="Inventories2000">#REF!</definedName>
    <definedName name="Inventories2001">#REF!</definedName>
    <definedName name="Inventories2002">#REF!</definedName>
    <definedName name="Inventories2003">#REF!</definedName>
    <definedName name="Inventory_turnover">MODEL!#REF!</definedName>
    <definedName name="Investment_income_SHF">#REF!</definedName>
    <definedName name="Investment_Income_TR">#REF!</definedName>
    <definedName name="investments">#REF!</definedName>
    <definedName name="investments_total">#REF!</definedName>
    <definedName name="Investments1999">#REF!</definedName>
    <definedName name="Investments2000">#REF!</definedName>
    <definedName name="Investments2001">#REF!</definedName>
    <definedName name="Investments2002">#REF!</definedName>
    <definedName name="Investments2003">#REF!</definedName>
    <definedName name="io" hidden="1">{#N/A,#N/A,FALSE,"FAB VENDORS";"BUD SUM",#N/A,FALSE,"BUD SUM WO TEX"}</definedName>
    <definedName name="IQ_1_4_CONSTRUCTION_GROSS_LOANS_FFIEC" hidden="1">"c13402"</definedName>
    <definedName name="IQ_1_4_CONSTRUCTION_LL_REC_DOM_FFIEC" hidden="1">"c12899"</definedName>
    <definedName name="IQ_1_4_CONSTRUCTION_LOAN_COMMITMENTS_UNUSED_FFIEC" hidden="1">"c13244"</definedName>
    <definedName name="IQ_1_4_CONSTRUCTION_LOANS_DUE_30_89_FFIEC" hidden="1">"c13257"</definedName>
    <definedName name="IQ_1_4_CONSTRUCTION_LOANS_DUE_90_FFIEC" hidden="1">"c13285"</definedName>
    <definedName name="IQ_1_4_CONSTRUCTION_LOANS_NON_ACCRUAL_FFIEC" hidden="1">"c13311"</definedName>
    <definedName name="IQ_1_4_CONSTRUCTION_RISK_BASED_FFIEC" hidden="1">"c13423"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ABS_AVAIL_SALE_FFIEC" hidden="1">"c12802"</definedName>
    <definedName name="IQ_ABS_FFIEC" hidden="1">"c12788"</definedName>
    <definedName name="IQ_ABS_INVEST_SECURITIES_FFIEC" hidden="1">"c13461"</definedName>
    <definedName name="IQ_ABS_PERIOD" hidden="1">"c13823"</definedName>
    <definedName name="IQ_ACCOUNT_CHANGE" hidden="1">"c1449"</definedName>
    <definedName name="IQ_ACCOUNTING_FFIEC" hidden="1">"c13054"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RUED_INTEREST_RECEIVABLE_FFIEC" hidden="1">"c12842"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MIN_RATIO" hidden="1">"c2784"</definedName>
    <definedName name="IQ_ADVERTISING" hidden="1">"c2246"</definedName>
    <definedName name="IQ_ADVERTISING_MARKETING" hidden="1">"c1566"</definedName>
    <definedName name="IQ_ADVERTISING_MARKETING_EXPENSES_FFIEC" hidden="1">"c13048"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PER_SHARE_BASIC" hidden="1">"c8869"</definedName>
    <definedName name="IQ_AFFO_PER_SHARE_DILUTED" hidden="1">"c8870"</definedName>
    <definedName name="IQ_AFS_INVEST_SECURITIES_FFIEC" hidden="1">"c13456"</definedName>
    <definedName name="IQ_AFS_SECURITIES_TIER_1_FFIEC" hidden="1">"c13343"</definedName>
    <definedName name="IQ_AFTER_TAX_INCOME_FDIC" hidden="1">"c6583"</definedName>
    <definedName name="IQ_AGENCY" hidden="1">"c8960"</definedName>
    <definedName name="IQ_AGENCY_INVEST_SECURITIES_FFIEC" hidden="1">"c13458"</definedName>
    <definedName name="IQ_AGG_CORPORATE_SHARES" hidden="1">"c13781"</definedName>
    <definedName name="IQ_AGG_CORPORATE_VALUE" hidden="1">"c13774"</definedName>
    <definedName name="IQ_AGG_ESOP_SHARES" hidden="1">"c13782"</definedName>
    <definedName name="IQ_AGG_ESOP_VALUE" hidden="1">"c13775"</definedName>
    <definedName name="IQ_AGG_FOUNDATION_SHARES" hidden="1">"c13783"</definedName>
    <definedName name="IQ_AGG_FOUNDATION_VALUE" hidden="1">"c13776"</definedName>
    <definedName name="IQ_AGG_HEDGEFUND_SHARES" hidden="1">"c13785"</definedName>
    <definedName name="IQ_AGG_HEDGEFUND_VALUE" hidden="1">"c13778"</definedName>
    <definedName name="IQ_AGG_INSIDER_SHARES" hidden="1">"c13780"</definedName>
    <definedName name="IQ_AGG_INSIDER_VALUE" hidden="1">"c13773"</definedName>
    <definedName name="IQ_AGG_INSTITUTIONAL_SHARES" hidden="1">"c13779"</definedName>
    <definedName name="IQ_AGG_INSTITUTIONAL_VALUE" hidden="1">"c13772"</definedName>
    <definedName name="IQ_AGG_OTHER_SHARES" hidden="1">"c13784"</definedName>
    <definedName name="IQ_AGG_OTHER_VALUE" hidden="1">"c13777"</definedName>
    <definedName name="IQ_AGRICULTURAL_GROSS_LOANS_FFIEC" hidden="1">"c13413"</definedName>
    <definedName name="IQ_AGRICULTURAL_LOANS_FOREIGN_FFIEC" hidden="1">"c13481"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GRICULTURAL_RISK_BASED_FFIEC" hidden="1">"c13434"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_OTHER_LEASES_CHARGE_OFFS_FFIEC" hidden="1">"c13185"</definedName>
    <definedName name="IQ_ALL_OTHER_LEASES_RECOV_FFIEC" hidden="1">"c13207"</definedName>
    <definedName name="IQ_ALL_OTHER_LOANS_CHARGE_OFFS_FFIEC" hidden="1">"c13183"</definedName>
    <definedName name="IQ_ALL_OTHER_LOANS_RECOV_FFIEC" hidden="1">"c13205"</definedName>
    <definedName name="IQ_ALL_OTHER_TRADING_LIABILITIES_DOM_FFIEC" hidden="1">"c12942"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_LL_LOSSES_FFIEC" hidden="1">"c12810"</definedName>
    <definedName name="IQ_ALLOWABLE_T2_CAPITAL_FFIEC" hidden="1">"c13150"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CREDIT_LOSSES_OFF_BS_FFIEC" hidden="1">"c12871"</definedName>
    <definedName name="IQ_ALLOWANCE_LL_LOSSES_T2_FFIEC" hidden="1">"c13146"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_IMPAIRMENT_OTHER_INTANGIBLE_ASSETS_FFIEC" hidden="1">"c13026"</definedName>
    <definedName name="IQ_AMORT_EXPENSE_FDIC" hidden="1">"c6677"</definedName>
    <definedName name="IQ_AMORTIZATION" hidden="1">"c1591"</definedName>
    <definedName name="IQ_AMORTIZED_COST_FDIC" hidden="1">"c6426"</definedName>
    <definedName name="IQ_AMOUNT_FINANCIAL_LOC_CONVEYED_FFIEC" hidden="1">"c13250"</definedName>
    <definedName name="IQ_AMOUNT_PERFORMANCE_LOC_CONVEYED_FFIEC" hidden="1">"c13252"</definedName>
    <definedName name="IQ_AMT_OUT" hidden="1">"c2145"</definedName>
    <definedName name="IQ_ANALYST_EMAIL" hidden="1">"c13738"</definedName>
    <definedName name="IQ_ANALYST_NAME" hidden="1">"c13736"</definedName>
    <definedName name="IQ_ANALYST_PHONE" hidden="1">"c13737"</definedName>
    <definedName name="IQ_ANALYST_START_DATE" hidden="1">"c13740"</definedName>
    <definedName name="IQ_ANNU_DISTRIBUTION_UNIT" hidden="1">"c3004"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NNUITY_SALES_FEES_COMMISSIONS_FFIEC" hidden="1">"c13007"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PPLICABLE_INCOME_TAXES_FTE_FFIEC" hidden="1">"c13853"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SUPPLE" hidden="1">"c13812"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FAIR_VALUE" hidden="1">"c13843"</definedName>
    <definedName name="IQ_ASSETS_HELD_FDIC" hidden="1">"c6305"</definedName>
    <definedName name="IQ_ASSETS_LEVEL_1" hidden="1">"c13839"</definedName>
    <definedName name="IQ_ASSETS_LEVEL_2" hidden="1">"c13840"</definedName>
    <definedName name="IQ_ASSETS_LEVEL_3" hidden="1">"c13841"</definedName>
    <definedName name="IQ_ASSETS_NAME_AP" hidden="1">"c8921"</definedName>
    <definedName name="IQ_ASSETS_NAME_AP_ABS" hidden="1">"c8940"</definedName>
    <definedName name="IQ_ASSETS_NETTING_OTHER_ADJUSTMENTS" hidden="1">"c13842"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REPRICE_ASSETS_TOT_FFIEC" hidden="1">"c13454"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TM_FEES_FFIEC" hidden="1">"c13042"</definedName>
    <definedName name="IQ_ATM_INTERCHANGE_EXPENSES_FFIEC" hidden="1">"c13056"</definedName>
    <definedName name="IQ_AUDITOR_NAME" hidden="1">"c1539"</definedName>
    <definedName name="IQ_AUDITOR_OPINION" hidden="1">"c1540"</definedName>
    <definedName name="IQ_AUM" hidden="1">"c10043"</definedName>
    <definedName name="IQ_AUM_EQUITY_FUNDS" hidden="1">"c10039"</definedName>
    <definedName name="IQ_AUM_FIXED_INCOME_FUNDS" hidden="1">"c10040"</definedName>
    <definedName name="IQ_AUM_MONEY_MARKET_FUNDS" hidden="1">"c10041"</definedName>
    <definedName name="IQ_AUM_OTHER" hidden="1">"c10042"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ABLE_FOR_SALE_FDIC" hidden="1">"c6409"</definedName>
    <definedName name="IQ_AVAILABLE_SALE_SEC_FFIEC" hidden="1">"c12791"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_CIQ" hidden="1">"c4984"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SHAREOUTSTANDING" hidden="1">"c83"</definedName>
    <definedName name="IQ_AVG_TEMP_EMPLOYEES" hidden="1">"c6020"</definedName>
    <definedName name="IQ_AVG_TEV" hidden="1">"c84"</definedName>
    <definedName name="IQ_AVG_TOTAL_ASSETS_LEVERAGE_CAPITAL_FFIEC" hidden="1">"c13159"</definedName>
    <definedName name="IQ_AVG_TOTAL_ASSETS_LEVERAGE_RATIO_FFIEC" hidden="1">"c13154"</definedName>
    <definedName name="IQ_AVG_VOLUME" hidden="1">"c1346"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" hidden="1">"c8353"</definedName>
    <definedName name="IQ_BALANCE_GOODS_APR_UNUSED" hidden="1">"c7473"</definedName>
    <definedName name="IQ_BALANCE_GOODS_FC_UNUSED" hidden="1">"c7693"</definedName>
    <definedName name="IQ_BALANCE_GOODS_POP_FC_UNUSED" hidden="1">"c7913"</definedName>
    <definedName name="IQ_BALANCE_GOODS_POP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" hidden="1">"c8133"</definedName>
    <definedName name="IQ_BALANCE_GOODS_YOY_UNUSED" hidden="1">"c7253"</definedName>
    <definedName name="IQ_BALANCE_SERV_APR_FC_UNUSED" hidden="1">"c8355"</definedName>
    <definedName name="IQ_BALANCE_SERV_APR_UNUSED" hidden="1">"c7475"</definedName>
    <definedName name="IQ_BALANCE_SERV_FC_UNUSED" hidden="1">"c7695"</definedName>
    <definedName name="IQ_BALANCE_SERV_POP_FC_UNUSED" hidden="1">"c7915"</definedName>
    <definedName name="IQ_BALANCE_SERV_POP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" hidden="1">"c8135"</definedName>
    <definedName name="IQ_BALANCE_SERV_YOY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TRADE_APR_FC_UNUSED" hidden="1">"c8357"</definedName>
    <definedName name="IQ_BALANCE_TRADE_APR_UNUSED" hidden="1">"c7477"</definedName>
    <definedName name="IQ_BALANCE_TRADE_FC_UNUSED" hidden="1">"c7697"</definedName>
    <definedName name="IQ_BALANCE_TRADE_POP_FC_UNUSED" hidden="1">"c7917"</definedName>
    <definedName name="IQ_BALANCE_TRADE_POP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" hidden="1">"c8137"</definedName>
    <definedName name="IQ_BALANCE_TRADE_YOY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LOAN_LIST" hidden="1">"c13507"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ING_FEES_OPERATING_INC_FFIEC" hidden="1">"c13386"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NCHMARK_YIELD" hidden="1">"c8955"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"c11749"</definedName>
    <definedName name="IQ_BOARD_MEMBER" hidden="1">"c96"</definedName>
    <definedName name="IQ_BOARD_MEMBER_BACKGROUND" hidden="1">"c2101"</definedName>
    <definedName name="IQ_BOARD_MEMBER_ID" hidden="1">"c13756"</definedName>
    <definedName name="IQ_BOARD_MEMBER_TITLE" hidden="1">"c97"</definedName>
    <definedName name="IQ_BOND_COUPON" hidden="1">"c2183"</definedName>
    <definedName name="IQ_BOND_COUPON_TYPE" hidden="1">"c2184"</definedName>
    <definedName name="IQ_BOND_LIST" hidden="1">"c13505"</definedName>
    <definedName name="IQ_BOND_PRICE" hidden="1">"c2162"</definedName>
    <definedName name="IQ_BORROWED_MONEY_QUARTERLY_AVG_FFIEC" hidden="1">"c13091"</definedName>
    <definedName name="IQ_BORROWINGS_LESS_1YR_ASSETS_TOT_FFIEC" hidden="1">"c13450"</definedName>
    <definedName name="IQ_BROK_COMISSION" hidden="1">"c98"</definedName>
    <definedName name="IQ_BROK_COMMISSION" hidden="1">"c3514"</definedName>
    <definedName name="IQ_BROKERED_DEPOSITS_FDIC" hidden="1">"c6486"</definedName>
    <definedName name="IQ_BUDGET_BALANCE_APR_FC_UNUSED" hidden="1">"c8359"</definedName>
    <definedName name="IQ_BUDGET_BALANCE_APR_UNUSED" hidden="1">"c7479"</definedName>
    <definedName name="IQ_BUDGET_BALANCE_FC_UNUSED" hidden="1">"c7699"</definedName>
    <definedName name="IQ_BUDGET_BALANCE_POP_FC_UNUSED" hidden="1">"c7919"</definedName>
    <definedName name="IQ_BUDGET_BALANCE_POP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" hidden="1">"c6819"</definedName>
    <definedName name="IQ_BUDGET_BALANCE_YOY_FC_UNUSED" hidden="1">"c8139"</definedName>
    <definedName name="IQ_BUDGET_BALANCE_YOY_UNUSED" hidden="1">"c7259"</definedName>
    <definedName name="IQ_BUDGET_RECEIPTS_APR_FC_UNUSED" hidden="1">"c8361"</definedName>
    <definedName name="IQ_BUDGET_RECEIPTS_APR_UNUSED" hidden="1">"c7481"</definedName>
    <definedName name="IQ_BUDGET_RECEIPTS_FC_UNUSED" hidden="1">"c7701"</definedName>
    <definedName name="IQ_BUDGET_RECEIPTS_POP_FC_UNUSED" hidden="1">"c7921"</definedName>
    <definedName name="IQ_BUDGET_RECEIPTS_POP_UNUSED" hidden="1">"c7041"</definedName>
    <definedName name="IQ_BUDGET_RECEIPTS_UNUSED" hidden="1">"c6821"</definedName>
    <definedName name="IQ_BUDGET_RECEIPTS_YOY_FC_UNUSED" hidden="1">"c8141"</definedName>
    <definedName name="IQ_BUDGET_RECEIPTS_YOY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COMBINATIONS_FFIEC" hidden="1">"c12967"</definedName>
    <definedName name="IQ_BUSINESS_DESCRIPTION" hidden="1">"c322"</definedName>
    <definedName name="IQ_BV_ACT_OR_EST_CIQ" hidden="1">"c5068"</definedName>
    <definedName name="IQ_BV_OVER_SHARES" hidden="1">"c1349"</definedName>
    <definedName name="IQ_BV_SHARE" hidden="1">"c100"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CIQ" hidden="1">"c6808"</definedName>
    <definedName name="IQ_CAL_Y" hidden="1">"c102"</definedName>
    <definedName name="IQ_CAL_Y_EST" hidden="1">"c6797"</definedName>
    <definedName name="IQ_CAL_Y_EST_CIQ" hidden="1">"c6809"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BALANCES_DUE_FFIEC" hidden="1">"c12773"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_CIQ" hidden="1">"c4566"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NET" hidden="1">"c12753"</definedName>
    <definedName name="IQ_CASH_INTEREST_OPER" hidden="1">"c6293"</definedName>
    <definedName name="IQ_CASH_INTEREST_RECEIVED" hidden="1">"c12754"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OPER" hidden="1">"c122"</definedName>
    <definedName name="IQ_CASH_OPER_ACT_OR_EST_CIQ" hidden="1">"c4576"</definedName>
    <definedName name="IQ_CASH_OPER_AP" hidden="1">"c8888"</definedName>
    <definedName name="IQ_CASH_OPER_AP_ABS" hidden="1">"c8907"</definedName>
    <definedName name="IQ_CASH_OPER_NAME_AP" hidden="1">"c8926"</definedName>
    <definedName name="IQ_CASH_OPER_NAME_AP_ABS" hidden="1">"c8945"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URRENCY" hidden="1">"c6031"</definedName>
    <definedName name="IQ_CDS_DERIVATIVES_BENEFICIARY_FFIEC" hidden="1">"c13119"</definedName>
    <definedName name="IQ_CDS_DERIVATIVES_GUARANTOR_FFIEC" hidden="1">"c13112"</definedName>
    <definedName name="IQ_CDS_EVAL_DATE" hidden="1">"c6029"</definedName>
    <definedName name="IQ_CDS_LIST" hidden="1">"c13510"</definedName>
    <definedName name="IQ_CDS_LOAN_LIST" hidden="1">"c13518"</definedName>
    <definedName name="IQ_CDS_MID" hidden="1">"c6028"</definedName>
    <definedName name="IQ_CDS_NAME" hidden="1">"c6034"</definedName>
    <definedName name="IQ_CDS_SENIOR_LIST" hidden="1">"c13508"</definedName>
    <definedName name="IQ_CDS_SUB_LIST" hidden="1">"c13509"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FAIR_VALUE_FINANCIAL_LIAB_T1_FFIEC" hidden="1">"c13138"</definedName>
    <definedName name="IQ_CHANGE_FAIR_VALUE_OPTIONS_FFIEC" hidden="1">"c13045"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" hidden="1">"c8500"</definedName>
    <definedName name="IQ_CHANGE_INVENT_REAL_APR_UNUSED" hidden="1">"c7620"</definedName>
    <definedName name="IQ_CHANGE_INVENT_REAL_FC_UNUSED" hidden="1">"c7840"</definedName>
    <definedName name="IQ_CHANGE_INVENT_REAL_POP_FC_UNUSED" hidden="1">"c8060"</definedName>
    <definedName name="IQ_CHANGE_INVENT_REAL_POP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" hidden="1">"c8280"</definedName>
    <definedName name="IQ_CHANGE_INVENT_REAL_YOY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IMS_ADJUSTMENT_EXP_PC_FFIEC" hidden="1">"c13100"</definedName>
    <definedName name="IQ_CLASS_MARKETCAP" hidden="1">"c13512"</definedName>
    <definedName name="IQ_CLASS_SHARESOUTSTANDING" hidden="1">"c13513"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D_END_1_4_FAM_LOANS_TOT_LOANS_FFIEC" hidden="1">"c13866"</definedName>
    <definedName name="IQ_CLOSED_END_1_4_FIRST_LIENS_TRADING_DOM_FFIEC" hidden="1">"c12928"</definedName>
    <definedName name="IQ_CLOSED_END_1_4_JR_LIENS_LL_REC_DOM_FFIEC" hidden="1">"c12904"</definedName>
    <definedName name="IQ_CLOSED_END_1_4_JUNIOR_LIENS_TRADING_DOM_FFIEC" hidden="1">"c12929"</definedName>
    <definedName name="IQ_CLOSED_END_SEC_1_4_1ST_LIENS_CHARGE_OFFS_FFIEC" hidden="1">"c13169"</definedName>
    <definedName name="IQ_CLOSED_END_SEC_1_4_1ST_LIENS_DUE_30_89_FFIEC" hidden="1">"c13261"</definedName>
    <definedName name="IQ_CLOSED_END_SEC_1_4_1ST_LIENS_DUE_90_FFIEC" hidden="1">"c13289"</definedName>
    <definedName name="IQ_CLOSED_END_SEC_1_4_1ST_LIENS_NON_ACCRUAL_FFIEC" hidden="1">"c13315"</definedName>
    <definedName name="IQ_CLOSED_END_SEC_1_4_1ST_LIENS_RECOV_FFIEC" hidden="1">"c13191"</definedName>
    <definedName name="IQ_CLOSED_END_SEC_1_4_JR_LIENS_CHARGE_OFFS_FFIEC" hidden="1">"c13170"</definedName>
    <definedName name="IQ_CLOSED_END_SEC_1_4_JR_LIENS_DUE_30_89_FFIEC" hidden="1">"c13262"</definedName>
    <definedName name="IQ_CLOSED_END_SEC_1_4_JR_LIENS_DUE_90_FFIEC" hidden="1">"c13290"</definedName>
    <definedName name="IQ_CLOSED_END_SEC_1_4_JR_LIENS_NON_ACCRUAL_FFIEC" hidden="1">"c13316"</definedName>
    <definedName name="IQ_CLOSED_END_SEC_1_4_JR_LIENS_RECOV_FFIEC" hidden="1">"c13192"</definedName>
    <definedName name="IQ_CLOSED_END_SECURED_1_4_FIRST_LIENS_LL_REC_DOM_FFIEC" hidden="1">"c12903"</definedName>
    <definedName name="IQ_CLOSED_LOANS_GROSS_LOANS_FFIEC" hidden="1">"c13399"</definedName>
    <definedName name="IQ_CLOSED_LOANS_RISK_BASED_FFIEC" hidden="1">"c13420"</definedName>
    <definedName name="IQ_CLOSEPRICE" hidden="1">"c174"</definedName>
    <definedName name="IQ_CLOSEPRICE_ADJ" hidden="1">"c2115"</definedName>
    <definedName name="IQ_CMBS_ISSUED_AVAIL_SALE_FFIEC" hidden="1">"c12800"</definedName>
    <definedName name="IQ_CMBS_ISSUED_FFIEC" hidden="1">"c12786"</definedName>
    <definedName name="IQ_CMO_FDIC" hidden="1">"c6406"</definedName>
    <definedName name="IQ_COGS" hidden="1">"c175"</definedName>
    <definedName name="IQ_COLLATERAL_TYPE" hidden="1">"c8954"</definedName>
    <definedName name="IQ_COLLECTION_DOMESTIC_FDIC" hidden="1">"c6387"</definedName>
    <definedName name="IQ_COM_TARGET_PRICE" hidden="1">"c13606"</definedName>
    <definedName name="IQ_COM_TARGET_PRICE_CIQ" hidden="1">"c13599"</definedName>
    <definedName name="IQ_COM_TARGET_PRICE_HIGH" hidden="1">"c13607"</definedName>
    <definedName name="IQ_COM_TARGET_PRICE_HIGH_CIQ" hidden="1">"c13600"</definedName>
    <definedName name="IQ_COM_TARGET_PRICE_LOW" hidden="1">"c13608"</definedName>
    <definedName name="IQ_COM_TARGET_PRICE_LOW_CIQ" hidden="1">"c13601"</definedName>
    <definedName name="IQ_COM_TARGET_PRICE_MEDIAN" hidden="1">"c13609"</definedName>
    <definedName name="IQ_COM_TARGET_PRICE_MEDIAN_CIQ" hidden="1">"c13602"</definedName>
    <definedName name="IQ_COM_TARGET_PRICE_NUM" hidden="1">"c13604"</definedName>
    <definedName name="IQ_COM_TARGET_PRICE_NUM_CIQ" hidden="1">"c13597"</definedName>
    <definedName name="IQ_COM_TARGET_PRICE_STDDEV" hidden="1">"c13605"</definedName>
    <definedName name="IQ_COM_TARGET_PRICE_STDDEV_CIQ" hidden="1">"c13598"</definedName>
    <definedName name="IQ_COMBINED_RATIO" hidden="1">"c176"</definedName>
    <definedName name="IQ_COMM_IND_LOANS_TOT_LOANS_FFIEC" hidden="1">"c13874"</definedName>
    <definedName name="IQ_COMM_INDUSTRIAL_LOANS_FFIEC" hidden="1">"c12821"</definedName>
    <definedName name="IQ_COMM_INDUSTRIAL_NON_US_LL_REC_FFIEC" hidden="1">"c12888"</definedName>
    <definedName name="IQ_COMM_INDUSTRIAL_US_LL_REC_FFIEC" hidden="1">"c12887"</definedName>
    <definedName name="IQ_COMM_RE_FARM_LOANS_TOT_LOANS_FFIEC" hidden="1">"c13872"</definedName>
    <definedName name="IQ_COMM_RE_NONFARM_NONRES_TOT_LOANS_FFIEC" hidden="1">"c13871"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GROSS_LOANS_FFIEC" hidden="1">"c13410"</definedName>
    <definedName name="IQ_COMMERCIAL_INDUSTRIAL_LOANS_DUE_30_89_FFIEC" hidden="1">"c13271"</definedName>
    <definedName name="IQ_COMMERCIAL_INDUSTRIAL_LOANS_DUE_90_FFIEC" hidden="1">"c13297"</definedName>
    <definedName name="IQ_COMMERCIAL_INDUSTRIAL_LOANS_LL_REC_DOM_FFIEC" hidden="1">"c12910"</definedName>
    <definedName name="IQ_COMMERCIAL_INDUSTRIAL_LOANS_NET_FDIC" hidden="1">"c6317"</definedName>
    <definedName name="IQ_COMMERCIAL_INDUSTRIAL_LOANS_NON_ACCRUAL_FFIEC" hidden="1">"c13323"</definedName>
    <definedName name="IQ_COMMERCIAL_INDUSTRIAL_NET_CHARGE_OFFS_FDIC" hidden="1">"c6636"</definedName>
    <definedName name="IQ_COMMERCIAL_INDUSTRIAL_NON_US_CHARGE_OFFS_FFIEC" hidden="1">"c13179"</definedName>
    <definedName name="IQ_COMMERCIAL_INDUSTRIAL_NON_US_RECOV_FFIEC" hidden="1">"c13201"</definedName>
    <definedName name="IQ_COMMERCIAL_INDUSTRIAL_RECOVERIES_FDIC" hidden="1">"c6617"</definedName>
    <definedName name="IQ_COMMERCIAL_INDUSTRIAL_RISK_BASED_FFIEC" hidden="1">"c13431"</definedName>
    <definedName name="IQ_COMMERCIAL_INDUSTRIAL_TOTAL_LOANS_FOREIGN_FDIC" hidden="1">"c6451"</definedName>
    <definedName name="IQ_COMMERCIAL_INDUSTRIAL_TRADING_DOM_FFIEC" hidden="1">"c12932"</definedName>
    <definedName name="IQ_COMMERCIAL_INDUSTRIAL_US_CHARGE_OFFS_FFIEC" hidden="1">"c13178"</definedName>
    <definedName name="IQ_COMMERCIAL_INDUSTRIAL_US_RECOV_FFIEC" hidden="1">"c13200"</definedName>
    <definedName name="IQ_COMMERCIAL_MORT" hidden="1">"c179"</definedName>
    <definedName name="IQ_COMMERCIAL_OTHER_LOC_FFIEC" hidden="1">"c13253"</definedName>
    <definedName name="IQ_COMMERCIAL_PAPER_ASSETS_TOT_FFIEC" hidden="1">"c13449"</definedName>
    <definedName name="IQ_COMMERCIAL_PAPER_FFIEC" hidden="1">"c12863"</definedName>
    <definedName name="IQ_COMMERCIAL_RE_CONSTRUCTION_LAND_DEV_FDIC" hidden="1">"c6526"</definedName>
    <definedName name="IQ_COMMERCIAL_RE_GROSS_LOANS_FFIEC" hidden="1">"c13400"</definedName>
    <definedName name="IQ_COMMERCIAL_RE_LOANS_FDIC" hidden="1">"c6312"</definedName>
    <definedName name="IQ_COMMERCIAL_RE_RISK_BASED_FFIEC" hidden="1">"c13421"</definedName>
    <definedName name="IQ_COMMISS_FEES" hidden="1">"c180"</definedName>
    <definedName name="IQ_COMMISSION_DEF" hidden="1">"c181"</definedName>
    <definedName name="IQ_COMMITMENTS_BUY_SEC_OTHER_OFF_BS_FFIEC" hidden="1">"c13128"</definedName>
    <definedName name="IQ_COMMITMENTS_COMMERCIAL_RE_UNUSED_FFIEC" hidden="1">"c13243"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ITMENTS_SELL_SEC_OTHER_OFF_BS_FFIEC" hidden="1">"c13129"</definedName>
    <definedName name="IQ_COMMODITY_EXPOSURE_FFIEC" hidden="1">"c13061"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"c13596"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MON_STOCK_FFIEC" hidden="1">"c12876"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MPETITOR_ALL" hidden="1">"c13754"</definedName>
    <definedName name="IQ_COMPETITOR_NAMED_BY_COMPANY" hidden="1">"c13751"</definedName>
    <definedName name="IQ_COMPETITOR_NAMED_BY_COMPETITOR" hidden="1">"c13752"</definedName>
    <definedName name="IQ_COMPETITOR_NAMED_BY_THIRDPARTY" hidden="1">"c13753"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OLIDATED_ASSETS_QUARTERLY_AVG_FFIEC" hidden="1">"c13087"</definedName>
    <definedName name="IQ_CONST_LAND_DEV_LOANS_TOT_LOANS_FFIEC" hidden="1">"c13865"</definedName>
    <definedName name="IQ_CONST_LAND_DEVELOP_OTHER_DOM_CHARGE_OFFS_FFIEC" hidden="1">"c13628"</definedName>
    <definedName name="IQ_CONST_LAND_DEVELOP_OTHER_DOM_RECOV_FFIEC" hidden="1">"c13632"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L_REC_DOM_FFIEC" hidden="1">"c12900"</definedName>
    <definedName name="IQ_CONSTRUCTION_LOANS" hidden="1">"c222"</definedName>
    <definedName name="IQ_CONSTRUCTION_LOANS_DOM_DUE_30_89_FFIEC" hidden="1">"c13256"</definedName>
    <definedName name="IQ_CONSTRUCTION_LOANS_DOM_DUE_90_FFIEC" hidden="1">"c13284"</definedName>
    <definedName name="IQ_CONSTRUCTION_LOANS_DOM_NON_ACCRUAL_FFIEC" hidden="1">"c13310"</definedName>
    <definedName name="IQ_CONSTRUCTION_LOANS_GROSS_LOANS_FFIEC" hidden="1">"c13401"</definedName>
    <definedName name="IQ_CONSTRUCTION_RISK_BASED_FFIEC" hidden="1">"c13422"</definedName>
    <definedName name="IQ_CONSULTING_FFIEC" hidden="1">"c13055"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LEASES_LL_REC_FFIEC" hidden="1">"c12895"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OANS" hidden="1">"c223"</definedName>
    <definedName name="IQ_CONSUMER_LOANS_LL_REC_DOM_FFIEC" hidden="1">"c12911"</definedName>
    <definedName name="IQ_CONSUMER_LOANS_TOT_LOANS_FFIEC" hidden="1">"c13875"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RACTS_OTHER_COMMODITIES_EQUITIES_FDIC" hidden="1">"c6522"</definedName>
    <definedName name="IQ_CONTRIBUTOR_CIQID" hidden="1">"c13742"</definedName>
    <definedName name="IQ_CONTRIBUTOR_NAME" hidden="1">"c13735"</definedName>
    <definedName name="IQ_CONTRIBUTOR_START_DATE" hidden="1">"c13741"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SION_COMMON_FFIEC" hidden="1">"c12964"</definedName>
    <definedName name="IQ_CONVERSION_PREF_FFIEC" hidden="1">"c12962"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E_DEPOSITS_ASSETS_TOT_FFIEC" hidden="1">"c13442"</definedName>
    <definedName name="IQ_CORE_DEPOSITS_FFIEC" hidden="1">"c13862"</definedName>
    <definedName name="IQ_CORE_DEPOSITS_TOT_DEPOSITS_FFIEC" hidden="1">"c13911"</definedName>
    <definedName name="IQ_CORP_GOODS_PRICE_INDEX_APR_FC_UNUSED" hidden="1">"c8381"</definedName>
    <definedName name="IQ_CORP_GOODS_PRICE_INDEX_APR_UNUSED" hidden="1">"c7501"</definedName>
    <definedName name="IQ_CORP_GOODS_PRICE_INDEX_FC_UNUSED" hidden="1">"c7721"</definedName>
    <definedName name="IQ_CORP_GOODS_PRICE_INDEX_POP_FC_UNUSED" hidden="1">"c7941"</definedName>
    <definedName name="IQ_CORP_GOODS_PRICE_INDEX_POP_UNUSED" hidden="1">"c7061"</definedName>
    <definedName name="IQ_CORP_GOODS_PRICE_INDEX_UNUSED" hidden="1">"c6841"</definedName>
    <definedName name="IQ_CORP_GOODS_PRICE_INDEX_YOY_FC_UNUSED" hidden="1">"c8161"</definedName>
    <definedName name="IQ_CORP_GOODS_PRICE_INDEX_YOY_UNUSED" hidden="1">"c7281"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YOY" hidden="1">"c7283"</definedName>
    <definedName name="IQ_CORP_PROFITS_YOY_FC" hidden="1">"c8163"</definedName>
    <definedName name="IQ_CORPORATE_OVER_TOTAL" hidden="1">"c13767"</definedName>
    <definedName name="IQ_COST_BORROWED_FUNDS_FFIEC" hidden="1">"c13492"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FOREIGN_DEPOSITS_FFIEC" hidden="1">"c13490"</definedName>
    <definedName name="IQ_COST_FUNDS_PURCHASED_FFIEC" hidden="1">"c13491"</definedName>
    <definedName name="IQ_COST_INT_DEPOSITS_FFIEC" hidden="1">"c13489"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hidden="1">"c230"</definedName>
    <definedName name="IQ_COUNTRY_NAME_ECON" hidden="1">"c11752"</definedName>
    <definedName name="IQ_COUPON_FORMULA" hidden="1">"c8965"</definedName>
    <definedName name="IQ_COVERED_POPS" hidden="1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GROSS_LOANS_FFIEC" hidden="1">"c13412"</definedName>
    <definedName name="IQ_CREDIT_CARD_INTERCHANGE_FEES_FFIEC" hidden="1">"c13046"</definedName>
    <definedName name="IQ_CREDIT_CARD_LINES_FDIC" hidden="1">"c6525"</definedName>
    <definedName name="IQ_CREDIT_CARD_LINES_UNUSED_FFIEC" hidden="1">"c13242"</definedName>
    <definedName name="IQ_CREDIT_CARD_LOANS_CHARGE_OFFS_FFIEC" hidden="1">"c13180"</definedName>
    <definedName name="IQ_CREDIT_CARD_LOANS_DUE_30_89_FFIEC" hidden="1">"c13272"</definedName>
    <definedName name="IQ_CREDIT_CARD_LOANS_DUE_90_FFIEC" hidden="1">"c13298"</definedName>
    <definedName name="IQ_CREDIT_CARD_LOANS_FDIC" hidden="1">"c6319"</definedName>
    <definedName name="IQ_CREDIT_CARD_LOANS_NON_ACCRUAL_FFIEC" hidden="1">"c13324"</definedName>
    <definedName name="IQ_CREDIT_CARD_LOANS_RECOV_FFIEC" hidden="1">"c13202"</definedName>
    <definedName name="IQ_CREDIT_CARD_NET_CHARGE_OFFS_FDIC" hidden="1">"c6654"</definedName>
    <definedName name="IQ_CREDIT_CARD_RECOVERIES_FDIC" hidden="1">"c6653"</definedName>
    <definedName name="IQ_CREDIT_CARD_RISK_BASED_FFIEC" hidden="1">"c13433"</definedName>
    <definedName name="IQ_CREDIT_CARDS_CONSUMER_LOANS_FFIEC" hidden="1">"c12822"</definedName>
    <definedName name="IQ_CREDIT_CARDS_LL_REC_FFIEC" hidden="1">"c12889"</definedName>
    <definedName name="IQ_CREDIT_CARDS_LOANS_TRADING_DOM_FFIEC" hidden="1">"c12933"</definedName>
    <definedName name="IQ_CREDIT_EXPOSURE" hidden="1">"c10038"</definedName>
    <definedName name="IQ_CREDIT_EXPOSURE_FFIEC" hidden="1">"c13062"</definedName>
    <definedName name="IQ_CREDIT_LOSS_CF" hidden="1">"c232"</definedName>
    <definedName name="IQ_CREDIT_LOSS_PROVISION_NET_CHARGE_OFFS_FDIC" hidden="1">"c6734"</definedName>
    <definedName name="IQ_CREDIT_LOSSES_DERIVATIVES_FFIEC" hidden="1">"c13068"</definedName>
    <definedName name="IQ_CREDIT_OPTIONS_DERIVATIVES_BENEFICIARY_FFIEC" hidden="1">"c13121"</definedName>
    <definedName name="IQ_CREDIT_OPTIONS_DERIVATIVES_GUARANTOR_FFIEC" hidden="1">"c13114"</definedName>
    <definedName name="IQ_CUMULATIVE_PREFERREDS_T2_FFIEC" hidden="1">"c13145"</definedName>
    <definedName name="IQ_CUMULATIVE_SPLIT_FACTOR" hidden="1">"c2094"</definedName>
    <definedName name="IQ_CURR_ACCT_BALANCE_APR_FC_UNUSED" hidden="1">"c8387"</definedName>
    <definedName name="IQ_CURR_ACCT_BALANCE_APR_UNUSED" hidden="1">"c7507"</definedName>
    <definedName name="IQ_CURR_ACCT_BALANCE_FC_UNUSED" hidden="1">"c7727"</definedName>
    <definedName name="IQ_CURR_ACCT_BALANCE_PCT" hidden="1">"c6846"</definedName>
    <definedName name="IQ_CURR_ACCT_BALANCE_PCT_FC" hidden="1">"c7726"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" hidden="1">"c7947"</definedName>
    <definedName name="IQ_CURR_ACCT_BALANCE_POP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" hidden="1">"c8167"</definedName>
    <definedName name="IQ_CURR_ACCT_BALANCE_YOY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TOMER_LIAB_ACCEPTANCES_OUT_FFIEC" hidden="1">"c12835"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A_PROCESSING_EXP_FFIEC" hidden="1">"c13047"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1_5_INVEST_SECURITIES_FFIEC" hidden="1">"c13465"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BT_LESS_1YR_INVEST_SECURITIES_FFIEC" hidden="1">"c13464"</definedName>
    <definedName name="IQ_DEBT_MATURING_MORE_THAN_ONE_YEAR_FFIEC" hidden="1">"c13164"</definedName>
    <definedName name="IQ_DEBT_MATURING_WITHIN_ONE_YEAR_FFIEC" hidden="1">"c13163"</definedName>
    <definedName name="IQ_DEBT_SEC_OVER_5YR_INVEST_SECURITIES_FFIEC" hidden="1">"c13466"</definedName>
    <definedName name="IQ_DEBT_SECURITIES_FOREIGN_FFIEC" hidden="1">"c13484"</definedName>
    <definedName name="IQ_DEBT_SECURITIES_OTHER_ASSETS_DUE_30_89_FFIEC" hidden="1">"c13279"</definedName>
    <definedName name="IQ_DEBT_SECURITIES_OTHER_ASSETS_DUE_90_FFIEC" hidden="1">"c13305"</definedName>
    <definedName name="IQ_DEBT_SECURITIES_OTHER_ASSETS_NON_ACCRUAL_FFIEC" hidden="1">"c13331"</definedName>
    <definedName name="IQ_DECREASE_INT_EXPENSE_FFIEC" hidden="1">"c13064"</definedName>
    <definedName name="IQ_DEDUCTIONS_TOTAL_RISK_BASED_CAPITAL_FFIEC" hidden="1">"c13152"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_ASSETS_FFIEC" hidden="1">"c12843"</definedName>
    <definedName name="IQ_DEFERRED_TAX_ASSETS_T1_FFIEC" hidden="1">"c13141"</definedName>
    <definedName name="IQ_DEFERRED_TAX_LIAB_FFIEC" hidden="1">"c12870"</definedName>
    <definedName name="IQ_DEFERRED_TAXES" hidden="1">"c1356"</definedName>
    <definedName name="IQ_DEMAND_DEP" hidden="1">"c320"</definedName>
    <definedName name="IQ_DEMAND_DEPOSITS_COMMERCIAL_BANK_SUBS_FFIEC" hidden="1">"c12945"</definedName>
    <definedName name="IQ_DEMAND_DEPOSITS_FDIC" hidden="1">"c6489"</definedName>
    <definedName name="IQ_DEMAND_DEPOSITS_TOT_DEPOSITS_FFIEC" hidden="1">"c13902"</definedName>
    <definedName name="IQ_DEPOSIT_ACCOUNTS_LESS_THAN_100K_FDIC" hidden="1">"c6494"</definedName>
    <definedName name="IQ_DEPOSIT_ACCOUNTS_MORE_THAN_100K_FDIC" hidden="1">"c6492"</definedName>
    <definedName name="IQ_DEPOSITORY_INST_ACCEPTANCES_LL_REC_DOM_FFIEC" hidden="1">"c12908"</definedName>
    <definedName name="IQ_DEPOSITORY_INST_GROSS_LOANS_FFIEC" hidden="1">"c13409"</definedName>
    <definedName name="IQ_DEPOSITORY_INST_RISK_BASED_FFIEC" hidden="1">"c13430"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100K_MORE_ASSETS_TOT_FFIEC" hidden="1">"c13444"</definedName>
    <definedName name="IQ_DEPOSITS_DOM_FFIEC" hidden="1">"c12850"</definedName>
    <definedName name="IQ_DEPOSITS_FAIR_VALUE_TOT_FFIEC" hidden="1">"c13213"</definedName>
    <definedName name="IQ_DEPOSITS_FIN" hidden="1">"c321"</definedName>
    <definedName name="IQ_DEPOSITS_FOREIGN_FFIEC" hidden="1">"c12853"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100K_COMMERCIAL_BANK_SUBS_FFIEC" hidden="1">"c12948"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LEVEL_1_FFIEC" hidden="1">"c13221"</definedName>
    <definedName name="IQ_DEPOSITS_LEVEL_2_FFIEC" hidden="1">"c13229"</definedName>
    <definedName name="IQ_DEPOSITS_LEVEL_3_FFIEC" hidden="1">"c13237"</definedName>
    <definedName name="IQ_DEPOSITS_MORE_100K_COMMERCIAL_BANK_SUBS_FFIEC" hidden="1">"c12949"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RIVATIVES_NEGATIVE_FAIR_VALUE_DOM_FFIEC" hidden="1">"c12943"</definedName>
    <definedName name="IQ_DERIVATIVES_NEGATIVE_VALUE_FFIEC" hidden="1">"c12861"</definedName>
    <definedName name="IQ_DERIVATIVES_POS_FAIR_VALUE_FFIEC" hidden="1">"c12827"</definedName>
    <definedName name="IQ_DERIVATIVES_POSITIVE_FAIR_VALUE_TRADING_DOM_FFIEC" hidden="1">"c12938"</definedName>
    <definedName name="IQ_DESCRIPTION_LONG" hidden="1">"c1520"</definedName>
    <definedName name="IQ_DEVELOP_LAND" hidden="1">"c323"</definedName>
    <definedName name="IQ_DIC" hidden="1">"c13834"</definedName>
    <definedName name="IQ_DIFF_LASTCLOSE_TARGET_PRICE" hidden="1">"c1854"</definedName>
    <definedName name="IQ_DIFF_LASTCLOSE_TARGET_PRICE_CIQ" hidden="1">"c4767"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RECTORS_FEES_FFIEC" hidden="1">"c13049"</definedName>
    <definedName name="IQ_DISALLOWED_DEFERRED_TAX_ASSETS_FFIEC" hidden="1">"c13157"</definedName>
    <definedName name="IQ_DISALLOWED_GOODWILL_INTANGIBLE_ASSETS_FFIEC" hidden="1">"c13155"</definedName>
    <definedName name="IQ_DISALLOWED_GOODWILL_INTANGIBLES_T1_FFIEC" hidden="1">"c13137"</definedName>
    <definedName name="IQ_DISALLOWED_SERVICING_ASSETS_FFIEC" hidden="1">"c13156"</definedName>
    <definedName name="IQ_DISALLOWED_SERVICING_ASSETS_T1_FFIEC" hidden="1">"c13140"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UTABLE_CASH" hidden="1">"c3002"</definedName>
    <definedName name="IQ_DISTRIBUTABLE_CASH_ACT_OR_EST_CIQ" hidden="1">"c4803"</definedName>
    <definedName name="IQ_DISTRIBUTABLE_CASH_PAYOUT" hidden="1">"c3005"</definedName>
    <definedName name="IQ_DISTRIBUTABLE_CASH_SHARE" hidden="1">"c3003"</definedName>
    <definedName name="IQ_DISTRIBUTABLE_CASH_SHARE_ACT_OR_EST_CIQ" hidden="1">"c4811"</definedName>
    <definedName name="IQ_DIV_AMOUNT" hidden="1">"c3041"</definedName>
    <definedName name="IQ_DIV_PAYMENT_DATE" hidden="1">"c2205"</definedName>
    <definedName name="IQ_DIV_PAYMENT_TYPE" hidden="1">"c12752"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COMMON_FFIEC" hidden="1">"c12969"</definedName>
    <definedName name="IQ_DIVIDENDS_DECLARED_PREFERRED_FDIC" hidden="1">"c6658"</definedName>
    <definedName name="IQ_DIVIDENDS_DECLARED_PREFERRED_FFIEC" hidden="1">"c12968"</definedName>
    <definedName name="IQ_DIVIDENDS_FDIC" hidden="1">"c6660"</definedName>
    <definedName name="IQ_DIVIDENDS_NET_INCOME_FFIEC" hidden="1">"c13349"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OM_OFFICE_DEPOSITS_TOT_DEPOSITS_FFIEC" hidden="1">"c13910"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YIELD" hidden="1">"c343"</definedName>
    <definedName name="IQ_EARNING_ASSETS_AVG_ASSETS_FFIEC" hidden="1">"c13354"</definedName>
    <definedName name="IQ_EARNING_ASSETS_FDIC" hidden="1">"c6360"</definedName>
    <definedName name="IQ_EARNING_ASSETS_QUARTERLY_AVG_FFIEC" hidden="1">"c13086"</definedName>
    <definedName name="IQ_EARNING_ASSETS_REPRICE_ASSETS_TOT_FFIEC" hidden="1">"c13451"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CIQ" hidden="1">"c4656"</definedName>
    <definedName name="IQ_EARNINGS_CO_FFIEC" hidden="1">"c13032"</definedName>
    <definedName name="IQ_EARNINGS_COVERAGE_LOSSES_FFIEC" hidden="1">"c13351"</definedName>
    <definedName name="IQ_EARNINGS_COVERAGE_NET_CHARGE_OFFS_FDIC" hidden="1">"c6735"</definedName>
    <definedName name="IQ_EARNINGS_LIFE_INSURANCE_FFIEC" hidden="1">"c13041"</definedName>
    <definedName name="IQ_EARNINGS_PERIOD_COVERED" hidden="1">"c9958"</definedName>
    <definedName name="IQ_EARNINGS_PERIOD_GROUP" hidden="1">"c9944"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INT" hidden="1">"c360"</definedName>
    <definedName name="IQ_EBIT_MARGIN" hidden="1">"c359"</definedName>
    <definedName name="IQ_EBIT_OVER_IE" hidden="1">"c1369"</definedName>
    <definedName name="IQ_EBIT_SBC_ACT_OR_EST_CIQ" hidden="1">"c4841"</definedName>
    <definedName name="IQ_EBIT_SBC_GW_ACT_OR_EST_CIQ" hidden="1">"c4845"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XCL_SBC" hidden="1">"c3081"</definedName>
    <definedName name="IQ_EBITDA_HIGH_EST" hidden="1">"c370"</definedName>
    <definedName name="IQ_EBITDA_HIGH_EST_CIQ" hidden="1">"c3624"</definedName>
    <definedName name="IQ_EBITDA_INT" hidden="1">"c373"</definedName>
    <definedName name="IQ_EBITDA_LOW_EST" hidden="1">"c371"</definedName>
    <definedName name="IQ_EBITDA_LOW_EST_CIQ" hidden="1">"c3625"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NUM_EST" hidden="1">"c374"</definedName>
    <definedName name="IQ_EBITDA_NUM_EST_CIQ" hidden="1">"c3626"</definedName>
    <definedName name="IQ_EBITDA_OVER_TOTAL_IE" hidden="1">"c1371"</definedName>
    <definedName name="IQ_EBITDA_SBC_ACT_OR_EST_CIQ" hidden="1">"c4862"</definedName>
    <definedName name="IQ_EBITDA_STDDEV_EST" hidden="1">"c375"</definedName>
    <definedName name="IQ_EBITDA_STDDEV_EST_CIQ" hidden="1">"c3627"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FIEC" hidden="1">"c13029"</definedName>
    <definedName name="IQ_EBT_FIN" hidden="1">"c386"</definedName>
    <definedName name="IQ_EBT_FTE_FFIEC" hidden="1">"c13037"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_CIQ" hidden="1">"c4875"</definedName>
    <definedName name="IQ_EBT_SBC_GW_ACT_OR_EST_CIQ" hidden="1">"c4879"</definedName>
    <definedName name="IQ_EBT_SUBTOTAL_AP" hidden="1">"c8982"</definedName>
    <definedName name="IQ_EBT_UTI" hidden="1">"c390"</definedName>
    <definedName name="IQ_ECO_METRIC_6825_UNUSED" hidden="1">"c6825"</definedName>
    <definedName name="IQ_ECO_METRIC_6839_UNUSED" hidden="1">"c6839"</definedName>
    <definedName name="IQ_ECO_METRIC_6896_UNUSED" hidden="1">"c6896"</definedName>
    <definedName name="IQ_ECO_METRIC_6897_UNUSED" hidden="1">"c6897"</definedName>
    <definedName name="IQ_ECO_METRIC_6927" hidden="1">"c6927"</definedName>
    <definedName name="IQ_ECO_METRIC_6988_UNUSED" hidden="1">"c6988"</definedName>
    <definedName name="IQ_ECO_METRIC_7045_UNUSED" hidden="1">"c7045"</definedName>
    <definedName name="IQ_ECO_METRIC_7059_UNUSED" hidden="1">"c7059"</definedName>
    <definedName name="IQ_ECO_METRIC_7116_UNUSED" hidden="1">"c7116"</definedName>
    <definedName name="IQ_ECO_METRIC_7117_UNUSED" hidden="1">"c7117"</definedName>
    <definedName name="IQ_ECO_METRIC_7147" hidden="1">"c7147"</definedName>
    <definedName name="IQ_ECO_METRIC_7208_UNUSED" hidden="1">"c7208"</definedName>
    <definedName name="IQ_ECO_METRIC_7265_UNUSED" hidden="1">"c7265"</definedName>
    <definedName name="IQ_ECO_METRIC_7279_UNUSED" hidden="1">"c7279"</definedName>
    <definedName name="IQ_ECO_METRIC_7336_UNUSED" hidden="1">"c7336"</definedName>
    <definedName name="IQ_ECO_METRIC_7337_UNUSED" hidden="1">"c7337"</definedName>
    <definedName name="IQ_ECO_METRIC_7367" hidden="1">"c7367"</definedName>
    <definedName name="IQ_ECO_METRIC_7428_UNUSED" hidden="1">"c7428"</definedName>
    <definedName name="IQ_ECO_METRIC_7556_UNUSED" hidden="1">"c7556"</definedName>
    <definedName name="IQ_ECO_METRIC_7557_UNUSED" hidden="1">"c7557"</definedName>
    <definedName name="IQ_ECO_METRIC_7587" hidden="1">"c7587"</definedName>
    <definedName name="IQ_ECO_METRIC_7648_UNUSED" hidden="1">"c7648"</definedName>
    <definedName name="IQ_ECO_METRIC_7704" hidden="1">"c7704"</definedName>
    <definedName name="IQ_ECO_METRIC_7705_UNUSED" hidden="1">"c7705"</definedName>
    <definedName name="IQ_ECO_METRIC_7706" hidden="1">"c7706"</definedName>
    <definedName name="IQ_ECO_METRIC_7718" hidden="1">"c7718"</definedName>
    <definedName name="IQ_ECO_METRIC_7719_UNUSED" hidden="1">"c7719"</definedName>
    <definedName name="IQ_ECO_METRIC_7776_UNUSED" hidden="1">"c7776"</definedName>
    <definedName name="IQ_ECO_METRIC_7777_UNUSED" hidden="1">"c7777"</definedName>
    <definedName name="IQ_ECO_METRIC_7807" hidden="1">"c7807"</definedName>
    <definedName name="IQ_ECO_METRIC_7811" hidden="1">"c7811"</definedName>
    <definedName name="IQ_ECO_METRIC_7868_UNUSED" hidden="1">"c7868"</definedName>
    <definedName name="IQ_ECO_METRIC_7873" hidden="1">"c7873"</definedName>
    <definedName name="IQ_ECO_METRIC_7924" hidden="1">"c7924"</definedName>
    <definedName name="IQ_ECO_METRIC_7925_UNUSED" hidden="1">"c7925"</definedName>
    <definedName name="IQ_ECO_METRIC_7926" hidden="1">"c7926"</definedName>
    <definedName name="IQ_ECO_METRIC_7938" hidden="1">"c7938"</definedName>
    <definedName name="IQ_ECO_METRIC_7939_UNUSED" hidden="1">"c7939"</definedName>
    <definedName name="IQ_ECO_METRIC_7996_UNUSED" hidden="1">"c7996"</definedName>
    <definedName name="IQ_ECO_METRIC_7997_UNUSED" hidden="1">"c7997"</definedName>
    <definedName name="IQ_ECO_METRIC_8027" hidden="1">"c8027"</definedName>
    <definedName name="IQ_ECO_METRIC_8031" hidden="1">"c8031"</definedName>
    <definedName name="IQ_ECO_METRIC_8088_UNUSED" hidden="1">"c8088"</definedName>
    <definedName name="IQ_ECO_METRIC_8093" hidden="1">"c8093"</definedName>
    <definedName name="IQ_ECO_METRIC_8144" hidden="1">"c8144"</definedName>
    <definedName name="IQ_ECO_METRIC_8145_UNUSED" hidden="1">"c8145"</definedName>
    <definedName name="IQ_ECO_METRIC_8146" hidden="1">"c8146"</definedName>
    <definedName name="IQ_ECO_METRIC_8158" hidden="1">"c8158"</definedName>
    <definedName name="IQ_ECO_METRIC_8159_UNUSED" hidden="1">"c8159"</definedName>
    <definedName name="IQ_ECO_METRIC_8216_UNUSED" hidden="1">"c8216"</definedName>
    <definedName name="IQ_ECO_METRIC_8217_UNUSED" hidden="1">"c8217"</definedName>
    <definedName name="IQ_ECO_METRIC_8247" hidden="1">"c8247"</definedName>
    <definedName name="IQ_ECO_METRIC_8251" hidden="1">"c8251"</definedName>
    <definedName name="IQ_ECO_METRIC_8308_UNUSED" hidden="1">"c8308"</definedName>
    <definedName name="IQ_ECO_METRIC_8313" hidden="1">"c8313"</definedName>
    <definedName name="IQ_ECO_METRIC_8366" hidden="1">"c8366"</definedName>
    <definedName name="IQ_ECO_METRIC_8378" hidden="1">"c8378"</definedName>
    <definedName name="IQ_ECO_METRIC_8436_UNUSED" hidden="1">"c8436"</definedName>
    <definedName name="IQ_ECO_METRIC_8437_UNUSED" hidden="1">"c8437"</definedName>
    <definedName name="IQ_ECO_METRIC_8467" hidden="1">"c8467"</definedName>
    <definedName name="IQ_ECO_METRIC_8471" hidden="1">"c8471"</definedName>
    <definedName name="IQ_ECO_METRIC_8528_UNUSED" hidden="1">"c8528"</definedName>
    <definedName name="IQ_ECO_METRIC_8533" hidden="1">"c8533"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ECTIVE_DATE" hidden="1">"c8966"</definedName>
    <definedName name="IQ_EFFICIENCY_RATIO" hidden="1">"c391"</definedName>
    <definedName name="IQ_EFFICIENCY_RATIO_FDIC" hidden="1">"c6736"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MPLOYEES_FFIEC" hidden="1">"c13035"</definedName>
    <definedName name="IQ_ENTERPRISE_VALUE" hidden="1">"c1348"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P" hidden="1">"c8880"</definedName>
    <definedName name="IQ_EPS_AP_ABS" hidden="1">"c8899"</definedName>
    <definedName name="IQ_EPS_EST" hidden="1">"c399"</definedName>
    <definedName name="IQ_EPS_EST_BOTTOM_UP_CIQ" hidden="1">"c12026"</definedName>
    <definedName name="IQ_EPS_EST_CIQ" hidden="1">"c4994"</definedName>
    <definedName name="IQ_EPS_GW_ACT_OR_EST" hidden="1">"c2223"</definedName>
    <definedName name="IQ_EPS_GW_ACT_OR_EST_CIQ" hidden="1">"c5066"</definedName>
    <definedName name="IQ_EPS_GW_EST" hidden="1">"c1737"</definedName>
    <definedName name="IQ_EPS_GW_EST_BOTTOM_UP_CIQ" hidden="1">"c12028"</definedName>
    <definedName name="IQ_EPS_GW_EST_CIQ" hidden="1">"c4723"</definedName>
    <definedName name="IQ_EPS_GW_HIGH_EST" hidden="1">"c1739"</definedName>
    <definedName name="IQ_EPS_GW_HIGH_EST_CIQ" hidden="1">"c4725"</definedName>
    <definedName name="IQ_EPS_GW_LOW_EST" hidden="1">"c1740"</definedName>
    <definedName name="IQ_EPS_GW_LOW_EST_CIQ" hidden="1">"c4726"</definedName>
    <definedName name="IQ_EPS_GW_MEDIAN_EST" hidden="1">"c1738"</definedName>
    <definedName name="IQ_EPS_GW_MEDIAN_EST_CIQ" hidden="1">"c4724"</definedName>
    <definedName name="IQ_EPS_GW_NUM_EST" hidden="1">"c1741"</definedName>
    <definedName name="IQ_EPS_GW_NUM_EST_CIQ" hidden="1">"c4727"</definedName>
    <definedName name="IQ_EPS_GW_STDDEV_EST" hidden="1">"c1742"</definedName>
    <definedName name="IQ_EPS_GW_STDDEV_EST_CIQ" hidden="1">"c4728"</definedName>
    <definedName name="IQ_EPS_HIGH_EST" hidden="1">"c400"</definedName>
    <definedName name="IQ_EPS_HIGH_EST_CIQ" hidden="1">"c4995"</definedName>
    <definedName name="IQ_EPS_LOW_EST" hidden="1">"c401"</definedName>
    <definedName name="IQ_EPS_LOW_EST_CIQ" hidden="1">"c4996"</definedName>
    <definedName name="IQ_EPS_MEDIAN_EST" hidden="1">"c1661"</definedName>
    <definedName name="IQ_EPS_MEDIAN_EST_CIQ" hidden="1">"c4997"</definedName>
    <definedName name="IQ_EPS_NAME_AP" hidden="1">"c8918"</definedName>
    <definedName name="IQ_EPS_NAME_AP_ABS" hidden="1">"c8937"</definedName>
    <definedName name="IQ_EPS_NORM" hidden="1">"c1902"</definedName>
    <definedName name="IQ_EPS_NORM_EST" hidden="1">"c2226"</definedName>
    <definedName name="IQ_EPS_NORM_EST_BOTTOM_UP_CIQ" hidden="1">"c12027"</definedName>
    <definedName name="IQ_EPS_NORM_EST_CIQ" hidden="1">"c4667"</definedName>
    <definedName name="IQ_EPS_NORM_HIGH_EST" hidden="1">"c2228"</definedName>
    <definedName name="IQ_EPS_NORM_HIGH_EST_CIQ" hidden="1">"c4669"</definedName>
    <definedName name="IQ_EPS_NORM_LOW_EST" hidden="1">"c2229"</definedName>
    <definedName name="IQ_EPS_NORM_LOW_EST_CIQ" hidden="1">"c4670"</definedName>
    <definedName name="IQ_EPS_NORM_MEDIAN_EST" hidden="1">"c2227"</definedName>
    <definedName name="IQ_EPS_NORM_MEDIAN_EST_CIQ" hidden="1">"c4668"</definedName>
    <definedName name="IQ_EPS_NORM_NUM_EST" hidden="1">"c2230"</definedName>
    <definedName name="IQ_EPS_NORM_NUM_EST_CIQ" hidden="1">"c4671"</definedName>
    <definedName name="IQ_EPS_NORM_STDDEV_EST" hidden="1">"c2231"</definedName>
    <definedName name="IQ_EPS_NORM_STDDEV_EST_CIQ" hidden="1">"c4672"</definedName>
    <definedName name="IQ_EPS_NUM_EST" hidden="1">"c402"</definedName>
    <definedName name="IQ_EPS_NUM_EST_CIQ" hidden="1">"c4992"</definedName>
    <definedName name="IQ_EPS_REPORT_ACT_OR_EST" hidden="1">"c2224"</definedName>
    <definedName name="IQ_EPS_REPORT_ACT_OR_EST_CIQ" hidden="1">"c5067"</definedName>
    <definedName name="IQ_EPS_REPORTED_EST" hidden="1">"c1744"</definedName>
    <definedName name="IQ_EPS_REPORTED_EST_BOTTOM_UP_CIQ" hidden="1">"c12029"</definedName>
    <definedName name="IQ_EPS_REPORTED_EST_CIQ" hidden="1">"c4730"</definedName>
    <definedName name="IQ_EPS_REPORTED_HIGH_EST" hidden="1">"c1746"</definedName>
    <definedName name="IQ_EPS_REPORTED_HIGH_EST_CIQ" hidden="1">"c4732"</definedName>
    <definedName name="IQ_EPS_REPORTED_LOW_EST" hidden="1">"c1747"</definedName>
    <definedName name="IQ_EPS_REPORTED_LOW_EST_CIQ" hidden="1">"c4733"</definedName>
    <definedName name="IQ_EPS_REPORTED_MEDIAN_EST" hidden="1">"c1745"</definedName>
    <definedName name="IQ_EPS_REPORTED_MEDIAN_EST_CIQ" hidden="1">"c4731"</definedName>
    <definedName name="IQ_EPS_REPORTED_NUM_EST" hidden="1">"c1748"</definedName>
    <definedName name="IQ_EPS_REPORTED_NUM_EST_CIQ" hidden="1">"c4734"</definedName>
    <definedName name="IQ_EPS_REPORTED_STDDEV_EST" hidden="1">"c1749"</definedName>
    <definedName name="IQ_EPS_REPORTED_STDDEV_EST_CIQ" hidden="1">"c4735"</definedName>
    <definedName name="IQ_EPS_SBC_ACT_OR_EST_CIQ" hidden="1">"c4901"</definedName>
    <definedName name="IQ_EPS_SBC_GW_ACT_OR_EST_CIQ" hidden="1">"c4905"</definedName>
    <definedName name="IQ_EPS_STDDEV_EST" hidden="1">"c403"</definedName>
    <definedName name="IQ_EPS_STDDEV_EST_CIQ" hidden="1">"c4993"</definedName>
    <definedName name="IQ_EQUITY_AFFIL" hidden="1">"c1451"</definedName>
    <definedName name="IQ_EQUITY_AP" hidden="1">"c8887"</definedName>
    <definedName name="IQ_EQUITY_AP_ABS" hidden="1">"c8906"</definedName>
    <definedName name="IQ_EQUITY_ASSETS_TOT_FFIEC" hidden="1">"c13436"</definedName>
    <definedName name="IQ_EQUITY_BEG_EXCL_FFIEC" hidden="1">"c12957"</definedName>
    <definedName name="IQ_EQUITY_BEG_FFIEC" hidden="1">"c12959"</definedName>
    <definedName name="IQ_EQUITY_CAPITAL_ASSETS_FDIC" hidden="1">"c6744"</definedName>
    <definedName name="IQ_EQUITY_CAPITAL_QUARTERLY_AVG_FFIEC" hidden="1">"c13092"</definedName>
    <definedName name="IQ_EQUITY_ENDING_FFIEC" hidden="1">"c12973"</definedName>
    <definedName name="IQ_EQUITY_FDIC" hidden="1">"c6353"</definedName>
    <definedName name="IQ_EQUITY_INDEX_EXPOSURE_FFIEC" hidden="1">"c13060"</definedName>
    <definedName name="IQ_EQUITY_METHOD" hidden="1">"c404"</definedName>
    <definedName name="IQ_EQUITY_NAME_AP" hidden="1">"c8925"</definedName>
    <definedName name="IQ_EQUITY_NAME_AP_ABS" hidden="1">"c8944"</definedName>
    <definedName name="IQ_EQUITY_SEC_FAIR_VALUE_FFIEC" hidden="1">"c12805"</definedName>
    <definedName name="IQ_EQUITY_SEC_INVEST_SECURITIES_FFIEC" hidden="1">"c13463"</definedName>
    <definedName name="IQ_EQUITY_SECURITIES_FDIC" hidden="1">"c6304"</definedName>
    <definedName name="IQ_EQUITY_SECURITIES_WITHOUT_FAIR_VALUES_FFIEC" hidden="1">"c12846"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OP_DEBT_GUARANTEED_FFIEC" hidden="1">"c12971"</definedName>
    <definedName name="IQ_ESOP_OVER_TOTAL" hidden="1">"c13768"</definedName>
    <definedName name="IQ_EST_ACT_EBITDA" hidden="1">"c1664"</definedName>
    <definedName name="IQ_EST_ACT_EBITDA_CIQ" hidden="1">"c3667"</definedName>
    <definedName name="IQ_EST_ACT_EPS" hidden="1">"c1648"</definedName>
    <definedName name="IQ_EST_ACT_EPS_CIQ" hidden="1">"c4998"</definedName>
    <definedName name="IQ_EST_ACT_EPS_GW" hidden="1">"c1743"</definedName>
    <definedName name="IQ_EST_ACT_EPS_GW_CIQ" hidden="1">"c4729"</definedName>
    <definedName name="IQ_EST_ACT_EPS_NORM" hidden="1">"c2232"</definedName>
    <definedName name="IQ_EST_ACT_EPS_NORM_CIQ" hidden="1">"c4673"</definedName>
    <definedName name="IQ_EST_ACT_EPS_REPORTED" hidden="1">"c1750"</definedName>
    <definedName name="IQ_EST_ACT_EPS_REPORTED_CIQ" hidden="1">"c4736"</definedName>
    <definedName name="IQ_EST_ACT_REV" hidden="1">"c2113"</definedName>
    <definedName name="IQ_EST_ACT_REV_CIQ" hidden="1">"c3666"</definedName>
    <definedName name="IQ_EST_CURRENCY" hidden="1">"c2140"</definedName>
    <definedName name="IQ_EST_CURRENCY_CIQ" hidden="1">"c4769"</definedName>
    <definedName name="IQ_EST_DATE" hidden="1">"c1634"</definedName>
    <definedName name="IQ_EST_DATE_CIQ" hidden="1">"c4770"</definedName>
    <definedName name="IQ_EST_EBITDA_DIFF" hidden="1">"c1867"</definedName>
    <definedName name="IQ_EST_EBITDA_DIFF_CIQ" hidden="1">"c3719"</definedName>
    <definedName name="IQ_EST_EBITDA_GROWTH_1YR" hidden="1">"c1766"</definedName>
    <definedName name="IQ_EST_EBITDA_GROWTH_1YR_CIQ" hidden="1">"c3695"</definedName>
    <definedName name="IQ_EST_EBITDA_GROWTH_2YR" hidden="1">"c1767"</definedName>
    <definedName name="IQ_EST_EBITDA_GROWTH_2YR_CIQ" hidden="1">"c3696"</definedName>
    <definedName name="IQ_EST_EBITDA_GROWTH_Q_1YR" hidden="1">"c1768"</definedName>
    <definedName name="IQ_EST_EBITDA_GROWTH_Q_1YR_CIQ" hidden="1">"c3697"</definedName>
    <definedName name="IQ_EST_EBITDA_SEQ_GROWTH_Q" hidden="1">"c1769"</definedName>
    <definedName name="IQ_EST_EBITDA_SEQ_GROWTH_Q_CIQ" hidden="1">"c3698"</definedName>
    <definedName name="IQ_EST_EBITDA_SURPRISE_PERCENT" hidden="1">"c1868"</definedName>
    <definedName name="IQ_EST_EBITDA_SURPRISE_PERCENT_CIQ" hidden="1">"c3720"</definedName>
    <definedName name="IQ_EST_EPS_DIFF" hidden="1">"c1864"</definedName>
    <definedName name="IQ_EST_EPS_DIFF_CIQ" hidden="1">"c4999"</definedName>
    <definedName name="IQ_EST_EPS_GROWTH_1YR" hidden="1">"c1636"</definedName>
    <definedName name="IQ_EST_EPS_GROWTH_1YR_CIQ" hidden="1">"c3628"</definedName>
    <definedName name="IQ_EST_EPS_GROWTH_2YR" hidden="1">"c1637"</definedName>
    <definedName name="IQ_EST_EPS_GROWTH_2YR_CIQ" hidden="1">"c3689"</definedName>
    <definedName name="IQ_EST_EPS_GROWTH_5YR" hidden="1">"c1655"</definedName>
    <definedName name="IQ_EST_EPS_GROWTH_5YR_BOTTOM_UP_CIQ" hidden="1">"c12024"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LOW" hidden="1">"c1658"</definedName>
    <definedName name="IQ_EST_EPS_GROWTH_5YR_LOW_CIQ" hidden="1">"c4664"</definedName>
    <definedName name="IQ_EST_EPS_GROWTH_5YR_MEDIAN" hidden="1">"c1656"</definedName>
    <definedName name="IQ_EST_EPS_GROWTH_5YR_MEDIAN_CIQ" hidden="1">"c5480"</definedName>
    <definedName name="IQ_EST_EPS_GROWTH_5YR_NUM" hidden="1">"c1659"</definedName>
    <definedName name="IQ_EST_EPS_GROWTH_5YR_NUM_CIQ" hidden="1">"c4665"</definedName>
    <definedName name="IQ_EST_EPS_GROWTH_5YR_STDDEV" hidden="1">"c1660"</definedName>
    <definedName name="IQ_EST_EPS_GROWTH_5YR_STDDEV_CIQ" hidden="1">"c4666"</definedName>
    <definedName name="IQ_EST_EPS_GROWTH_Q_1YR" hidden="1">"c1641"</definedName>
    <definedName name="IQ_EST_EPS_GROWTH_Q_1YR_CIQ" hidden="1">"c4744"</definedName>
    <definedName name="IQ_EST_EPS_GW_DIFF" hidden="1">"c1891"</definedName>
    <definedName name="IQ_EST_EPS_GW_DIFF_CIQ" hidden="1">"c4761"</definedName>
    <definedName name="IQ_EST_EPS_GW_SURPRISE_PERCENT" hidden="1">"c1892"</definedName>
    <definedName name="IQ_EST_EPS_GW_SURPRISE_PERCENT_CIQ" hidden="1">"c4762"</definedName>
    <definedName name="IQ_EST_EPS_NORM_DIFF" hidden="1">"c2247"</definedName>
    <definedName name="IQ_EST_EPS_NORM_DIFF_CIQ" hidden="1">"c4745"</definedName>
    <definedName name="IQ_EST_EPS_NORM_SURPRISE_PERCENT" hidden="1">"c2248"</definedName>
    <definedName name="IQ_EST_EPS_NORM_SURPRISE_PERCENT_CIQ" hidden="1">"c4746"</definedName>
    <definedName name="IQ_EST_EPS_REPORT_DIFF" hidden="1">"c1893"</definedName>
    <definedName name="IQ_EST_EPS_REPORT_DIFF_CIQ" hidden="1">"c4763"</definedName>
    <definedName name="IQ_EST_EPS_REPORT_SURPRISE_PERCENT" hidden="1">"c1894"</definedName>
    <definedName name="IQ_EST_EPS_REPORT_SURPRISE_PERCENT_CIQ" hidden="1">"c4764"</definedName>
    <definedName name="IQ_EST_EPS_SEQ_GROWTH_Q" hidden="1">"c1764"</definedName>
    <definedName name="IQ_EST_EPS_SEQ_GROWTH_Q_CIQ" hidden="1">"c3690"</definedName>
    <definedName name="IQ_EST_EPS_SURPRISE_PERCENT" hidden="1">"c1635"</definedName>
    <definedName name="IQ_EST_EPS_SURPRISE_PERCENT_CIQ" hidden="1">"c5000"</definedName>
    <definedName name="IQ_EST_FAIR_VALUE_MORT_SERVICING_ASSETS_FFIEC" hidden="1">"c12956"</definedName>
    <definedName name="IQ_EST_FOOTNOTE" hidden="1">"c4540"</definedName>
    <definedName name="IQ_EST_FOOTNOTE_CIQ" hidden="1">"c12022"</definedName>
    <definedName name="IQ_EST_NEXT_EARNINGS_DATE" hidden="1">"c13591"</definedName>
    <definedName name="IQ_EST_NUM_BUY" hidden="1">"c1759"</definedName>
    <definedName name="IQ_EST_NUM_HIGH_REC" hidden="1">"c5649"</definedName>
    <definedName name="IQ_EST_NUM_HIGH_REC_CIQ" hidden="1">"c3701"</definedName>
    <definedName name="IQ_EST_NUM_HIGHEST_REC" hidden="1">"c5648"</definedName>
    <definedName name="IQ_EST_NUM_HIGHEST_REC_CIQ" hidden="1">"c3700"</definedName>
    <definedName name="IQ_EST_NUM_HOLD" hidden="1">"c1761"</definedName>
    <definedName name="IQ_EST_NUM_LOW_REC" hidden="1">"c5651"</definedName>
    <definedName name="IQ_EST_NUM_LOW_REC_CIQ" hidden="1">"c3703"</definedName>
    <definedName name="IQ_EST_NUM_LOWEST_REC" hidden="1">"c5652"</definedName>
    <definedName name="IQ_EST_NUM_LOWEST_REC_CIQ" hidden="1">"c3704"</definedName>
    <definedName name="IQ_EST_NUM_NEUTRAL_REC" hidden="1">"c5650"</definedName>
    <definedName name="IQ_EST_NUM_NEUTRAL_REC_CIQ" hidden="1">"c3702"</definedName>
    <definedName name="IQ_EST_NUM_NO_OPINION" hidden="1">"c1758"</definedName>
    <definedName name="IQ_EST_NUM_NO_OPINION_CIQ" hidden="1">"c3699"</definedName>
    <definedName name="IQ_EST_NUM_OUTPERFORM" hidden="1">"c1760"</definedName>
    <definedName name="IQ_EST_NUM_SELL" hidden="1">"c1763"</definedName>
    <definedName name="IQ_EST_NUM_UNDERPERFORM" hidden="1">"c1762"</definedName>
    <definedName name="IQ_EST_REV_DIFF" hidden="1">"c1865"</definedName>
    <definedName name="IQ_EST_REV_DIFF_CIQ" hidden="1">"c3717"</definedName>
    <definedName name="IQ_EST_REV_GROWTH_1YR" hidden="1">"c1638"</definedName>
    <definedName name="IQ_EST_REV_GROWTH_1YR_CIQ" hidden="1">"c3691"</definedName>
    <definedName name="IQ_EST_REV_GROWTH_2YR" hidden="1">"c1639"</definedName>
    <definedName name="IQ_EST_REV_GROWTH_2YR_CIQ" hidden="1">"c3692"</definedName>
    <definedName name="IQ_EST_REV_GROWTH_Q_1YR" hidden="1">"c1640"</definedName>
    <definedName name="IQ_EST_REV_GROWTH_Q_1YR_CIQ" hidden="1">"c3693"</definedName>
    <definedName name="IQ_EST_REV_SEQ_GROWTH_Q" hidden="1">"c1765"</definedName>
    <definedName name="IQ_EST_REV_SEQ_GROWTH_Q_CIQ" hidden="1">"c3694"</definedName>
    <definedName name="IQ_EST_REV_SURPRISE_PERCENT" hidden="1">"c1866"</definedName>
    <definedName name="IQ_EST_REV_SURPRISE_PERCENT_CIQ" hidden="1">"c3718"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VENT_DATE" hidden="1">"c13819"</definedName>
    <definedName name="IQ_EVENT_ID" hidden="1">"c13818"</definedName>
    <definedName name="IQ_EVENT_TIME" hidden="1">"c13820"</definedName>
    <definedName name="IQ_EVENT_TYPE" hidden="1">"c13821"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S_AP" hidden="1">"c8875"</definedName>
    <definedName name="IQ_EXPENSES_AP_ABS" hidden="1">"c8894"</definedName>
    <definedName name="IQ_EXPENSES_FIXED_ASSETS_FFIEC" hidden="1">"c13024"</definedName>
    <definedName name="IQ_EXPENSES_NAME_AP" hidden="1">"c8913"</definedName>
    <definedName name="IQ_EXPENSES_NAME_AP_ABS" hidden="1">"c8932"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LORE_DRILL_EXP_TOTAL" hidden="1">"c13850"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S_APR_FC_UNUSED" hidden="1">"c8401"</definedName>
    <definedName name="IQ_EXPORTS_APR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" hidden="1">"c8512"</definedName>
    <definedName name="IQ_EXPORTS_GOODS_REAL_SAAR_APR_UNUSED" hidden="1">"c7632"</definedName>
    <definedName name="IQ_EXPORTS_GOODS_REAL_SAAR_FC_UNUSED" hidden="1">"c7852"</definedName>
    <definedName name="IQ_EXPORTS_GOODS_REAL_SAAR_POP" hidden="1">"c11931"</definedName>
    <definedName name="IQ_EXPORTS_GOODS_REAL_SAAR_POP_FC_UNUSED" hidden="1">"c8072"</definedName>
    <definedName name="IQ_EXPORTS_GOODS_REAL_SAAR_POP_UNUSED" hidden="1">"c7192"</definedName>
    <definedName name="IQ_EXPORTS_GOODS_REAL_SAAR_UNUSED" hidden="1">"c6972"</definedName>
    <definedName name="IQ_EXPORTS_GOODS_REAL_SAAR_YOY" hidden="1">"c11932"</definedName>
    <definedName name="IQ_EXPORTS_GOODS_REAL_SAAR_YOY_FC_UNUSED" hidden="1">"c8292"</definedName>
    <definedName name="IQ_EXPORTS_GOODS_REAL_SAAR_YOY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" hidden="1">"c7961"</definedName>
    <definedName name="IQ_EXPORTS_POP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" hidden="1">"c8516"</definedName>
    <definedName name="IQ_EXPORTS_SERVICES_REAL_SAAR_APR_UNUSED" hidden="1">"c7636"</definedName>
    <definedName name="IQ_EXPORTS_SERVICES_REAL_SAAR_FC_UNUSED" hidden="1">"c7856"</definedName>
    <definedName name="IQ_EXPORTS_SERVICES_REAL_SAAR_POP" hidden="1">"c11935"</definedName>
    <definedName name="IQ_EXPORTS_SERVICES_REAL_SAAR_POP_FC_UNUSED" hidden="1">"c8076"</definedName>
    <definedName name="IQ_EXPORTS_SERVICES_REAL_SAAR_POP_UNUSED" hidden="1">"c7196"</definedName>
    <definedName name="IQ_EXPORTS_SERVICES_REAL_SAAR_UNUSED" hidden="1">"c6976"</definedName>
    <definedName name="IQ_EXPORTS_SERVICES_REAL_SAAR_YOY" hidden="1">"c11936"</definedName>
    <definedName name="IQ_EXPORTS_SERVICES_REAL_SAAR_YOY_FC_UNUSED" hidden="1">"c8296"</definedName>
    <definedName name="IQ_EXPORTS_SERVICES_REAL_SAAR_YOY_UNUSED" hidden="1">"c7416"</definedName>
    <definedName name="IQ_EXPORTS_SERVICES_REAL_YOY" hidden="1">"c7417"</definedName>
    <definedName name="IQ_EXPORTS_SERVICES_REAL_YOY_FC" hidden="1">"c8297"</definedName>
    <definedName name="IQ_EXPORTS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" hidden="1">"c8181"</definedName>
    <definedName name="IQ_EXPORTS_YOY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AVG_ASSETS_FFIEC" hidden="1">"c13369"</definedName>
    <definedName name="IQ_EXTRA_ITEMS" hidden="1">"c1459"</definedName>
    <definedName name="IQ_EXTRAORDINARY_GAINS_FDIC" hidden="1">"c6586"</definedName>
    <definedName name="IQ_EXTRAORDINARY_ITEMS_FFIEC" hidden="1">"c13033"</definedName>
    <definedName name="IQ_FAD" hidden="1">"c8757"</definedName>
    <definedName name="IQ_FAD_PAYOUT_RATIO" hidden="1">"c8872"</definedName>
    <definedName name="IQ_FAIR_VALUE_CHANGE_INCL_EARNINGS" hidden="1">"c13849"</definedName>
    <definedName name="IQ_FAIR_VALUE_FDIC" hidden="1">"c6427"</definedName>
    <definedName name="IQ_FARM_LOANS_NET_FDIC" hidden="1">"c6316"</definedName>
    <definedName name="IQ_FARM_LOANS_TOT_LOANS_FFIEC" hidden="1">"c13870"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DIC_DEPOSIT_INSURANCE_FFIEC" hidden="1">"c13053"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S_PURCHASED_DOM_FFIEC" hidden="1">"c12856"</definedName>
    <definedName name="IQ_FED_FUNDS_PURCHASED_FDIC" hidden="1">"c6343"</definedName>
    <definedName name="IQ_FED_FUNDS_PURCHASED_QUARTERLY_AVG_FFIEC" hidden="1">"c13090"</definedName>
    <definedName name="IQ_FED_FUNDS_SOLD_DOM_FFIEC" hidden="1">"c12806"</definedName>
    <definedName name="IQ_FED_FUNDS_SOLD_FDIC" hidden="1">"c6307"</definedName>
    <definedName name="IQ_FED_FUNDS_SOLD_QUARTERLY_AVG_FFIEC" hidden="1">"c13080"</definedName>
    <definedName name="IQ_FEDFUNDS_SOLD" hidden="1">"c2256"</definedName>
    <definedName name="IQ_FEES_COMMISSIONS_BROKERAGE_FFIEC" hidden="1">"c13005"</definedName>
    <definedName name="IQ_FFO" hidden="1">"c1574"</definedName>
    <definedName name="IQ_FFO_ADJ_ACT_OR_EST_CIQ" hidden="1">"c4960"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SHARE_ACT_OR_EST_CIQ" hidden="1">"c4971"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DUCIARY_INCOME_OPERATING_INC_FFIEC" hidden="1">"c13383"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AL_LOC_FOREIGN_GUARANTEES_FFIEC" hidden="1">"c13249"</definedName>
    <definedName name="IQ_FINANCIAL_SERVICING_ASSETS_FAIR_VALUE_TOT_FFIEC" hidden="1">"c13212"</definedName>
    <definedName name="IQ_FINANCIAL_SERVICING_ASSETS_LEVEL_1_FFIEC" hidden="1">"c13220"</definedName>
    <definedName name="IQ_FINANCIAL_SERVICING_ASSETS_LEVEL_2_FFIEC" hidden="1">"c13228"</definedName>
    <definedName name="IQ_FINANCIAL_SERVICING_ASSETS_LEVEL_3_FFIEC" hidden="1">"c13236"</definedName>
    <definedName name="IQ_FINANCIAL_SERVICING_LIAB_FAIR_VALUE_TOT_FFIEC" hidden="1">"c13215"</definedName>
    <definedName name="IQ_FINANCIAL_SERVICING_LIAB_LEVEL_1_FFIEC" hidden="1">"c13223"</definedName>
    <definedName name="IQ_FINANCIAL_SERVICING_LIAB_LEVEL_2_FFIEC" hidden="1">"c13231"</definedName>
    <definedName name="IQ_FINANCIAL_SERVICING_LIAB_LEVEL_3_FFIEC" hidden="1">"c13239"</definedName>
    <definedName name="IQ_FINANCING_CASH" hidden="1">"c1405"</definedName>
    <definedName name="IQ_FINANCING_CASH_SUPPL" hidden="1">"c1406"</definedName>
    <definedName name="IQ_FINANCING_OBLIG_CURRENT" hidden="1">"c11753"</definedName>
    <definedName name="IQ_FINANCING_OBLIG_NON_CURRENT" hidden="1">"c11754"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CIQ" hidden="1">"c6806"</definedName>
    <definedName name="IQ_FISCAL_Y" hidden="1">"c441"</definedName>
    <definedName name="IQ_FISCAL_Y_EST" hidden="1">"c6795"</definedName>
    <definedName name="IQ_FISCAL_Y_EST_CIQ" hidden="1">"c6807"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_FREQUENCY" hidden="1">"c8964"</definedName>
    <definedName name="IQ_FIXED_ASSET_TURNS" hidden="1">"c445"</definedName>
    <definedName name="IQ_FIXED_INCOME_LIST" hidden="1">"c13504"</definedName>
    <definedName name="IQ_FIXED_INVEST_APR_FC_UNUSED" hidden="1">"c8410"</definedName>
    <definedName name="IQ_FIXED_INVEST_APR_UNUSED" hidden="1">"c7530"</definedName>
    <definedName name="IQ_FIXED_INVEST_FC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" hidden="1">"c7970"</definedName>
    <definedName name="IQ_FIXED_INVEST_POP_UNUSED" hidden="1">"c7090"</definedName>
    <definedName name="IQ_FIXED_INVEST_REAL_APR_FC_UNUSED" hidden="1">"c8518"</definedName>
    <definedName name="IQ_FIXED_INVEST_REAL_APR_UNUSED" hidden="1">"c7638"</definedName>
    <definedName name="IQ_FIXED_INVEST_REAL_FC_UNUSED" hidden="1">"c7858"</definedName>
    <definedName name="IQ_FIXED_INVEST_REAL_POP_FC_UNUSED" hidden="1">"c8078"</definedName>
    <definedName name="IQ_FIXED_INVEST_REAL_POP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" hidden="1">"c8298"</definedName>
    <definedName name="IQ_FIXED_INVEST_REAL_YOY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" hidden="1">"c8190"</definedName>
    <definedName name="IQ_FIXED_INVEST_YOY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DUE_30_89_FFIEC" hidden="1">"c13269"</definedName>
    <definedName name="IQ_FOREIGN_BANKS_DUE_90_FFIEC" hidden="1">"c13295"</definedName>
    <definedName name="IQ_FOREIGN_BANKS_LOAN_CHARG_OFFS_FDIC" hidden="1">"c6645"</definedName>
    <definedName name="IQ_FOREIGN_BANKS_NET_CHARGE_OFFS_FDIC" hidden="1">"c6647"</definedName>
    <definedName name="IQ_FOREIGN_BANKS_NON_ACCRUAL_FFIEC" hidden="1">"c13321"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ASSETS_TOT_FFIEC" hidden="1">"c13445"</definedName>
    <definedName name="IQ_FOREIGN_DEPOSITS_NONTRANSACTION_ACCOUNTS_FDIC" hidden="1">"c6549"</definedName>
    <definedName name="IQ_FOREIGN_DEPOSITS_TOT_FFIEC" hidden="1">"c13486"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L_REC_FFIEC" hidden="1">"c12892"</definedName>
    <definedName name="IQ_FOREIGN_LOANS" hidden="1">"c448"</definedName>
    <definedName name="IQ_FOREIGN_LOANS_LEASES_FOREIGN_FFIEC" hidden="1">"c13478"</definedName>
    <definedName name="IQ_FOUNDATION_OVER_TOTAL" hidden="1">"c13769"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ND_FEE_INC_NON_INT_INC_FFIEC" hidden="1">"c13493"</definedName>
    <definedName name="IQ_FUNDING_DEPENDENCE_FFIEC" hidden="1">"c13336"</definedName>
    <definedName name="IQ_FUNDING_DEPENDENCE_ST_FFIEC" hidden="1">"c13337"</definedName>
    <definedName name="IQ_FUNDS_PURCHASED_ASSETS_TOT_FFIEC" hidden="1">"c13446"</definedName>
    <definedName name="IQ_FUTURES_FORWARD_CONTRACTS_NOTIONAL_AMOUNT_FDIC" hidden="1">"c6518"</definedName>
    <definedName name="IQ_FUTURES_FORWARD_CONTRACTS_RATE_RISK_FDIC" hidden="1">"c6508"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X_CONTRACTS_FDIC" hidden="1">"c6517"</definedName>
    <definedName name="IQ_FX_CONTRACTS_FFIEC" hidden="1">"c13125"</definedName>
    <definedName name="IQ_FX_CONTRACTS_SPOT_FDIC" hidden="1">"c6356"</definedName>
    <definedName name="IQ_FX_EXPOSURE_FFIEC" hidden="1">"c13059"</definedName>
    <definedName name="IQ_FY" hidden="1">1000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CREDIT_DERIVATIVES_FFIEC" hidden="1">"c13066"</definedName>
    <definedName name="IQ_GAIN_CREDIT_DERIVATIVES_NON_TRADING_FFIEC" hidden="1">"c13067"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AFS_AVG_ASSETS_FFIEC" hidden="1">"c13364"</definedName>
    <definedName name="IQ_GAINS_ASSETS_TOT_FFIEC" hidden="1">"c13073"</definedName>
    <definedName name="IQ_GAINS_AVAIL_SALE_EQUITY_SEC_T2_FFIEC" hidden="1">"c13147"</definedName>
    <definedName name="IQ_GAINS_AVAIL_SALE_SEC_T1_FFIEC" hidden="1">"c13131"</definedName>
    <definedName name="IQ_GAINS_CASH_FLOW_HEDGES_T1_FFIEC" hidden="1">"c13133"</definedName>
    <definedName name="IQ_GAINS_HTM_AVG_ASSETS_FFIEC" hidden="1">"c13363"</definedName>
    <definedName name="IQ_GAINS_INSTRUMENT_SPECIFIC_CREDIT_RISK_LIAB_FFIEC" hidden="1">"c13076"</definedName>
    <definedName name="IQ_GAINS_INSTRUMENT_SPECIFIC_RISK_FFIEC" hidden="1">"c13074"</definedName>
    <definedName name="IQ_GAINS_INSURANCE_ACTIVITIES_FFIEC" hidden="1">"c13072"</definedName>
    <definedName name="IQ_GAINS_LIABILITIES_FFIEC" hidden="1">"c13075"</definedName>
    <definedName name="IQ_GAINS_SALE_ASSETS_FDIC" hidden="1">"c6675"</definedName>
    <definedName name="IQ_GAINS_SALE_LOANS_LEASES_FFIEC" hidden="1">"c13013"</definedName>
    <definedName name="IQ_GAINS_SALE_OTHER_ASSETS_FFIEC" hidden="1">"c13015"</definedName>
    <definedName name="IQ_GAINS_SALE_OTHER_RE_OWNED_FFIEC" hidden="1">"c13014"</definedName>
    <definedName name="IQ_GAINS_SECURITIZATION_OPERATING_INC_FFIEC" hidden="1">"c13391"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FFIEC" hidden="1">"c12836"</definedName>
    <definedName name="IQ_GOODWILL_IMPAIRMENT_FDIC" hidden="1">"c6678"</definedName>
    <definedName name="IQ_GOODWILL_IMPAIRMENT_FFIEC" hidden="1">"c13025"</definedName>
    <definedName name="IQ_GOODWILL_INTAN_FDIC" hidden="1">"c6333"</definedName>
    <definedName name="IQ_GOODWILL_NET" hidden="1">"c1380"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YOY" hidden="1">"c7317"</definedName>
    <definedName name="IQ_GOVT_RECEIPTS_YOY_FC" hidden="1">"c8197"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LOSSES_AVG_LOANS_FFIEC" hidden="1">"c13475"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DGEFUND_OVER_TOTAL" hidden="1">"c13771"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EXP_CASINO" hidden="1">"c8733"</definedName>
    <definedName name="IQ_HG_EXP_DEVELOPMENT" hidden="1">"c8738"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INCENTIVE_MANAGEMENT_FEES" hidden="1">"c8727"</definedName>
    <definedName name="IQ_HG_REV_MANAGEMENT_FEES" hidden="1">"c8718"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THEATRE_CONCESSION" hidden="1">"c8720"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PROM_COSTS" hidden="1">"c8745"</definedName>
    <definedName name="IQ_HG_ROOMS_BEG" hidden="1">"c8600"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"c8643"</definedName>
    <definedName name="IQ_HG_TABLE_GAMES_MANAGED" hidden="1">"c8644"</definedName>
    <definedName name="IQ_HG_TABLE_GAMES_OWNED" hidden="1">"c8642"</definedName>
    <definedName name="IQ_HG_TABLE_GAMES_TOTAL" hidden="1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LOW_CLOSEPRICE_DATE" hidden="1">"c1204"</definedName>
    <definedName name="IQ_HIGH_TARGET_PRICE" hidden="1">"c1651"</definedName>
    <definedName name="IQ_HIGH_TARGET_PRICE_CIQ" hidden="1">"c4659"</definedName>
    <definedName name="IQ_HIGHPRICE" hidden="1">"c545"</definedName>
    <definedName name="IQ_HOLDER_CIQID" hidden="1">"c13787"</definedName>
    <definedName name="IQ_HOLDER_CIQID_SECURITY" hidden="1">"c13794"</definedName>
    <definedName name="IQ_HOLDER_DERIVATIVES" hidden="1">"c13789"</definedName>
    <definedName name="IQ_HOLDER_DERIVATIVES_SECURITY" hidden="1">"c13796"</definedName>
    <definedName name="IQ_HOLDER_NAME" hidden="1">"c13786"</definedName>
    <definedName name="IQ_HOLDER_NAME_SECURITY" hidden="1">"c13793"</definedName>
    <definedName name="IQ_HOLDER_PERCENT" hidden="1">"c13790"</definedName>
    <definedName name="IQ_HOLDER_PERCENT_SECURITY" hidden="1">"c13831"</definedName>
    <definedName name="IQ_HOLDER_POSITION_DATE" hidden="1">"c13792"</definedName>
    <definedName name="IQ_HOLDER_POSITION_DATE_SECURITY" hidden="1">"c13798"</definedName>
    <definedName name="IQ_HOLDER_SHARES" hidden="1">"c13788"</definedName>
    <definedName name="IQ_HOLDER_SHARES_SECURITY" hidden="1">"c13795"</definedName>
    <definedName name="IQ_HOLDER_VALUE" hidden="1">"c13791"</definedName>
    <definedName name="IQ_HOLDER_VALUE_SECURITY" hidden="1">"c13797"</definedName>
    <definedName name="IQ_HOLDING_CIQID" hidden="1">"c13802"</definedName>
    <definedName name="IQ_HOLDING_NAME" hidden="1">"c13799"</definedName>
    <definedName name="IQ_HOLDING_PERCENT" hidden="1">"c13805"</definedName>
    <definedName name="IQ_HOLDING_PERCENT_PORTFOLIO" hidden="1">"c13806"</definedName>
    <definedName name="IQ_HOLDING_POSITION_DATE" hidden="1">"c13808"</definedName>
    <definedName name="IQ_HOLDING_SECURITY_TYPE" hidden="1">"c13803"</definedName>
    <definedName name="IQ_HOLDING_SHARES" hidden="1">"c13804"</definedName>
    <definedName name="IQ_HOLDING_TICKER" hidden="1">"c13800"</definedName>
    <definedName name="IQ_HOLDING_TRADING_ITEM_CIQID" hidden="1">"c13801"</definedName>
    <definedName name="IQ_HOLDING_VALUE" hidden="1">"c13807"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ANS_TOT_LOANS_FFIEC" hidden="1">"c13867"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" hidden="1">"c8422"</definedName>
    <definedName name="IQ_HOUSING_COMPLETIONS_SINGLE_FAM_APR_UNUSED" hidden="1">"c7542"</definedName>
    <definedName name="IQ_HOUSING_COMPLETIONS_SINGLE_FAM_FC_UNUSED" hidden="1">"c7762"</definedName>
    <definedName name="IQ_HOUSING_COMPLETIONS_SINGLE_FAM_POP_FC_UNUSED" hidden="1">"c7982"</definedName>
    <definedName name="IQ_HOUSING_COMPLETIONS_SINGLE_FAM_POP_UNUSED" hidden="1">"c7102"</definedName>
    <definedName name="IQ_HOUSING_COMPLETIONS_SINGLE_FAM_UNUSED" hidden="1">"c6882"</definedName>
    <definedName name="IQ_HOUSING_COMPLETIONS_SINGLE_FAM_YOY_FC_UNUSED" hidden="1">"c8202"</definedName>
    <definedName name="IQ_HOUSING_COMPLETIONS_SINGLE_FAM_YOY_UNUSED" hidden="1">"c7322"</definedName>
    <definedName name="IQ_HOUSING_COMPLETIONS_YOY" hidden="1">"c7321"</definedName>
    <definedName name="IQ_HOUSING_COMPLETIONS_YOY_FC" hidden="1">"c8201"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HTM_INVEST_SECURITIES_FFIEC" hidden="1">"c13455"</definedName>
    <definedName name="IQ_HTM_SECURITIES_TIER_1_FFIEC" hidden="1">"c13342"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IR_OIL" hidden="1">"c547"</definedName>
    <definedName name="IQ_IMPAIRMENT_GW" hidden="1">"c548"</definedName>
    <definedName name="IQ_IMPAIRMENT_GW_SUPPLE" hidden="1">"c13811"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" hidden="1">"c8523"</definedName>
    <definedName name="IQ_IMPORTS_GOODS_REAL_SAAR_APR_UNUSED" hidden="1">"c7643"</definedName>
    <definedName name="IQ_IMPORTS_GOODS_REAL_SAAR_FC_UNUSED" hidden="1">"c7863"</definedName>
    <definedName name="IQ_IMPORTS_GOODS_REAL_SAAR_POP_FC_UNUSED" hidden="1">"c8083"</definedName>
    <definedName name="IQ_IMPORTS_GOODS_REAL_SAAR_POP_UNUSED" hidden="1">"c7203"</definedName>
    <definedName name="IQ_IMPORTS_GOODS_REAL_SAAR_UNUSED" hidden="1">"c6983"</definedName>
    <definedName name="IQ_IMPORTS_GOODS_REAL_SAAR_YOY_FC_UNUSED" hidden="1">"c8303"</definedName>
    <definedName name="IQ_IMPORTS_GOODS_REAL_SAAR_YOY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" hidden="1">"c8429"</definedName>
    <definedName name="IQ_IMPORTS_GOODS_SERVICES_APR_UNUSED" hidden="1">"c7549"</definedName>
    <definedName name="IQ_IMPORTS_GOODS_SERVICES_FC_UNUSED" hidden="1">"c7769"</definedName>
    <definedName name="IQ_IMPORTS_GOODS_SERVICES_POP_FC_UNUSED" hidden="1">"c7989"</definedName>
    <definedName name="IQ_IMPORTS_GOODS_SERVICES_POP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" hidden="1">"c8524"</definedName>
    <definedName name="IQ_IMPORTS_GOODS_SERVICES_REAL_SAAR_APR_UNUSED" hidden="1">"c7644"</definedName>
    <definedName name="IQ_IMPORTS_GOODS_SERVICES_REAL_SAAR_FC_UNUSED" hidden="1">"c7864"</definedName>
    <definedName name="IQ_IMPORTS_GOODS_SERVICES_REAL_SAAR_POP" hidden="1">"c11959"</definedName>
    <definedName name="IQ_IMPORTS_GOODS_SERVICES_REAL_SAAR_POP_FC_UNUSED" hidden="1">"c8084"</definedName>
    <definedName name="IQ_IMPORTS_GOODS_SERVICES_REAL_SAAR_POP_UNUSED" hidden="1">"c7204"</definedName>
    <definedName name="IQ_IMPORTS_GOODS_SERVICES_REAL_SAAR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" hidden="1">"c8304"</definedName>
    <definedName name="IQ_IMPORTS_GOODS_SERVICES_REAL_SAAR_YOY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" hidden="1">"c8209"</definedName>
    <definedName name="IQ_IMPORTS_GOODS_SERVICES_YOY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DOM_LOANS_FFIEC" hidden="1">"c12975"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CHECKS_FFIEC" hidden="1">"c13040"</definedName>
    <definedName name="IQ_INCOME_EARNED_FDIC" hidden="1">"c6359"</definedName>
    <definedName name="IQ_INCOME_FIDUCIARY_ACTIVITIES_FFIEC" hidden="1">"c13002"</definedName>
    <definedName name="IQ_INCOME_LEASE_FINANCING_REC_FFIEC" hidden="1">"c12980"</definedName>
    <definedName name="IQ_INCOME_LOANS_LEASES_TAX_EXEMPT_FFIEC" hidden="1">"c13038"</definedName>
    <definedName name="IQ_INCOME_OTHER_INSURANCE_ACTIVITIES_FFIEC" hidden="1">"c13009"</definedName>
    <definedName name="IQ_INCOME_SALE_MUTUAL_FUNDS_DOM_FFIEC" hidden="1">"c13069"</definedName>
    <definedName name="IQ_INCOME_SECURITIES_TAX_EXEMPT_FFIEC" hidden="1">"c13039"</definedName>
    <definedName name="IQ_INCOME_TAXES_FDIC" hidden="1">"c6582"</definedName>
    <definedName name="IQ_INCOME_TAXES_FFIEC" hidden="1">"c13030"</definedName>
    <definedName name="IQ_INCREASE_INT_INCOME_FFIEC" hidden="1">"c13063"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S_CHARGE_OFFS_FDIC" hidden="1">"c6599"</definedName>
    <definedName name="IQ_INDIVIDUALS_GROSS_LOANS_FFIEC" hidden="1">"c13411"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IVIDUALS_RISK_BASED_FFIEC" hidden="1">"c13432"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SUPPLE" hidden="1">"c13814"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_DEPOSITS" hidden="1">"c89"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REINSURANCE_UNDERWRITING_INCOME_FFIEC" hidden="1">"c13008"</definedName>
    <definedName name="IQ_INSURANCE_REV_OPERATING_INC_FFIEC" hidden="1">"c13387"</definedName>
    <definedName name="IQ_INSURANCE_UNDERWRITING_INCOME_FDIC" hidden="1">"c6671"</definedName>
    <definedName name="IQ_INT_BEARING_DEPOSITS" hidden="1">"c1166"</definedName>
    <definedName name="IQ_INT_BEARING_FUNDS_AVG_ASSETS_FFIEC" hidden="1">"c13355"</definedName>
    <definedName name="IQ_INT_BEARING_LIABILITIES_REPRICE_ASSETS_TOT_FFIEC" hidden="1">"c13452"</definedName>
    <definedName name="IQ_INT_BORROW" hidden="1">"c583"</definedName>
    <definedName name="IQ_INT_DEMAND_NOTES_FDIC" hidden="1">"c6567"</definedName>
    <definedName name="IQ_INT_DEPOSITS" hidden="1">"c584"</definedName>
    <definedName name="IQ_INT_DEPOSITS_DOM_FFIEC" hidden="1">"c12852"</definedName>
    <definedName name="IQ_INT_DEPOSITS_DOM_QUARTERLY_AVG_FFIEC" hidden="1">"c13088"</definedName>
    <definedName name="IQ_INT_DEPOSITS_FOREIGN_FFIEC" hidden="1">"c12855"</definedName>
    <definedName name="IQ_INT_DEPOSITS_FOREIGN_QUARTERLY_AVG_FFIEC" hidden="1">"c13089"</definedName>
    <definedName name="IQ_INT_DIV_INC" hidden="1">"c585"</definedName>
    <definedName name="IQ_INT_DIV_INC_MBS_FFIEC" hidden="1">"c12984"</definedName>
    <definedName name="IQ_INT_DIV_INC_SECURITIES_FFIEC" hidden="1">"c12982"</definedName>
    <definedName name="IQ_INT_DIV_INC_SECURITIES_OTHER_FFIEC" hidden="1">"c12985"</definedName>
    <definedName name="IQ_INT_DIV_INC_TREASURY_SECURITIES_FFIEC" hidden="1">"c12983"</definedName>
    <definedName name="IQ_INT_DOMESTIC_DEPOSITS_FDIC" hidden="1">"c6564"</definedName>
    <definedName name="IQ_INT_EXP_AVG_ASSETS_FFIEC" hidden="1">"c13357"</definedName>
    <definedName name="IQ_INT_EXP_BR" hidden="1">"c586"</definedName>
    <definedName name="IQ_INT_EXP_COVERAGE" hidden="1">"c587"</definedName>
    <definedName name="IQ_INT_EXP_EARNING_ASSETS_FFIEC" hidden="1">"c13376"</definedName>
    <definedName name="IQ_INT_EXP_FED_FUNDS_PURCHASED_FFIEC" hidden="1">"c12996"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FED_FUNDS_FDIC" hidden="1">"c6566"</definedName>
    <definedName name="IQ_INT_FEE_INC_LOANS_1_4_DOM_FFIEC" hidden="1">"c12976"</definedName>
    <definedName name="IQ_INT_FEE_INC_LOANS_DOM_FFIEC" hidden="1">"c13335"</definedName>
    <definedName name="IQ_INT_FEE_INC_LOANS_FOREIGN_FFIEC" hidden="1">"c12979"</definedName>
    <definedName name="IQ_INT_FEE_INC_LOANS_OTHER_DOM_FFIEC" hidden="1">"c12978"</definedName>
    <definedName name="IQ_INT_FEE_INC_SECURED_RE_DOM_FFIEC" hidden="1">"c12977"</definedName>
    <definedName name="IQ_INT_FEE_INCOME_FFIEC" hidden="1">"c12974"</definedName>
    <definedName name="IQ_INT_FOREIGN_DEPOSITS_FDIC" hidden="1">"c6565"</definedName>
    <definedName name="IQ_INT_INC_AVG_ASSETS_FFIEC" hidden="1">"c13356"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DUE_DEPOSITORY_INSTITUTIONS_FFIEC" hidden="1">"c12981"</definedName>
    <definedName name="IQ_INT_INC_EARNING_ASSETS_FFIEC" hidden="1">"c13375"</definedName>
    <definedName name="IQ_INT_INC_FED_FUNDS_FDIC" hidden="1">"c6561"</definedName>
    <definedName name="IQ_INT_INC_FED_FUNDS_SOLD_FFIEC" hidden="1">"c12987"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E_AVG_ASSETS_FFIEC" hidden="1">"c13358"</definedName>
    <definedName name="IQ_INT_INC_TE_EARNING_ASSETS_FFIEC" hidden="1">"c13377"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TRADING_ASSETS_FFIEC" hidden="1">"c12986"</definedName>
    <definedName name="IQ_INT_INC_UTI" hidden="1">"c599"</definedName>
    <definedName name="IQ_INT_INCOME_FTE_AVG_ASSETS_FFIEC" hidden="1">"c13856"</definedName>
    <definedName name="IQ_INT_INCOME_FTE_AVG_EARNING_ASSETS_FFIEC" hidden="1">"c13857"</definedName>
    <definedName name="IQ_INT_INCOME_FTE_FFIEC" hidden="1">"c13852"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ON_DEPOSITS_DOM_FFIEC" hidden="1">"c12991"</definedName>
    <definedName name="IQ_INT_ON_DEPOSITS_FFIEC" hidden="1">"c12990"</definedName>
    <definedName name="IQ_INT_ON_DEPOSITS_FOREIGN_FFIEC" hidden="1">"c12995"</definedName>
    <definedName name="IQ_INT_RATE_EXPOSURE_FFIEC" hidden="1">"c13058"</definedName>
    <definedName name="IQ_INT_RATE_SPREAD" hidden="1">"c604"</definedName>
    <definedName name="IQ_INT_SUB_NOTES_FDIC" hidden="1">"c6568"</definedName>
    <definedName name="IQ_INT_SUB_NOTES_FFIEC" hidden="1">"c12998"</definedName>
    <definedName name="IQ_INT_TIME_DEPOSITS_LESS_THAN_100K_DOM_FFIEC" hidden="1">"c12993"</definedName>
    <definedName name="IQ_INT_TIME_DEPOSITS_MORE_THAN_100K_DOM_FFIEC" hidden="1">"c12992"</definedName>
    <definedName name="IQ_INT_TRADING_LIABILITIES_FFIEC" hidden="1">"c12997"</definedName>
    <definedName name="IQ_INTANGIBLES_NET" hidden="1">"c1407"</definedName>
    <definedName name="IQ_INTEREST_BEARING_BALANCES_FDIC" hidden="1">"c6371"</definedName>
    <definedName name="IQ_INTEREST_BEARING_CASH_FOREIGN_FFIEC" hidden="1">"c12776"</definedName>
    <definedName name="IQ_INTEREST_BEARING_CASH_US_FFIEC" hidden="1">"c12775"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IES_ASSETS_TOT_FFIEC" hidden="1">"c13440"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_UNCONSOLIDATED_SUBS_FFIEC" hidden="1">"c12834"</definedName>
    <definedName name="IQ_INVESTMENT_BANKING_BROKERAGE_FEES_FFIEC" hidden="1">"c13627"</definedName>
    <definedName name="IQ_INVESTMENT_BANKING_FEES_COMMISSIONS_FFIEC" hidden="1">"c13006"</definedName>
    <definedName name="IQ_INVESTMENT_BANKING_OTHER_FEES_FDIC" hidden="1">"c6666"</definedName>
    <definedName name="IQ_IPRD" hidden="1">"c644"</definedName>
    <definedName name="IQ_IPRD_SUPPLE" hidden="1">"c13813"</definedName>
    <definedName name="IQ_IRA_KEOGH_ACCOUNTS_FDIC" hidden="1">"c6496"</definedName>
    <definedName name="IQ_ISIN" hidden="1">"c12041"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" hidden="1">"c8443"</definedName>
    <definedName name="IQ_ISM_SERVICES_APR_UNUSED" hidden="1">"c7563"</definedName>
    <definedName name="IQ_ISM_SERVICES_FC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" hidden="1">"c8003"</definedName>
    <definedName name="IQ_ISM_SERVICES_POP_UNUSED" hidden="1">"c7123"</definedName>
    <definedName name="IQ_ISM_SERVICES_UNUSED" hidden="1">"c6903"</definedName>
    <definedName name="IQ_ISM_SERVICES_YOY_FC_UNUSED" hidden="1">"c8223"</definedName>
    <definedName name="IQ_ISM_SERVICES_YOY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KEY_DEV_COMPANY_ID" hidden="1">"c13830"</definedName>
    <definedName name="IQ_KEY_DEV_COMPANY_NAME" hidden="1">"c13829"</definedName>
    <definedName name="IQ_KEY_DEV_DATE" hidden="1">"c13763"</definedName>
    <definedName name="IQ_KEY_DEV_HEADLINE" hidden="1">"c13761"</definedName>
    <definedName name="IQ_KEY_DEV_ID" hidden="1">"c13760"</definedName>
    <definedName name="IQ_KEY_DEV_ID_INCL_SUBS" hidden="1">"c13832"</definedName>
    <definedName name="IQ_KEY_DEV_SITUATION" hidden="1">"c13762"</definedName>
    <definedName name="IQ_KEY_DEV_SOURCE" hidden="1">"c13765"</definedName>
    <definedName name="IQ_KEY_DEV_TIME" hidden="1">"c13833"</definedName>
    <definedName name="IQ_KEY_DEV_TRANSACTION_ID" hidden="1">"c13766"</definedName>
    <definedName name="IQ_KEY_DEV_TYPE" hidden="1">"c13764"</definedName>
    <definedName name="IQ_LAND" hidden="1">"c645"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_MONTHLY_FACTOR" hidden="1">"c8971"</definedName>
    <definedName name="IQ_LATEST_MONTHLY_FACTOR_DATE" hidden="1">"c8972"</definedName>
    <definedName name="IQ_LATESTK" hidden="1">1000</definedName>
    <definedName name="IQ_LATESTQ" hidden="1">500</definedName>
    <definedName name="IQ_LEAD_UNDERWRITER" hidden="1">"c8957"</definedName>
    <definedName name="IQ_LEASE_FIN_RECEIVABLES_NON_US_CHARGE_OFFS_FFIEC" hidden="1">"c13631"</definedName>
    <definedName name="IQ_LEASE_FIN_RECEIVABLES_NON_US_RECOV_FFIEC" hidden="1">"c13635"</definedName>
    <definedName name="IQ_LEASE_FIN_RECEIVABLES_US_CHARGE_OFFS_FFIEC" hidden="1">"c13630"</definedName>
    <definedName name="IQ_LEASE_FIN_RECEIVABLES_US_RECOV_FFIEC" hidden="1">"c13634"</definedName>
    <definedName name="IQ_LEASE_FINANCE" hidden="1">"c5654"</definedName>
    <definedName name="IQ_LEASE_FINANCING_REC_DUE_30_89_FFIEC" hidden="1">"c13276"</definedName>
    <definedName name="IQ_LEASE_FINANCING_REC_DUE_90_FFIEC" hidden="1">"c13302"</definedName>
    <definedName name="IQ_LEASE_FINANCING_REC_NON_ACCRUAL_FFIEC" hidden="1">"c13328"</definedName>
    <definedName name="IQ_LEASE_FINANCING_RECEIVABLES_CHARGE_OFFS_FDIC" hidden="1">"c6602"</definedName>
    <definedName name="IQ_LEASE_FINANCING_RECEIVABLES_DOM_FFIEC" hidden="1">"c12915"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ASE_RECEIVABLES_FOREIGN_FFIEC" hidden="1">"c13483"</definedName>
    <definedName name="IQ_LEASES_INDIVIDUALS_CHARGE_OFFS_FFIEC" hidden="1">"c13184"</definedName>
    <definedName name="IQ_LEASES_INDIVIDUALS_RECOV_FFIEC" hidden="1">"c13206"</definedName>
    <definedName name="IQ_LEASES_PERSONAL_EXP_DUE_30_89_FFIEC" hidden="1">"c13277"</definedName>
    <definedName name="IQ_LEASES_PERSONAL_EXP_DUE_90_FFIEC" hidden="1">"c13303"</definedName>
    <definedName name="IQ_LEASES_PERSONAL_EXP_NON_ACCRUAL_FFIEC" hidden="1">"c13329"</definedName>
    <definedName name="IQ_LEGAL_FEES_FFIEC" hidden="1">"c13052"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SUPPLE" hidden="1">"c13815"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ABILITIES_FAIR_VALUE" hidden="1">"c13848"</definedName>
    <definedName name="IQ_LIABILITIES_LEVEL_1" hidden="1">"c13844"</definedName>
    <definedName name="IQ_LIABILITIES_LEVEL_2" hidden="1">"c13845"</definedName>
    <definedName name="IQ_LIABILITIES_LEVEL_3" hidden="1">"c13846"</definedName>
    <definedName name="IQ_LIABILITIES_NETTING_OTHER_ADJUSTMENTS" hidden="1">"c13847"</definedName>
    <definedName name="IQ_LIABILITY_ACCEPTANCES_OUT_FFIEC" hidden="1">"c12866"</definedName>
    <definedName name="IQ_LIABILITY_SHORT_POSITIONS_DOM_FFIEC" hidden="1">"c12941"</definedName>
    <definedName name="IQ_LICENSED_POPS" hidden="1">"c2123"</definedName>
    <definedName name="IQ_LIFE_EARNED" hidden="1">"c2739"</definedName>
    <definedName name="IQ_LIFE_INSURANCE_ASSETS_FDIC" hidden="1">"c6372"</definedName>
    <definedName name="IQ_LIFE_INSURANCE_ASSETS_FFIEC" hidden="1">"c12847"</definedName>
    <definedName name="IQ_LIFOR" hidden="1">"c655"</definedName>
    <definedName name="IQ_LIQUID_ASSETS_ASSETS_TOT_FFIEC" hidden="1">"c13439"</definedName>
    <definedName name="IQ_LIQUID_ASSETS_NONCORE_FUNDING_FFIEC" hidden="1">"c13339"</definedName>
    <definedName name="IQ_LIQUIDATION_VALUE_PREFERRED_CONVERT" hidden="1">"c13835"</definedName>
    <definedName name="IQ_LIQUIDATION_VALUE_PREFERRED_NON_REDEEM" hidden="1">"c13836"</definedName>
    <definedName name="IQ_LIQUIDATION_VALUE_PREFERRED_REDEEM" hidden="1">"c13837"</definedName>
    <definedName name="IQ_LL" hidden="1">"c656"</definedName>
    <definedName name="IQ_LOAN_ALLOW_GROSS_LOANS_FFIEC" hidden="1">"c13415"</definedName>
    <definedName name="IQ_LOAN_ALLOWANCE_GROSS_LOSSES_FFIEC" hidden="1">"c13352"</definedName>
    <definedName name="IQ_LOAN_ALLOWANCE_NET_LOANS_FFIEC" hidden="1">"c13472"</definedName>
    <definedName name="IQ_LOAN_ALLOWANCE_NONACCRUAL_ASSETS_FFIEC" hidden="1">"c13473"</definedName>
    <definedName name="IQ_LOAN_ALLOWANCE_PAST_DUE_NONACCRUAL_FFIEC" hidden="1">"c13474"</definedName>
    <definedName name="IQ_LOAN_COMMITMENTS_FAIR_VALUE_TOT_FFIEC" hidden="1">"c13216"</definedName>
    <definedName name="IQ_LOAN_COMMITMENTS_LEVEL_1_FFIEC" hidden="1">"c13224"</definedName>
    <definedName name="IQ_LOAN_COMMITMENTS_LEVEL_2_FFIEC" hidden="1">"c13232"</definedName>
    <definedName name="IQ_LOAN_COMMITMENTS_LEVEL_3_FFIEC" hidden="1">"c13240"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_PERF_ASSETS_FFIEC" hidden="1">"c13912"</definedName>
    <definedName name="IQ_LOAN_LOSS_ALLOWANCE_NONCURRENT_LOANS_FDIC" hidden="1">"c6740"</definedName>
    <definedName name="IQ_LOAN_LOSSES_AVERAGE_LOANS_FFIEC" hidden="1">"c13350"</definedName>
    <definedName name="IQ_LOAN_LOSSES_FDIC" hidden="1">"c6580"</definedName>
    <definedName name="IQ_LOAN_SERVICE_REV" hidden="1">"c658"</definedName>
    <definedName name="IQ_LOANS_AGRICULTURAL_PROD_LL_REC_FFIEC" hidden="1">"c12886"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_US_LL_REC_FFIEC" hidden="1">"c12884"</definedName>
    <definedName name="IQ_LOANS_DEPOSITORY_INSTITUTIONS_FDIC" hidden="1">"c6382"</definedName>
    <definedName name="IQ_LOANS_DOM_QUARTERLY_AVG_FFIEC" hidden="1">"c13084"</definedName>
    <definedName name="IQ_LOANS_FARMERS_CHARGE_OFFS_FFIEC" hidden="1">"c13177"</definedName>
    <definedName name="IQ_LOANS_FARMERS_RECOV_FFIEC" hidden="1">"c13199"</definedName>
    <definedName name="IQ_LOANS_FINANCE_AGRICULTURAL_DUE_30_89_FFIEC" hidden="1">"c13270"</definedName>
    <definedName name="IQ_LOANS_FINANCE_AGRICULTURAL_DUE_90_FFIEC" hidden="1">"c13296"</definedName>
    <definedName name="IQ_LOANS_FINANCE_AGRICULTURAL_NON_ACCRUAL_FFIEC" hidden="1">"c13322"</definedName>
    <definedName name="IQ_LOANS_FINANCE_AGRICULTURAL_PROD_LL_REC_DOM_FFIEC" hidden="1">"c12909"</definedName>
    <definedName name="IQ_LOANS_FOR_SALE" hidden="1">"c666"</definedName>
    <definedName name="IQ_LOANS_FOREIGN_GOV_CHARGE_OFFS_FFIEC" hidden="1">"c13182"</definedName>
    <definedName name="IQ_LOANS_FOREIGN_GOV_DUE_30_89_FFIEC" hidden="1">"c13274"</definedName>
    <definedName name="IQ_LOANS_FOREIGN_GOV_DUE_90_FFIEC" hidden="1">"c13300"</definedName>
    <definedName name="IQ_LOANS_FOREIGN_GOV_LL_REC_DOM_FFIEC" hidden="1">"c12912"</definedName>
    <definedName name="IQ_LOANS_FOREIGN_GOV_NON_ACCRUAL_FFIEC" hidden="1">"c13326"</definedName>
    <definedName name="IQ_LOANS_FOREIGN_GOV_RECOV_FFIEC" hidden="1">"c13204"</definedName>
    <definedName name="IQ_LOANS_FOREIGN_INST_CHARGE_OFFS_FFIEC" hidden="1">"c13176"</definedName>
    <definedName name="IQ_LOANS_FOREIGN_INST_RECOV_FFIEC" hidden="1">"c13198"</definedName>
    <definedName name="IQ_LOANS_FOREIGN_LL_REC_FFIEC" hidden="1">"c12885"</definedName>
    <definedName name="IQ_LOANS_GOV_GUARANTEED_DUE_30_89_FFIEC" hidden="1">"c13281"</definedName>
    <definedName name="IQ_LOANS_GOV_GUARANTEED_DUE_90_FFIEC" hidden="1">"c13307"</definedName>
    <definedName name="IQ_LOANS_GOV_GUARANTEED_EXCL_GNMA_DUE_30_89_FFIEC" hidden="1">"c13282"</definedName>
    <definedName name="IQ_LOANS_GOV_GUARANTEED_EXCL_GNMA_DUE_90_FFIEC" hidden="1">"c13308"</definedName>
    <definedName name="IQ_LOANS_GOV_GUARANTEED_EXCL_GNMA_NON_ACCRUAL_FFIEC" hidden="1">"c13333"</definedName>
    <definedName name="IQ_LOANS_GOV_GUARANTEED_NON_ACCRUAL_FFIEC" hidden="1">"c13332"</definedName>
    <definedName name="IQ_LOANS_HELD_FOREIGN_FDIC" hidden="1">"c6315"</definedName>
    <definedName name="IQ_LOANS_INDIVIDUALS_FOREIGN_FFIEC" hidden="1">"c13480"</definedName>
    <definedName name="IQ_LOANS_LEASES_ASSETS_TOT_FFIEC" hidden="1">"c13437"</definedName>
    <definedName name="IQ_LOANS_LEASES_FAIR_VALUE_TOT_FFIEC" hidden="1">"c13209"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HELD_SALE_FFIEC" hidden="1">"c12808"</definedName>
    <definedName name="IQ_LOANS_LEASES_LEVEL_1_FFIEC" hidden="1">"c13217"</definedName>
    <definedName name="IQ_LOANS_LEASES_LEVEL_2_FFIEC" hidden="1">"c13225"</definedName>
    <definedName name="IQ_LOANS_LEASES_LEVEL_3_FFIEC" hidden="1">"c13233"</definedName>
    <definedName name="IQ_LOANS_LEASES_NET_FDIC" hidden="1">"c6327"</definedName>
    <definedName name="IQ_LOANS_LEASES_NET_UNEARNED_FDIC" hidden="1">"c6325"</definedName>
    <definedName name="IQ_LOANS_LEASES_NET_UNEARNED_INC_ALLOWANCE_FFIEC" hidden="1">"c12811"</definedName>
    <definedName name="IQ_LOANS_LEASES_NET_UNEARNED_INCOME_FFIEC" hidden="1">"c12809"</definedName>
    <definedName name="IQ_LOANS_LEASES_QUARTERLY_AVG_FFIEC" hidden="1">"c13081"</definedName>
    <definedName name="IQ_LOANS_LOC_ASSETS_TOT_FFIEC" hidden="1">"c13441"</definedName>
    <definedName name="IQ_LOANS_NOT_SECURED_RE_FDIC" hidden="1">"c6381"</definedName>
    <definedName name="IQ_LOANS_PAST_DUE" hidden="1">"c667"</definedName>
    <definedName name="IQ_LOANS_PURCHASING_CARRYING_SECURITIES_LL_REC_DOM_FFIEC" hidden="1">"c12913"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_RE_FOREIGN_CHARGE_OFFS_FFIEC" hidden="1">"c13174"</definedName>
    <definedName name="IQ_LOANS_SEC_RE_FOREIGN_RECOV_FFIEC" hidden="1">"c13196"</definedName>
    <definedName name="IQ_LOANS_SECURED_1_4_DOM_QUARTERLY_AVG_FFIEC" hidden="1">"c13082"</definedName>
    <definedName name="IQ_LOANS_SECURED_BY_RE_CHARGE_OFFS_FDIC" hidden="1">"c6588"</definedName>
    <definedName name="IQ_LOANS_SECURED_BY_RE_RECOVERIES_FDIC" hidden="1">"c6607"</definedName>
    <definedName name="IQ_LOANS_SECURED_CONSTRUCTION_TRADING_DOM_FFIEC" hidden="1">"c12925"</definedName>
    <definedName name="IQ_LOANS_SECURED_FARMLAND_TRADING_DOM_FFIEC" hidden="1">"c12926"</definedName>
    <definedName name="IQ_LOANS_SECURED_NON_US_FDIC" hidden="1">"c6380"</definedName>
    <definedName name="IQ_LOANS_SECURED_RE_DOM_QUARTERLY_AVG_FFIEC" hidden="1">"c13083"</definedName>
    <definedName name="IQ_LOANS_SECURED_RE_FFIEC" hidden="1">"c12820"</definedName>
    <definedName name="IQ_LOANS_SECURED_RE_LL_REC_FFIEC" hidden="1">"c12883"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ANS_US_INST_CHARGE_OFFS_FFIEC" hidden="1">"c13175"</definedName>
    <definedName name="IQ_LOANS_US_INST_RECOV_FFIEC" hidden="1">"c13197"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AVAIL_SALE_EQUITY_SEC_T1_FFIEC" hidden="1">"c13132"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CIQ" hidden="1">"c4660"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MATURING_1YR_INT_SENSITIVITY_FFIEC" hidden="1">"c13097"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REPRICE_ASSETS_TOT_FFIEC" hidden="1">"c13453"</definedName>
    <definedName name="IQ_LT_DEBT_REPRICING_WITHIN_1_YR_INT_SENSITIVITY_FFIEC" hidden="1">"c13095"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INT_CAPEX" hidden="1">"c2947"</definedName>
    <definedName name="IQ_MAINT_CAPEX_ACT_OR_EST_CIQ" hidden="1">"c4987"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BS_INVEST_SECURITIES_FFIEC" hidden="1">"c13460"</definedName>
    <definedName name="IQ_MBS_OTHER_ISSUED_FNMA_OTHERS_AVAIL_SALE_FFIEC" hidden="1">"c12799"</definedName>
    <definedName name="IQ_MBS_OTHER_ISSUED_FNMA_OTHERS_FFIEC" hidden="1">"c12785"</definedName>
    <definedName name="IQ_MBS_PASS_THROUGH_FNMA_AVAIL_SALE_FFIEC" hidden="1">"c12797"</definedName>
    <definedName name="IQ_MBS_PASS_THROUGH_FNMA_FFIEC" hidden="1">"c12783"</definedName>
    <definedName name="IQ_MBS_PASS_THROUGH_GNMA_AVAIL_SALE_FFIEC" hidden="1">"c12796"</definedName>
    <definedName name="IQ_MBS_PASS_THROUGH_GNMA_FFIEC" hidden="1">"c12782"</definedName>
    <definedName name="IQ_MBS_PASS_THROUGH_ISSUED_FNMA_GNMA_TRADING_DOM_FFIEC" hidden="1">"c12921"</definedName>
    <definedName name="IQ_MBS_PASS_THROUGH_OTHER_AVAIL_SALE_FFIEC" hidden="1">"c12798"</definedName>
    <definedName name="IQ_MBS_PASS_THROUGH_OTHER_FFIEC" hidden="1">"c12784"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DAYS_CLAIMS_PAYABLE" hidden="1">"c9937"</definedName>
    <definedName name="IQ_MC_DAYS_CLAIMS_PAYABLE_EXCL_CAPITATION" hidden="1">"c9938"</definedName>
    <definedName name="IQ_MC_MEDICAL_COSTS_PMPM" hidden="1">"c9925"</definedName>
    <definedName name="IQ_MC_PARENT_CASH" hidden="1">"c9942"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PMPM" hidden="1">"c9926"</definedName>
    <definedName name="IQ_MC_STATUTORY_SURPLUS" hidden="1">"c2772"</definedName>
    <definedName name="IQ_MC_TOTAL_COVERED_LIVES" hidden="1">"c9919"</definedName>
    <definedName name="IQ_MC_TOTAL_MEMBERSHIP" hidden="1">"c9922"</definedName>
    <definedName name="IQ_MC_TOTAL_MEMBERSHIP_CAPITATION" hidden="1">"c9923"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" hidden="1">"c8460"</definedName>
    <definedName name="IQ_MEDIAN_NEW_HOME_SALES_APR_UNUSED" hidden="1">"c7580"</definedName>
    <definedName name="IQ_MEDIAN_NEW_HOME_SALES_FC_UNUSED" hidden="1">"c7800"</definedName>
    <definedName name="IQ_MEDIAN_NEW_HOME_SALES_POP_FC_UNUSED" hidden="1">"c8020"</definedName>
    <definedName name="IQ_MEDIAN_NEW_HOME_SALES_POP_UNUSED" hidden="1">"c7140"</definedName>
    <definedName name="IQ_MEDIAN_NEW_HOME_SALES_UNUSED" hidden="1">"c6920"</definedName>
    <definedName name="IQ_MEDIAN_NEW_HOME_SALES_YOY_FC_UNUSED" hidden="1">"c8240"</definedName>
    <definedName name="IQ_MEDIAN_NEW_HOME_SALES_YOY_UNUSED" hidden="1">"c7360"</definedName>
    <definedName name="IQ_MEDIAN_TARGET_PRICE" hidden="1">"c1650"</definedName>
    <definedName name="IQ_MEDIAN_TARGET_PRICE_CIQ" hidden="1">"c4658"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SUPPLE" hidden="1">"c13810"</definedName>
    <definedName name="IQ_MERGER_UTI" hidden="1">"c726"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NORITY_INT_AVG_ASSETS_FFIEC" hidden="1">"c13367"</definedName>
    <definedName name="IQ_MINORITY_INT_BS_FFIEC" hidden="1">"c12874"</definedName>
    <definedName name="IQ_MINORITY_INT_FFIEC" hidden="1">"c13031"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MDA_SAVINGS_TOT_DEPOSITS_FFIEC" hidden="1">"c13905"</definedName>
    <definedName name="IQ_MONEY_MARKET_ACCOUNTS_COMMERCIAL_BANK_SUBS_FFIEC" hidden="1">"c12947"</definedName>
    <definedName name="IQ_MONEY_MARKET_ACCOUNTS_OTHER_INSTITUTIONS_FFIEC" hidden="1">"c12952"</definedName>
    <definedName name="IQ_MONEY_MARKET_DEPOSIT_ACCOUNTS_FDIC" hidden="1">"c6553"</definedName>
    <definedName name="IQ_MONTH" hidden="1">15000</definedName>
    <definedName name="IQ_MOODYS_ACTION_LT" hidden="1">"c5660"</definedName>
    <definedName name="IQ_MOODYS_ACTION_ST" hidden="1">"c5663"</definedName>
    <definedName name="IQ_MOODYS_BANK_FIN_STRENGTH_ACTION_LT" hidden="1">"c5669"</definedName>
    <definedName name="IQ_MOODYS_BANK_FIN_STRENGTH_DATE_LT" hidden="1">"c5668"</definedName>
    <definedName name="IQ_MOODYS_BANK_FIN_STRENGTH_LT" hidden="1">"c5670"</definedName>
    <definedName name="IQ_MOODYS_CORP_FAMILY_ACTION_LT" hidden="1">"c5666"</definedName>
    <definedName name="IQ_MOODYS_CORP_FAMILY_DATE_LT" hidden="1">"c5665"</definedName>
    <definedName name="IQ_MOODYS_CORP_FAMILY_LT" hidden="1">"c5667"</definedName>
    <definedName name="IQ_MOODYS_DATE_LT" hidden="1">"c5659"</definedName>
    <definedName name="IQ_MOODYS_DATE_ST" hidden="1">"c5662"</definedName>
    <definedName name="IQ_MOODYS_INS_FIN_STRENGTH_ACTION_LT" hidden="1">"c5672"</definedName>
    <definedName name="IQ_MOODYS_INS_FIN_STRENGTH_ACTION_ST" hidden="1">"c5675"</definedName>
    <definedName name="IQ_MOODYS_INS_FIN_STRENGTH_DATE_LT" hidden="1">"c5671"</definedName>
    <definedName name="IQ_MOODYS_INS_FIN_STRENGTH_DATE_ST" hidden="1">"c5674"</definedName>
    <definedName name="IQ_MOODYS_INS_FIN_STRENGTH_LT" hidden="1">"c5673"</definedName>
    <definedName name="IQ_MOODYS_INS_FIN_STRENGTH_ST" hidden="1">"c5676"</definedName>
    <definedName name="IQ_MOODYS_ISSUE_ACTION_LT" hidden="1">"c5683"</definedName>
    <definedName name="IQ_MOODYS_ISSUE_ACTION_ST" hidden="1">"c6784"</definedName>
    <definedName name="IQ_MOODYS_ISSUE_DATE_LT" hidden="1">"c5682"</definedName>
    <definedName name="IQ_MOODYS_ISSUE_DATE_ST" hidden="1">"c6783"</definedName>
    <definedName name="IQ_MOODYS_ISSUE_LT" hidden="1">"c5684"</definedName>
    <definedName name="IQ_MOODYS_ISSUE_ST" hidden="1">"c6785"</definedName>
    <definedName name="IQ_MOODYS_ISSUE_WATCHLIST_DATE" hidden="1">"c5685"</definedName>
    <definedName name="IQ_MOODYS_ISSUE_WATCHLIST_INDICATOR" hidden="1">"c5687"</definedName>
    <definedName name="IQ_MOODYS_ISSUE_WATCHLIST_REASON" hidden="1">"c5686"</definedName>
    <definedName name="IQ_MOODYS_JR_SUB_ACTION_LT" hidden="1">"c13537"</definedName>
    <definedName name="IQ_MOODYS_JR_SUB_DATE_LT" hidden="1">"c13536"</definedName>
    <definedName name="IQ_MOODYS_JR_SUB_LT" hidden="1">"c13535"</definedName>
    <definedName name="IQ_MOODYS_JR_SUB_TYPE_LT" hidden="1">"c13538"</definedName>
    <definedName name="IQ_MOODYS_LATEST_DATE_LT" hidden="1">"c12711"</definedName>
    <definedName name="IQ_MOODYS_LATEST_DATE_ST" hidden="1">"c12715"</definedName>
    <definedName name="IQ_MOODYS_LATEST_LT" hidden="1">"c12710"</definedName>
    <definedName name="IQ_MOODYS_LATEST_ST" hidden="1">"c12714"</definedName>
    <definedName name="IQ_MOODYS_LATEST_TYPE_LT" hidden="1">"c12713"</definedName>
    <definedName name="IQ_MOODYS_LATEST_TYPE_ST" hidden="1">"c12717"</definedName>
    <definedName name="IQ_MOODYS_LT" hidden="1">"c5661"</definedName>
    <definedName name="IQ_MOODYS_OTHER_ACTION_LT" hidden="1">"c13545"</definedName>
    <definedName name="IQ_MOODYS_OTHER_ACTION_ST" hidden="1">"c13569"</definedName>
    <definedName name="IQ_MOODYS_OTHER_DATE_LT" hidden="1">"c13544"</definedName>
    <definedName name="IQ_MOODYS_OTHER_DATE_ST" hidden="1">"c13568"</definedName>
    <definedName name="IQ_MOODYS_OTHER_LT" hidden="1">"c13543"</definedName>
    <definedName name="IQ_MOODYS_OTHER_ST" hidden="1">"c13567"</definedName>
    <definedName name="IQ_MOODYS_OTHER_TYPE_LT" hidden="1">"c13546"</definedName>
    <definedName name="IQ_MOODYS_OTHER_TYPE_ST" hidden="1">"c13570"</definedName>
    <definedName name="IQ_MOODYS_OUTLOOK" hidden="1">"c5678"</definedName>
    <definedName name="IQ_MOODYS_OUTLOOK_DATE" hidden="1">"c5677"</definedName>
    <definedName name="IQ_MOODYS_PREF_ACTION_LT" hidden="1">"c13541"</definedName>
    <definedName name="IQ_MOODYS_PREF_DATE_LT" hidden="1">"c13540"</definedName>
    <definedName name="IQ_MOODYS_PREF_LT" hidden="1">"c13539"</definedName>
    <definedName name="IQ_MOODYS_PREF_TYPE_LT" hidden="1">"c13542"</definedName>
    <definedName name="IQ_MOODYS_SERVICER_QUALITY_ACTION_LT" hidden="1">"c13549"</definedName>
    <definedName name="IQ_MOODYS_SERVICER_QUALITY_DATE_LT" hidden="1">"c13548"</definedName>
    <definedName name="IQ_MOODYS_SERVICER_QUALITY_LT" hidden="1">"c13547"</definedName>
    <definedName name="IQ_MOODYS_SERVICER_QUALITY_TYPE_LT" hidden="1">"c13550"</definedName>
    <definedName name="IQ_MOODYS_SR_SECURED_ACTION_LT" hidden="1">"c13521"</definedName>
    <definedName name="IQ_MOODYS_SR_SECURED_ACTION_ST" hidden="1">"c13553"</definedName>
    <definedName name="IQ_MOODYS_SR_SECURED_DATE_LT" hidden="1">"c13520"</definedName>
    <definedName name="IQ_MOODYS_SR_SECURED_DATE_ST" hidden="1">"c13552"</definedName>
    <definedName name="IQ_MOODYS_SR_SECURED_LT" hidden="1">"c13519"</definedName>
    <definedName name="IQ_MOODYS_SR_SECURED_ST" hidden="1">"c13551"</definedName>
    <definedName name="IQ_MOODYS_SR_SECURED_TYPE_LT" hidden="1">"c13522"</definedName>
    <definedName name="IQ_MOODYS_SR_SECURED_TYPE_ST" hidden="1">"c13554"</definedName>
    <definedName name="IQ_MOODYS_SR_SUB_ACTION_LT" hidden="1">"c13529"</definedName>
    <definedName name="IQ_MOODYS_SR_SUB_ACTION_ST" hidden="1">"c13561"</definedName>
    <definedName name="IQ_MOODYS_SR_SUB_DATE_LT" hidden="1">"c13528"</definedName>
    <definedName name="IQ_MOODYS_SR_SUB_DATE_ST" hidden="1">"c13560"</definedName>
    <definedName name="IQ_MOODYS_SR_SUB_LT" hidden="1">"c13527"</definedName>
    <definedName name="IQ_MOODYS_SR_SUB_ST" hidden="1">"c13559"</definedName>
    <definedName name="IQ_MOODYS_SR_SUB_TYPE_LT" hidden="1">"c13530"</definedName>
    <definedName name="IQ_MOODYS_SR_SUB_TYPE_ST" hidden="1">"c13562"</definedName>
    <definedName name="IQ_MOODYS_SR_UNSECURED_ACTION_LT" hidden="1">"c13525"</definedName>
    <definedName name="IQ_MOODYS_SR_UNSECURED_ACTION_ST" hidden="1">"c13557"</definedName>
    <definedName name="IQ_MOODYS_SR_UNSECURED_DATE_LT" hidden="1">"c13524"</definedName>
    <definedName name="IQ_MOODYS_SR_UNSECURED_DATE_ST" hidden="1">"c13556"</definedName>
    <definedName name="IQ_MOODYS_SR_UNSECURED_LT" hidden="1">"c13523"</definedName>
    <definedName name="IQ_MOODYS_SR_UNSECURED_ST" hidden="1">"c13555"</definedName>
    <definedName name="IQ_MOODYS_SR_UNSECURED_TYPE_LT" hidden="1">"c13526"</definedName>
    <definedName name="IQ_MOODYS_SR_UNSECURED_TYPE_ST" hidden="1">"c13558"</definedName>
    <definedName name="IQ_MOODYS_ST" hidden="1">"c5664"</definedName>
    <definedName name="IQ_MOODYS_SUB_ACTION_LT" hidden="1">"c13533"</definedName>
    <definedName name="IQ_MOODYS_SUB_ACTION_ST" hidden="1">"c13565"</definedName>
    <definedName name="IQ_MOODYS_SUB_DATE_LT" hidden="1">"c13532"</definedName>
    <definedName name="IQ_MOODYS_SUB_DATE_ST" hidden="1">"c13564"</definedName>
    <definedName name="IQ_MOODYS_SUB_LT" hidden="1">"c13531"</definedName>
    <definedName name="IQ_MOODYS_SUB_ST" hidden="1">"c13563"</definedName>
    <definedName name="IQ_MOODYS_SUB_TYPE_LT" hidden="1">"c13534"</definedName>
    <definedName name="IQ_MOODYS_SUB_TYPE_ST" hidden="1">"c13566"</definedName>
    <definedName name="IQ_MOODYS_WATCHLIST_DATE" hidden="1">"c5679"</definedName>
    <definedName name="IQ_MOODYS_WATCHLIST_INDICATOR" hidden="1">"c5681"</definedName>
    <definedName name="IQ_MOODYS_WATCHLIST_REASON" hidden="1">"c5680"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ASSETS_FFIEC" hidden="1">"c12838"</definedName>
    <definedName name="IQ_MORTGAGE_SERVICING_FDIC" hidden="1">"c6335"</definedName>
    <definedName name="IQ_MULTI_RES_PROPERTIES_TRADING_DOM_FFIEC" hidden="1">"c12930"</definedName>
    <definedName name="IQ_MULTIFAM_5_LOANS_TOT_LOANS_FFIEC" hidden="1">"c13869"</definedName>
    <definedName name="IQ_MULTIFAMILY_LOANS_GROSS_LOANS_FFIEC" hidden="1">"c13404"</definedName>
    <definedName name="IQ_MULTIFAMILY_LOANS_RISK_BASED_FFIEC" hidden="1">"c13425"</definedName>
    <definedName name="IQ_MULTIFAMILY_RESIDENTIAL_LOANS_FDIC" hidden="1">"c6311"</definedName>
    <definedName name="IQ_MUNICIPAL_INVEST_SECURITIES_FFIEC" hidden="1">"c13459"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TIVE_COMPANY_NAME" hidden="1">"c13822"</definedName>
    <definedName name="IQ_NCLS_CLOSED_END_1_4_FAM_LOANS_TOT_LOANS_FFIEC" hidden="1">"c13891"</definedName>
    <definedName name="IQ_NCLS_COMM_IND_LOANS_TOT_LOANS_FFIEC" hidden="1">"c13898"</definedName>
    <definedName name="IQ_NCLS_COMM_RE_FARM_LOANS_TOT_LOANS_FFIEC" hidden="1">"c13897"</definedName>
    <definedName name="IQ_NCLS_COMM_RE_NONFARM_NONRES_TOT_LOANS_FFIEC" hidden="1">"c13896"</definedName>
    <definedName name="IQ_NCLS_CONST_LAND_DEV_LOANS_TOT_LOANS_FFIEC" hidden="1">"c13890"</definedName>
    <definedName name="IQ_NCLS_CONSUMER_LOANS_TOT_LOANS_FFIEC" hidden="1">"c13899"</definedName>
    <definedName name="IQ_NCLS_FARM_LOANS_TOT_LOANS_FFIEC" hidden="1">"c13895"</definedName>
    <definedName name="IQ_NCLS_HOME_EQUITY_LOANS_TOT_LOANS_FFIEC" hidden="1">"c13892"</definedName>
    <definedName name="IQ_NCLS_MULTIFAM_5_LOANS_TOT_LOANS_FFIEC" hidden="1">"c13894"</definedName>
    <definedName name="IQ_NCLS_TOT_1_4_FAM_LOANS_TOT_LOANS_FFIEC" hidden="1">"c13893"</definedName>
    <definedName name="IQ_NCLS_TOT_LEASES_TOT_LOANS_FFIEC" hidden="1">"c13900"</definedName>
    <definedName name="IQ_NCLS_TOT_LOANS_TOT_LOANS_FFIEC" hidden="1">"c13901"</definedName>
    <definedName name="IQ_NCOS_CLOSED_END_1_4_FAM_LOANS_TOT_LOANS_FFIEC" hidden="1">"c13879"</definedName>
    <definedName name="IQ_NCOS_COMM_IND_LOANS_TOT_LOANS_FFIEC" hidden="1">"c13886"</definedName>
    <definedName name="IQ_NCOS_COMM_RE_FARM_LOANS_TOT_LOANS_FFIEC" hidden="1">"c13885"</definedName>
    <definedName name="IQ_NCOS_COMM_RE_NONFARM_NONRES_TOT_LOANS_FFIEC" hidden="1">"c13884"</definedName>
    <definedName name="IQ_NCOS_CONST_LAND_DEV_LOANS_TOT_LOANS_FFIEC" hidden="1">"c13878"</definedName>
    <definedName name="IQ_NCOS_CONSUMER_LOANS_TOT_LOANS_FFIEC" hidden="1">"c13887"</definedName>
    <definedName name="IQ_NCOS_FARM_LOANS_TOT_LOANS_FFIEC" hidden="1">"c13883"</definedName>
    <definedName name="IQ_NCOS_HOME_EQUITY_LOANS_TOT_LOANS_FFIEC" hidden="1">"c13880"</definedName>
    <definedName name="IQ_NCOS_MULTIFAM_5_LOANS_TOT_LOANS_FFIEC" hidden="1">"c13882"</definedName>
    <definedName name="IQ_NCOS_TOT_1_4_FAM_LOANS_TOT_LOANS_FFIEC" hidden="1">"c13881"</definedName>
    <definedName name="IQ_NCOS_TOT_LEASES_TOT_LOANS_FFIEC" hidden="1">"c13888"</definedName>
    <definedName name="IQ_NCOS_TOT_LOANS_TOT_LOANS_FFIEC" hidden="1">"c13889"</definedName>
    <definedName name="IQ_NEGATIVE_FAIR_VALUE_DERIVATIVES_BENEFICIARY_FFIEC" hidden="1">"c13124"</definedName>
    <definedName name="IQ_NEGATIVE_FAIR_VALUE_DERIVATIVES_GUARANTOR_FFIEC" hidden="1">"c13117"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FUNDS_PURCHASED_ASSETS_TOT_FFIEC" hidden="1">"c13448"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COME_FDIC" hidden="1">"c6587"</definedName>
    <definedName name="IQ_NET_INCOME_LH_FFIEC" hidden="1">"c13110"</definedName>
    <definedName name="IQ_NET_INCOME_PC_FFIEC" hidden="1">"c13103"</definedName>
    <definedName name="IQ_NET_INCOME_SHE_FFIEC" hidden="1">"c12960"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INCOME_FFIEC" hidden="1">"c13001"</definedName>
    <definedName name="IQ_NET_INT_INCOME_FTE_FFIEC" hidden="1">"c13036"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CORE_DEPOSITS_FFIEC" hidden="1">"c13341"</definedName>
    <definedName name="IQ_NET_LOANS_DEPOSITS_FFIEC" hidden="1">"c13340"</definedName>
    <definedName name="IQ_NET_LOANS_EQUITY_FFIEC" hidden="1">"c13347"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WS" hidden="1">"c13743"</definedName>
    <definedName name="IQ_NEWS_DATE" hidden="1">"c13746"</definedName>
    <definedName name="IQ_NEWS_SOURCE" hidden="1">"c13745"</definedName>
    <definedName name="IQ_NEWS_TIME" hidden="1">"c13759"</definedName>
    <definedName name="IQ_NEWS_URL" hidden="1">"c13744"</definedName>
    <definedName name="IQ_NEXT_CALL_DATE" hidden="1">"c2198"</definedName>
    <definedName name="IQ_NEXT_CALL_PRICE" hidden="1">"c2199"</definedName>
    <definedName name="IQ_NEXT_EARNINGS_DATE" hidden="1">"c13592"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AVG_ASSETS_FFIEC" hidden="1">"c13370"</definedName>
    <definedName name="IQ_NI_BEFORE_CAPITALIZED" hidden="1">"c792"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FFIEC" hidden="1">"c13034"</definedName>
    <definedName name="IQ_NI_MARGIN" hidden="1">"c794"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SBC_ACT_OR_EST_CIQ" hidden="1">"c5012"</definedName>
    <definedName name="IQ_NI_SBC_GW_ACT_OR_EST_CIQ" hidden="1">"c5016"</definedName>
    <definedName name="IQ_NI_SFAS" hidden="1">"c795"</definedName>
    <definedName name="IQ_NI_SUBTOTAL_AP" hidden="1">"c8983"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_ALLOW_RECEIVABLES_FFIEC" hidden="1">"c13353"</definedName>
    <definedName name="IQ_NON_ACCRUAL_LOANS" hidden="1">"c796"</definedName>
    <definedName name="IQ_NON_CASH" hidden="1">"c1399"</definedName>
    <definedName name="IQ_NON_CASH_ITEMS" hidden="1">"c797"</definedName>
    <definedName name="IQ_NON_CURRENT_LOANS_FFIEC" hidden="1">"c13860"</definedName>
    <definedName name="IQ_NON_FARM_NONRES_PROPERTIES_TRADING_DOM_FFIEC" hidden="1">"c12931"</definedName>
    <definedName name="IQ_NON_INS_EXP" hidden="1">"c798"</definedName>
    <definedName name="IQ_NON_INS_REV" hidden="1">"c799"</definedName>
    <definedName name="IQ_NON_INT_BAL_OTHER_INSTITUTIONS_FFIEC" hidden="1">"c12950"</definedName>
    <definedName name="IQ_NON_INT_BEAR_CD" hidden="1">"c11750"</definedName>
    <definedName name="IQ_NON_INT_BEARING_DEPOSITS" hidden="1">"c800"</definedName>
    <definedName name="IQ_NON_INT_DEPOSITS_DOM_FFIEC" hidden="1">"c12851"</definedName>
    <definedName name="IQ_NON_INT_DEPOSITS_FOREIGN_FFIEC" hidden="1">"c12854"</definedName>
    <definedName name="IQ_NON_INT_EXP" hidden="1">"c801"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EXPENSE_FFIEC" hidden="1">"c13028"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AVG_ASSETS_FFIEC" hidden="1">"c13359"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_INC_OPERATING_INC_FFIEC" hidden="1">"c13382"</definedName>
    <definedName name="IQ_NON_INT_INCOME_FFIEC" hidden="1">"c13017"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ASSETS_FFIEC" hidden="1">"c13859"</definedName>
    <definedName name="IQ_NON_PERFORMING_LOANS" hidden="1">"c827"</definedName>
    <definedName name="IQ_NON_PERFORMING_LOANS_FFIEC" hidden="1">"c13861"</definedName>
    <definedName name="IQ_NON_US_ADDRESS_LEASE_FIN_REC_FFIEC" hidden="1">"c13625"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INCOME_AMORT_CLOSED_END_LOANS_FFIEC" hidden="1">"c13078"</definedName>
    <definedName name="IQ_NONCASH_PENSION_EXP" hidden="1">"c3000"</definedName>
    <definedName name="IQ_NONCORE_ASSETS_TOT_FFIEC" hidden="1">"c13443"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NONRES_GROSS_LOANS_FFIEC" hidden="1">"c13405"</definedName>
    <definedName name="IQ_NONFARM_NONRES_LL_REC_DOM_FFIEC" hidden="1">"c13626"</definedName>
    <definedName name="IQ_NONFARM_NONRES_RISK_BASED_FFIEC" hidden="1">"c13426"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CASH_FFIEC" hidden="1">"c12774"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QUALIFYING_PREFERRED_T1_FFIEC" hidden="1">"c13134"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" hidden="1">"c8468"</definedName>
    <definedName name="IQ_NONRES_FIXED_INVEST_PRIV_APR_UNUSED" hidden="1">"c7588"</definedName>
    <definedName name="IQ_NONRES_FIXED_INVEST_PRIV_FC_UNUSED" hidden="1">"c7808"</definedName>
    <definedName name="IQ_NONRES_FIXED_INVEST_PRIV_POP_FC_UNUSED" hidden="1">"c8028"</definedName>
    <definedName name="IQ_NONRES_FIXED_INVEST_PRIV_POP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" hidden="1">"c8248"</definedName>
    <definedName name="IQ_NONRES_FIXED_INVEST_PRIV_YOY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TRADING_SECURITIES_FAIR_VALUE_TOT_FFIEC" hidden="1">"c13211"</definedName>
    <definedName name="IQ_NONTRADING_SECURITIES_LEVEL_1_FFIEC" hidden="1">"c13219"</definedName>
    <definedName name="IQ_NONTRADING_SECURITIES_LEVEL_2_FFIEC" hidden="1">"c13227"</definedName>
    <definedName name="IQ_NONTRADING_SECURITIES_LEVEL_3_FFIEC" hidden="1">"c13235"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AMT_DERIVATIVES_BENEFICIARY_FFIEC" hidden="1">"c13118"</definedName>
    <definedName name="IQ_NOTIONAL_AMT_DERIVATIVES_GUARANTOR_FFIEC" hidden="1">"c13111"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OW_ATS_ACCOUNTS_COMMERCIAL_BANK_SUBS_FFIEC" hidden="1">"c12946"</definedName>
    <definedName name="IQ_NOW_ATS_ACCOUNTS_OTHER_INSTITUTIONS_FFIEC" hidden="1">"c12951"</definedName>
    <definedName name="IQ_NOW_OTHER_TRANS_ACCTS_TOT_DEPOSITS_FFIEC" hidden="1">"c13903"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CONTRIBUTORS" hidden="1">"c13739"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EXP_AVG_ASSETS_FFIEC" hidden="1">"c13372"</definedName>
    <definedName name="IQ_OCCUPANCY_EXP_OPERATING_INC_FFIEC" hidden="1">"c13380"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"c12732"</definedName>
    <definedName name="IQ_OG_DAILY_PRDUCTION_GROWTH_GAS_EQUIVALENT" hidden="1">"c12733"</definedName>
    <definedName name="IQ_OG_DAILY_PRDUCTION_GROWTH_NGL" hidden="1">"c12734"</definedName>
    <definedName name="IQ_OG_DAILY_PRDUCTION_GROWTH_OIL" hidden="1">"c12735"</definedName>
    <definedName name="IQ_OG_DAILY_PRDUCTION_GROWTH_OIL_EQUIVALENT" hidden="1">"c12736"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TOTAL_WELLS_DRILLED" hidden="1">"c10096"</definedName>
    <definedName name="IQ_OG_GROSS_OPERATED_WELLS" hidden="1">"c10092"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"c12737"</definedName>
    <definedName name="IQ_OG_PRDUCTION_GROWTH_GAS_EQUIVALENT" hidden="1">"c12738"</definedName>
    <definedName name="IQ_OG_PRDUCTION_GROWTH_NGL" hidden="1">"c12739"</definedName>
    <definedName name="IQ_OG_PRDUCTION_GROWTH_OIL" hidden="1">"c12740"</definedName>
    <definedName name="IQ_OG_PRDUCTION_GROWTH_OIL_EQUIVALENT" hidden="1">"c12741"</definedName>
    <definedName name="IQ_OG_PRDUCTION_GROWTH_TOAL" hidden="1">"c12742"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" hidden="1">"c6240"</definedName>
    <definedName name="IQ_OPER_INC_REIT" hidden="1">"c853"</definedName>
    <definedName name="IQ_OPER_INC_UTI" hidden="1">"c854"</definedName>
    <definedName name="IQ_OPERATING_EXP_AVG_ASSETS_FFIEC" hidden="1">"c13373"</definedName>
    <definedName name="IQ_OPERATING_INC_AVG_ASSETS_FFIEC" hidden="1">"c13368"</definedName>
    <definedName name="IQ_OPERATING_INC_TE_AVG_ASSETS_FFIEC" hidden="1">"c13360"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FIEC" hidden="1">"c12831"</definedName>
    <definedName name="IQ_OREO_FOREIGN_FDIC" hidden="1">"c6460"</definedName>
    <definedName name="IQ_OREO_MULTI_FAMILY_RESIDENTIAL_FDIC" hidden="1">"c6455"</definedName>
    <definedName name="IQ_OREO_OTHER_FFIEC" hidden="1">"c12833"</definedName>
    <definedName name="IQ_OTHER_ADDITIONS_T1_FFIEC" hidden="1">"c13142"</definedName>
    <definedName name="IQ_OTHER_ADDITIONS_T2_FFIEC" hidden="1">"c13148"</definedName>
    <definedName name="IQ_OTHER_ADJUST_GROSS_LOANS" hidden="1">"c859"</definedName>
    <definedName name="IQ_OTHER_ADJUSTMENTS_COVERED" hidden="1">"c9961"</definedName>
    <definedName name="IQ_OTHER_ADJUSTMENTS_FFIEC" hidden="1">"c12972"</definedName>
    <definedName name="IQ_OTHER_ADJUSTMENTS_GROUP" hidden="1">"c9947"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FIEC" hidden="1">"c12848"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TOTAL_FFIEC" hidden="1">"c12841"</definedName>
    <definedName name="IQ_OTHER_ASSETS_UTI" hidden="1">"c866"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BORROWED_MONEY_FFIEC" hidden="1">"c12862"</definedName>
    <definedName name="IQ_OTHER_BORROWED_MONEY_LT_FFIEC" hidden="1">"c12865"</definedName>
    <definedName name="IQ_OTHER_BORROWED_MONEY_ST_FFIEC" hidden="1">"c12864"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OMPREHENSIVE_INCOME_FFIEC" hidden="1">"c12970"</definedName>
    <definedName name="IQ_OTHER_CONSTRUCTION_GROSS_LOANS_FFIEC" hidden="1">"c13403"</definedName>
    <definedName name="IQ_OTHER_CONSTRUCTION_LOANS_DUE_30_89_FFIEC" hidden="1">"c13258"</definedName>
    <definedName name="IQ_OTHER_CONSTRUCTION_LOANS_DUE_90_FFIEC" hidden="1">"c13286"</definedName>
    <definedName name="IQ_OTHER_CONSTRUCTION_LOANS_NON_ACCRUAL_FFIEC" hidden="1">"c13312"</definedName>
    <definedName name="IQ_OTHER_CONSTRUCTION_LOANS_UNUSED_FFIEC" hidden="1">"c13245"</definedName>
    <definedName name="IQ_OTHER_CONSTRUCTION_RISK_BASED_FFIEC" hidden="1">"c13424"</definedName>
    <definedName name="IQ_OTHER_CONSUMER_LL_REC_FFIEC" hidden="1">"c12891"</definedName>
    <definedName name="IQ_OTHER_CONSUMER_LOANS_FFIEC" hidden="1">"c12824"</definedName>
    <definedName name="IQ_OTHER_CONSUMER_LOANS_TRADING_DOM_FFIEC" hidden="1">"c12935"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BT_SEC_DOM_AVAIL_SALE_FFIEC" hidden="1">"c12803"</definedName>
    <definedName name="IQ_OTHER_DEBT_SEC_FOREIGN_AVAIL_SALE_FFIEC" hidden="1">"c12804"</definedName>
    <definedName name="IQ_OTHER_DEBT_SEC_INVEST_SECURITIES_FFIEC" hidden="1">"c13462"</definedName>
    <definedName name="IQ_OTHER_DEBT_SEC_TRADING_DOM_FFIEC" hidden="1">"c12924"</definedName>
    <definedName name="IQ_OTHER_DEBT_SEC_TRADING_FFIEC" hidden="1">"c12819"</definedName>
    <definedName name="IQ_OTHER_DEBT_SECURITIES_DOM_FFIEC" hidden="1">"c12789"</definedName>
    <definedName name="IQ_OTHER_DEBT_SECURITIES_FOREIGN_FFIEC" hidden="1">"c12790"</definedName>
    <definedName name="IQ_OTHER_DEDUCTIONS_LEVERAGE_RATIO_FFIEC" hidden="1">"c13158"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EPOSITS_FFIEC" hidden="1">"c12994"</definedName>
    <definedName name="IQ_OTHER_DERIVATIVES_BENEFICIARY_FFIEC" hidden="1">"c13122"</definedName>
    <definedName name="IQ_OTHER_DERIVATIVES_GUARANTOR_FFIEC" hidden="1">"c13115"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CAPITAL_COMPS_FFIEC" hidden="1">"c12880"</definedName>
    <definedName name="IQ_OTHER_EQUITY_FFIEC" hidden="1">"c12879"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EXP_OPERATING_INC_FFIEC" hidden="1">"c13381"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FOREIGN_LOANS_FOREIGN_FFIEC" hidden="1">"c13482"</definedName>
    <definedName name="IQ_OTHER_INSURANCE_FEES_FDIC" hidden="1">"c6672"</definedName>
    <definedName name="IQ_OTHER_INSURANCE_PREMIUMS_FFIEC" hidden="1">"c13071"</definedName>
    <definedName name="IQ_OTHER_INT_EXPENSE_FFIEC" hidden="1">"c12999"</definedName>
    <definedName name="IQ_OTHER_INT_INCOME_FFIEC" hidden="1">"c12988"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ASSETS_FFIEC" hidden="1">"c12837"</definedName>
    <definedName name="IQ_OTHER_INTANGIBLE_ASSETS_TOT_FFIEC" hidden="1">"c12840"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EASES_DUE_30_89_FFIEC" hidden="1">"c13278"</definedName>
    <definedName name="IQ_OTHER_LEASES_DUE_90_FFIEC" hidden="1">"c13304"</definedName>
    <definedName name="IQ_OTHER_LEASES_LL_REC_FFIEC" hidden="1">"c12896"</definedName>
    <definedName name="IQ_OTHER_LEASES_NON_ACCRUAL_FFIEC" hidden="1">"c13330"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IABILITIES_FFIEC" hidden="1">"c12872"</definedName>
    <definedName name="IQ_OTHER_LIABILITIES_TOTAL_FFIEC" hidden="1">"c12869"</definedName>
    <definedName name="IQ_OTHER_LL_REC_FFIEC" hidden="1">"c12894"</definedName>
    <definedName name="IQ_OTHER_LOANS" hidden="1">"c945"</definedName>
    <definedName name="IQ_OTHER_LOANS_CHARGE_OFFS_FDIC" hidden="1">"c6601"</definedName>
    <definedName name="IQ_OTHER_LOANS_DUE_30_89_FFIEC" hidden="1">"c13275"</definedName>
    <definedName name="IQ_OTHER_LOANS_DUE_90_FFIEC" hidden="1">"c13301"</definedName>
    <definedName name="IQ_OTHER_LOANS_FFIEC" hidden="1">"c12825"</definedName>
    <definedName name="IQ_OTHER_LOANS_FOREIGN_FDIC" hidden="1">"c6446"</definedName>
    <definedName name="IQ_OTHER_LOANS_GROSS_LOANS_FFIEC" hidden="1">"c13414"</definedName>
    <definedName name="IQ_OTHER_LOANS_INDIVIDUALS_CHARGE_OFFS_FFIEC" hidden="1">"c13181"</definedName>
    <definedName name="IQ_OTHER_LOANS_INDIVIDUALS_DUE_30_89_FFIEC" hidden="1">"c13273"</definedName>
    <definedName name="IQ_OTHER_LOANS_INDIVIDUALS_DUE_90_FFIEC" hidden="1">"c13299"</definedName>
    <definedName name="IQ_OTHER_LOANS_INDIVIDUALS_NON_ACCRUAL_FFIEC" hidden="1">"c13325"</definedName>
    <definedName name="IQ_OTHER_LOANS_INDIVIDUALS_RECOV_FFIEC" hidden="1">"c13203"</definedName>
    <definedName name="IQ_OTHER_LOANS_LEASES_FDIC" hidden="1">"c6322"</definedName>
    <definedName name="IQ_OTHER_LOANS_LL_REC_DOM_FFIEC" hidden="1">"c12914"</definedName>
    <definedName name="IQ_OTHER_LOANS_NET_CHARGE_OFFS_FDIC" hidden="1">"c6639"</definedName>
    <definedName name="IQ_OTHER_LOANS_NON_ACCRUAL_FFIEC" hidden="1">"c13327"</definedName>
    <definedName name="IQ_OTHER_LOANS_RECOVERIES_FDIC" hidden="1">"c6620"</definedName>
    <definedName name="IQ_OTHER_LOANS_RISK_BASED_FFIEC" hidden="1">"c13435"</definedName>
    <definedName name="IQ_OTHER_LOANS_TOTAL_FDIC" hidden="1">"c6432"</definedName>
    <definedName name="IQ_OTHER_LOANS_TRADING_DOM_FFIEC" hidden="1">"c12936"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MBS_AVAIL_SALE_FFIEC" hidden="1">"c12801"</definedName>
    <definedName name="IQ_OTHER_MBS_FFIEC" hidden="1">"c12787"</definedName>
    <definedName name="IQ_OTHER_MBS_ISSUED_FNMA_GNMA_TRADING_DOM_FFIEC" hidden="1">"c12922"</definedName>
    <definedName name="IQ_OTHER_MBS_ISSUED_FNMA_GNMA_TRADING_FFIEC" hidden="1">"c12817"</definedName>
    <definedName name="IQ_OTHER_MBS_TRADING_DOM_FFIEC" hidden="1">"c12923"</definedName>
    <definedName name="IQ_OTHER_MBS_TRADING_FFIEC" hidden="1">"c12818"</definedName>
    <definedName name="IQ_OTHER_NET" hidden="1">"c1453"</definedName>
    <definedName name="IQ_OTHER_NON_INT_ALLOCATIONS_FFIEC" hidden="1">"c13065"</definedName>
    <definedName name="IQ_OTHER_NON_INT_EXP" hidden="1">"c953"</definedName>
    <definedName name="IQ_OTHER_NON_INT_EXP_FDIC" hidden="1">"c6578"</definedName>
    <definedName name="IQ_OTHER_NON_INT_EXP_FFIEC" hidden="1">"c13027"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INT_INC_OPERATING_INC_FFIEC" hidden="1">"c13392"</definedName>
    <definedName name="IQ_OTHER_NON_INT_INCOME_FFIEC" hidden="1">"c13016"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FARM_NONRES_GROSS_LOANS_FFIEC" hidden="1">"c13407"</definedName>
    <definedName name="IQ_OTHER_NONFARM_NONRES_LL_REC_DOM_FFIEC" hidden="1">"c12907"</definedName>
    <definedName name="IQ_OTHER_NONFARM_NONRES_RISK_BASED_FFIEC" hidden="1">"c13428"</definedName>
    <definedName name="IQ_OTHER_OFF_BS_ITEMS_FFIEC" hidden="1">"c13126"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OVER_TOTAL" hidden="1">"c13770"</definedName>
    <definedName name="IQ_OTHER_PC_WRITTEN" hidden="1">"c1006"</definedName>
    <definedName name="IQ_OTHER_PROP" hidden="1">"c8764"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EVOL_CREDIT_CONSUMER_LOANS_FFIEC" hidden="1">"c12823"</definedName>
    <definedName name="IQ_OTHER_REVOLVING_CREDIT_LL_REC_FFIEC" hidden="1">"c12890"</definedName>
    <definedName name="IQ_OTHER_REVOLVING_CREDIT_LOANS_TRADING_DOM_FFIEC" hidden="1">"c12934"</definedName>
    <definedName name="IQ_OTHER_ROOMS" hidden="1">"c8788"</definedName>
    <definedName name="IQ_OTHER_SAVINGS_DEPOSITS_FDIC" hidden="1">"c6554"</definedName>
    <definedName name="IQ_OTHER_SQ_FT" hidden="1">"c8780"</definedName>
    <definedName name="IQ_OTHER_STRIKE_PRICE_GRANTED" hidden="1">"c2692"</definedName>
    <definedName name="IQ_OTHER_TAX_EQUIVALENT_ADJUSTMENTS_FFIEC" hidden="1">"c13855"</definedName>
    <definedName name="IQ_OTHER_TRADING_ASSETS_FFIEC" hidden="1">"c12826"</definedName>
    <definedName name="IQ_OTHER_TRADING_ASSETS_TOTAL_FFIEC" hidden="1">"c12937"</definedName>
    <definedName name="IQ_OTHER_TRADING_LIABILITIES_FFIEC" hidden="1">"c12860"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ED_FFIEC" hidden="1">"c13248"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SUPPLE" hidden="1">"c13816"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VERHEAD_EXP_AVG_ASSETS_FFIEC" hidden="1">"c13361"</definedName>
    <definedName name="IQ_OVERHEAD_EXP_REV_FFIEC" hidden="1">"c13494"</definedName>
    <definedName name="IQ_OVERHEAD_NON_INT_INC_AVG_ASSETS_FFIEC" hidden="1">"c13374"</definedName>
    <definedName name="IQ_OVERHEAD_NON_INT_OPERATING_INC_FFIEC" hidden="1">"c13393"</definedName>
    <definedName name="IQ_OVERHEAD_OPERATING_INC_FFIEC" hidden="1">"c13378"</definedName>
    <definedName name="IQ_OWNER_OCCUPIED_GROSS_LOANS_FFIEC" hidden="1">"c13406"</definedName>
    <definedName name="IQ_OWNER_OCCUPIED_LOANS_RISK_BASED_FFIEC" hidden="1">"c13427"</definedName>
    <definedName name="IQ_OWNER_OCCUPIED_NONFARM_NONRES_LL_REC_DOM_FFIEC" hidden="1">"c12906"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ICIPATIONS_ACCEPTANCES_FFIEC" hidden="1">"c13254"</definedName>
    <definedName name="IQ_PARTNERSHIP_INC_RE" hidden="1">"c12039"</definedName>
    <definedName name="IQ_PASS_THROUGH_FNMA_GNMA_TRADING_FFIEC" hidden="1">"c12816"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ST_DUE_ALLOW_GROSS_LOANS_FFIEC" hidden="1">"c13416"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DAY" hidden="1">"c1846"</definedName>
    <definedName name="IQ_PERCENT_CHANGE_EST_5YR_GROWTH_RATE_DAY_CIQ" hidden="1">"c3785"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WEEK" hidden="1">"c1847"</definedName>
    <definedName name="IQ_PERCENT_CHANGE_EST_5YR_GROWTH_RATE_WEEK_CIQ" hidden="1">"c3797"</definedName>
    <definedName name="IQ_PERCENT_CHANGE_EST_EBITDA_12MONTHS" hidden="1">"c1804"</definedName>
    <definedName name="IQ_PERCENT_CHANGE_EST_EBITDA_12MONTHS_CIQ" hidden="1">"c3748"</definedName>
    <definedName name="IQ_PERCENT_CHANGE_EST_EBITDA_18MONTHS" hidden="1">"c1805"</definedName>
    <definedName name="IQ_PERCENT_CHANGE_EST_EBITDA_18MONTHS_CIQ" hidden="1">"c3749"</definedName>
    <definedName name="IQ_PERCENT_CHANGE_EST_EBITDA_3MONTHS" hidden="1">"c1801"</definedName>
    <definedName name="IQ_PERCENT_CHANGE_EST_EBITDA_3MONTHS_CIQ" hidden="1">"c3745"</definedName>
    <definedName name="IQ_PERCENT_CHANGE_EST_EBITDA_6MONTHS" hidden="1">"c1802"</definedName>
    <definedName name="IQ_PERCENT_CHANGE_EST_EBITDA_6MONTHS_CIQ" hidden="1">"c3746"</definedName>
    <definedName name="IQ_PERCENT_CHANGE_EST_EBITDA_9MONTHS" hidden="1">"c1803"</definedName>
    <definedName name="IQ_PERCENT_CHANGE_EST_EBITDA_9MONTHS_CIQ" hidden="1">"c3747"</definedName>
    <definedName name="IQ_PERCENT_CHANGE_EST_EBITDA_DAY" hidden="1">"c1798"</definedName>
    <definedName name="IQ_PERCENT_CHANGE_EST_EBITDA_DAY_CIQ" hidden="1">"c3743"</definedName>
    <definedName name="IQ_PERCENT_CHANGE_EST_EBITDA_MONTH" hidden="1">"c1800"</definedName>
    <definedName name="IQ_PERCENT_CHANGE_EST_EBITDA_MONTH_CIQ" hidden="1">"c3744"</definedName>
    <definedName name="IQ_PERCENT_CHANGE_EST_EBITDA_WEEK" hidden="1">"c1799"</definedName>
    <definedName name="IQ_PERCENT_CHANGE_EST_EBITDA_WEEK_CIQ" hidden="1">"c3792"</definedName>
    <definedName name="IQ_PERCENT_CHANGE_EST_EPS_12MONTHS" hidden="1">"c1788"</definedName>
    <definedName name="IQ_PERCENT_CHANGE_EST_EPS_12MONTHS_CIQ" hidden="1">"c3733"</definedName>
    <definedName name="IQ_PERCENT_CHANGE_EST_EPS_18MONTHS" hidden="1">"c1789"</definedName>
    <definedName name="IQ_PERCENT_CHANGE_EST_EPS_18MONTHS_CIQ" hidden="1">"c3734"</definedName>
    <definedName name="IQ_PERCENT_CHANGE_EST_EPS_3MONTHS" hidden="1">"c1785"</definedName>
    <definedName name="IQ_PERCENT_CHANGE_EST_EPS_3MONTHS_CIQ" hidden="1">"c3730"</definedName>
    <definedName name="IQ_PERCENT_CHANGE_EST_EPS_6MONTHS" hidden="1">"c1786"</definedName>
    <definedName name="IQ_PERCENT_CHANGE_EST_EPS_6MONTHS_CIQ" hidden="1">"c3731"</definedName>
    <definedName name="IQ_PERCENT_CHANGE_EST_EPS_9MONTHS" hidden="1">"c1787"</definedName>
    <definedName name="IQ_PERCENT_CHANGE_EST_EPS_9MONTHS_CIQ" hidden="1">"c3732"</definedName>
    <definedName name="IQ_PERCENT_CHANGE_EST_EPS_DAY" hidden="1">"c1782"</definedName>
    <definedName name="IQ_PERCENT_CHANGE_EST_EPS_DAY_CIQ" hidden="1">"c3727"</definedName>
    <definedName name="IQ_PERCENT_CHANGE_EST_EPS_MONTH" hidden="1">"c1784"</definedName>
    <definedName name="IQ_PERCENT_CHANGE_EST_EPS_MONTH_CIQ" hidden="1">"c3729"</definedName>
    <definedName name="IQ_PERCENT_CHANGE_EST_EPS_WEEK" hidden="1">"c1783"</definedName>
    <definedName name="IQ_PERCENT_CHANGE_EST_EPS_WEEK_CIQ" hidden="1">"c3728"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3MONTHS" hidden="1">"c1841"</definedName>
    <definedName name="IQ_PERCENT_CHANGE_EST_PRICE_TARGET_3MONTHS_CIQ" hidden="1">"c3780"</definedName>
    <definedName name="IQ_PERCENT_CHANGE_EST_PRICE_TARGET_6MONTHS" hidden="1">"c1842"</definedName>
    <definedName name="IQ_PERCENT_CHANGE_EST_PRICE_TARGET_6MONTHS_CIQ" hidden="1">"c3781"</definedName>
    <definedName name="IQ_PERCENT_CHANGE_EST_PRICE_TARGET_9MONTHS" hidden="1">"c1843"</definedName>
    <definedName name="IQ_PERCENT_CHANGE_EST_PRICE_TARGET_9MONTHS_CIQ" hidden="1">"c3782"</definedName>
    <definedName name="IQ_PERCENT_CHANGE_EST_PRICE_TARGET_DAY" hidden="1">"c1838"</definedName>
    <definedName name="IQ_PERCENT_CHANGE_EST_PRICE_TARGET_DAY_CIQ" hidden="1">"c3778"</definedName>
    <definedName name="IQ_PERCENT_CHANGE_EST_PRICE_TARGET_MONTH" hidden="1">"c1840"</definedName>
    <definedName name="IQ_PERCENT_CHANGE_EST_PRICE_TARGET_MONTH_CIQ" hidden="1">"c3779"</definedName>
    <definedName name="IQ_PERCENT_CHANGE_EST_PRICE_TARGET_WEEK" hidden="1">"c1839"</definedName>
    <definedName name="IQ_PERCENT_CHANGE_EST_PRICE_TARGET_WEEK_CIQ" hidden="1">"c3798"</definedName>
    <definedName name="IQ_PERCENT_CHANGE_EST_RECO_12MONTHS" hidden="1">"c1836"</definedName>
    <definedName name="IQ_PERCENT_CHANGE_EST_RECO_12MONTHS_CIQ" hidden="1">"c3776"</definedName>
    <definedName name="IQ_PERCENT_CHANGE_EST_RECO_18MONTHS" hidden="1">"c1837"</definedName>
    <definedName name="IQ_PERCENT_CHANGE_EST_RECO_18MONTHS_CIQ" hidden="1">"c3777"</definedName>
    <definedName name="IQ_PERCENT_CHANGE_EST_RECO_3MONTHS" hidden="1">"c1833"</definedName>
    <definedName name="IQ_PERCENT_CHANGE_EST_RECO_3MONTHS_CIQ" hidden="1">"c3773"</definedName>
    <definedName name="IQ_PERCENT_CHANGE_EST_RECO_6MONTHS" hidden="1">"c1834"</definedName>
    <definedName name="IQ_PERCENT_CHANGE_EST_RECO_6MONTHS_CIQ" hidden="1">"c3774"</definedName>
    <definedName name="IQ_PERCENT_CHANGE_EST_RECO_9MONTHS" hidden="1">"c1835"</definedName>
    <definedName name="IQ_PERCENT_CHANGE_EST_RECO_9MONTHS_CIQ" hidden="1">"c3775"</definedName>
    <definedName name="IQ_PERCENT_CHANGE_EST_RECO_DAY" hidden="1">"c1830"</definedName>
    <definedName name="IQ_PERCENT_CHANGE_EST_RECO_DAY_CIQ" hidden="1">"c3771"</definedName>
    <definedName name="IQ_PERCENT_CHANGE_EST_RECO_MONTH" hidden="1">"c1832"</definedName>
    <definedName name="IQ_PERCENT_CHANGE_EST_RECO_MONTH_CIQ" hidden="1">"c3772"</definedName>
    <definedName name="IQ_PERCENT_CHANGE_EST_RECO_WEEK" hidden="1">"c1831"</definedName>
    <definedName name="IQ_PERCENT_CHANGE_EST_RECO_WEEK_CIQ" hidden="1">"c3796"</definedName>
    <definedName name="IQ_PERCENT_CHANGE_EST_REV_12MONTHS" hidden="1">"c1796"</definedName>
    <definedName name="IQ_PERCENT_CHANGE_EST_REV_12MONTHS_CIQ" hidden="1">"c3741"</definedName>
    <definedName name="IQ_PERCENT_CHANGE_EST_REV_18MONTHS" hidden="1">"c1797"</definedName>
    <definedName name="IQ_PERCENT_CHANGE_EST_REV_18MONTHS_CIQ" hidden="1">"c3742"</definedName>
    <definedName name="IQ_PERCENT_CHANGE_EST_REV_3MONTHS" hidden="1">"c1793"</definedName>
    <definedName name="IQ_PERCENT_CHANGE_EST_REV_3MONTHS_CIQ" hidden="1">"c3738"</definedName>
    <definedName name="IQ_PERCENT_CHANGE_EST_REV_6MONTHS" hidden="1">"c1794"</definedName>
    <definedName name="IQ_PERCENT_CHANGE_EST_REV_6MONTHS_CIQ" hidden="1">"c3739"</definedName>
    <definedName name="IQ_PERCENT_CHANGE_EST_REV_9MONTHS" hidden="1">"c1795"</definedName>
    <definedName name="IQ_PERCENT_CHANGE_EST_REV_9MONTHS_CIQ" hidden="1">"c3740"</definedName>
    <definedName name="IQ_PERCENT_CHANGE_EST_REV_DAY" hidden="1">"c1790"</definedName>
    <definedName name="IQ_PERCENT_CHANGE_EST_REV_DAY_CIQ" hidden="1">"c3735"</definedName>
    <definedName name="IQ_PERCENT_CHANGE_EST_REV_MONTH" hidden="1">"c1792"</definedName>
    <definedName name="IQ_PERCENT_CHANGE_EST_REV_MONTH_CIQ" hidden="1">"c3737"</definedName>
    <definedName name="IQ_PERCENT_CHANGE_EST_REV_WEEK" hidden="1">"c1791"</definedName>
    <definedName name="IQ_PERCENT_CHANGE_EST_REV_WEEK_CIQ" hidden="1">"c3736"</definedName>
    <definedName name="IQ_PERCENT_INSURED_FDIC" hidden="1">"c6374"</definedName>
    <definedName name="IQ_PERFORMANCE_LOC_FOREIGN_GUARANTEES_FFIEC" hidden="1">"c13251"</definedName>
    <definedName name="IQ_PERIODDATE" hidden="1">"c1414"</definedName>
    <definedName name="IQ_PERIODDATE_AP" hidden="1">"c11745"</definedName>
    <definedName name="IQ_PERIODDATE_BS" hidden="1">"c1032"</definedName>
    <definedName name="IQ_PERIODDATE_CF" hidden="1">"c1033"</definedName>
    <definedName name="IQ_PERIODDATE_FDIC" hidden="1">"c13646"</definedName>
    <definedName name="IQ_PERIODDATE_FFIEC" hidden="1">"c13645"</definedName>
    <definedName name="IQ_PERIODDATE_IS" hidden="1">"c1034"</definedName>
    <definedName name="IQ_PERIODLENGTH_AP" hidden="1">"c11746"</definedName>
    <definedName name="IQ_PERIODLENGTH_CF" hidden="1">"c1502"</definedName>
    <definedName name="IQ_PERIODLENGTH_IS" hidden="1">"c1503"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FC" hidden="1">"c7823"</definedName>
    <definedName name="IQ_PERSONAL_INCOME_POP" hidden="1">"c7163"</definedName>
    <definedName name="IQ_PERSONAL_INCOME_POP_FC" hidden="1">"c8043"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YOY" hidden="1">"c7383"</definedName>
    <definedName name="IQ_PERSONAL_INCOME_YOY_FC" hidden="1">"c8263"</definedName>
    <definedName name="IQ_PERSONNEL_EXP_AVG_ASSETS_FFIEC" hidden="1">"c13371"</definedName>
    <definedName name="IQ_PERSONNEL_EXP_OPERATING_INC_FFIEC" hidden="1">"c13379"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"c12750"</definedName>
    <definedName name="IQ_PHARMBIO_NUMBER_PROD__CLINICAL_DEV" hidden="1">"c12745"</definedName>
    <definedName name="IQ_PHARMBIO_NUMBER_PROD__LAUNCHED_DURING_PERIOD" hidden="1">"c12751"</definedName>
    <definedName name="IQ_PHARMBIO_NUMBER_PROD__PHASE_I" hidden="1">"c12746"</definedName>
    <definedName name="IQ_PHARMBIO_NUMBER_PROD__PHASE_II" hidden="1">"c12747"</definedName>
    <definedName name="IQ_PHARMBIO_NUMBER_PROD__PHASE_III" hidden="1">"c12748"</definedName>
    <definedName name="IQ_PHARMBIO_NUMBER_PROD__PRE_CLINICAL_TRIALS" hidden="1">"c12744"</definedName>
    <definedName name="IQ_PHARMBIO_NUMBER_PROD__PRE_REGISTRATION" hidden="1">"c12749"</definedName>
    <definedName name="IQ_PHARMBIO_NUMBER_PROD__RESEARCH_DEV" hidden="1">"c12743"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SEC_INVEST_SECURITIES_FFIEC" hidden="1">"c13467"</definedName>
    <definedName name="IQ_PLEDGED_SECURITIES_FDIC" hidden="1">"c6401"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LICYHOLDER_BENEFITS_LH_FFIEC" hidden="1">"c13107"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SITIVE_FAIR_VALUE_DERIVATIVES_BENEFICIARY_FFIEC" hidden="1">"c13123"</definedName>
    <definedName name="IQ_POSITIVE_FAIR_VALUE_DERIVATIVES_GUARANTOR_FFIEC" hidden="1">"c13116"</definedName>
    <definedName name="IQ_POST_RETIRE_EXP" hidden="1">"c1039"</definedName>
    <definedName name="IQ_POSTAGE_FFIEC" hidden="1">"c13051"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CIQ" hidden="1">"c3799"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STOCK_FFIEC" hidden="1">"c12875"</definedName>
    <definedName name="IQ_PREF_TOT" hidden="1">"c1415"</definedName>
    <definedName name="IQ_PREFERRED_FDIC" hidden="1">"c6349"</definedName>
    <definedName name="IQ_PREFERRED_LIST" hidden="1">"c13506"</definedName>
    <definedName name="IQ_PREMISES_EQUIPMENT_FDIC" hidden="1">"c6577"</definedName>
    <definedName name="IQ_PREMISES_FIXED_ASSETS_CAP_LEASES_FFIEC" hidden="1">"c12830"</definedName>
    <definedName name="IQ_PREMIUM_INSURANCE_CREDIT_FFIEC" hidden="1">"c13070"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OPERATING_INC_AVG_ASSETS_FFIEC" hidden="1">"c13365"</definedName>
    <definedName name="IQ_PRETAX_RETURN_ASSETS_FDIC" hidden="1">"c6731"</definedName>
    <definedName name="IQ_PREV_MONTHLY_FACTOR" hidden="1">"c8973"</definedName>
    <definedName name="IQ_PREV_MONTHLY_FACTOR_DATE" hidden="1">"c8974"</definedName>
    <definedName name="IQ_PRICE_OVER_BVPS" hidden="1">"c1412"</definedName>
    <definedName name="IQ_PRICE_OVER_LTM_EPS" hidden="1">"c1413"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TARGET" hidden="1">"c82"</definedName>
    <definedName name="IQ_PRICE_TARGET_BOTTOM_UP_CIQ" hidden="1">"c12023"</definedName>
    <definedName name="IQ_PRICE_TARGET_CIQ" hidden="1">"c3613"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IVATE_CONST_TOTAL_APR_FC_UNUSED" hidden="1">"c8559"</definedName>
    <definedName name="IQ_PRIVATE_CONST_TOTAL_APR_UNUSED" hidden="1">"c7679"</definedName>
    <definedName name="IQ_PRIVATE_CONST_TOTAL_FC_UNUSED" hidden="1">"c7899"</definedName>
    <definedName name="IQ_PRIVATE_CONST_TOTAL_POP_FC_UNUSED" hidden="1">"c8119"</definedName>
    <definedName name="IQ_PRIVATE_CONST_TOTAL_POP_UNUSED" hidden="1">"c7239"</definedName>
    <definedName name="IQ_PRIVATE_CONST_TOTAL_UNUSED" hidden="1">"c7019"</definedName>
    <definedName name="IQ_PRIVATE_CONST_TOTAL_YOY_FC_UNUSED" hidden="1">"c8339"</definedName>
    <definedName name="IQ_PRIVATE_CONST_TOTAL_YOY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" hidden="1">"c8535"</definedName>
    <definedName name="IQ_PRIVATE_RES_CONST_REAL_APR_UNUSED" hidden="1">"c7655"</definedName>
    <definedName name="IQ_PRIVATE_RES_CONST_REAL_FC_UNUSED" hidden="1">"c7875"</definedName>
    <definedName name="IQ_PRIVATE_RES_CONST_REAL_POP_FC_UNUSED" hidden="1">"c8095"</definedName>
    <definedName name="IQ_PRIVATE_RES_CONST_REAL_POP_UNUSED" hidden="1">"c7215"</definedName>
    <definedName name="IQ_PRIVATE_RES_CONST_REAL_UNUSED" hidden="1">"c6995"</definedName>
    <definedName name="IQ_PRIVATE_RES_CONST_REAL_YOY_FC_UNUSED" hidden="1">"c8315"</definedName>
    <definedName name="IQ_PRIVATE_RES_CONST_REAL_YOY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FESSIONAL" hidden="1">"c1071"</definedName>
    <definedName name="IQ_PROFESSIONAL_ID" hidden="1">"c13755"</definedName>
    <definedName name="IQ_PROFESSIONAL_TITLE" hidden="1">"c1072"</definedName>
    <definedName name="IQ_PROFIT_AFTER_COST_CAPITAL_NEW_BUSINESS" hidden="1">"c9969"</definedName>
    <definedName name="IQ_PROFIT_BEFORE_COST_CAPITAL_NEW_BUSINESS" hidden="1">"c9967"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ROVISION_LL_FFIEC" hidden="1">"c13019"</definedName>
    <definedName name="IQ_PROVISION_LOSSES_AVG_ASSETS_FFIEC" hidden="1">"c13362"</definedName>
    <definedName name="IQ_PROVISION_LOSSES_AVG_LOANS_FFIEC" hidden="1">"c13470"</definedName>
    <definedName name="IQ_PROVISION_LOSSES_NET_LOSSES_FFIEC" hidden="1">"c13471"</definedName>
    <definedName name="IQ_PTBV" hidden="1">"c1084"</definedName>
    <definedName name="IQ_PTBV_AVG" hidden="1">"c1085"</definedName>
    <definedName name="IQ_PURCHASE_FOREIGN_CURRENCIES_FDIC" hidden="1">"c6513"</definedName>
    <definedName name="IQ_PURCHASE_TREASURY_FFIEC" hidden="1">"c12966"</definedName>
    <definedName name="IQ_PURCHASED_CREDIT_RELS_SERVICING_ASSETS_FFIEC" hidden="1">"c12839"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" hidden="1">"c8491"</definedName>
    <definedName name="IQ_PURCHASES_EQUIP_NONRES_SAAR_APR_UNUSED" hidden="1">"c7611"</definedName>
    <definedName name="IQ_PURCHASES_EQUIP_NONRES_SAAR_FC_UNUSED" hidden="1">"c7831"</definedName>
    <definedName name="IQ_PURCHASES_EQUIP_NONRES_SAAR_POP_FC_UNUSED" hidden="1">"c8051"</definedName>
    <definedName name="IQ_PURCHASES_EQUIP_NONRES_SAAR_POP_UNUSED" hidden="1">"c7171"</definedName>
    <definedName name="IQ_PURCHASES_EQUIP_NONRES_SAAR_UNUSED" hidden="1">"c6951"</definedName>
    <definedName name="IQ_PURCHASES_EQUIP_NONRES_SAAR_YOY_FC_UNUSED" hidden="1">"c8271"</definedName>
    <definedName name="IQ_PURCHASES_EQUIP_NONRES_SAAR_YOY_UNUSED" hidden="1">"c7391"</definedName>
    <definedName name="IQ_PURCHASING_SECURITIES_LL_REC_FFIEC" hidden="1">"c12893"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UALIFYING_MINORITY_INT_T1_FFIEC" hidden="1">"c13135"</definedName>
    <definedName name="IQ_QUALIFYING_SUB_DEBT_REDEEM_PREF_T2_FFIEC" hidden="1">"c13144"</definedName>
    <definedName name="IQ_QUALIFYING_TRUST_PREFERRED_T1_FFIEC" hidden="1">"c13136"</definedName>
    <definedName name="IQ_QUICK_COMP" hidden="1">"c13750"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1_4_RISK_BASED_FFIEC" hidden="1">"c13418"</definedName>
    <definedName name="IQ_RE_ACQ_SATISFACTION_DEBTS_FFIEC" hidden="1">"c12832"</definedName>
    <definedName name="IQ_RE_DEPR_AMORT" hidden="1">"c8750"</definedName>
    <definedName name="IQ_RE_FARMLAND_GROSS_LOANS_FFIEC" hidden="1">"c13408"</definedName>
    <definedName name="IQ_RE_FARMLAND_RISK_BASED_FFIEC" hidden="1">"c13429"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FOREIGN_FFIEC" hidden="1">"c13479"</definedName>
    <definedName name="IQ_RE_GAIN_LOSS_SALE_ASSETS" hidden="1">"c8751"</definedName>
    <definedName name="IQ_RE_INVEST_FDIC" hidden="1">"c6331"</definedName>
    <definedName name="IQ_RE_LOANS_1_4_GROSS_LOANS_FFIEC" hidden="1">"c13397"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LOANS_GROSS_LOANS_FFIEC" hidden="1">"c13396"</definedName>
    <definedName name="IQ_RE_MAINT_CAPEX" hidden="1">"c8755"</definedName>
    <definedName name="IQ_RE_MINORITY_INTEREST" hidden="1">"c8752"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OTHER_ITEMS" hidden="1">"c8753"</definedName>
    <definedName name="IQ_RE_RISK_BASED_FFIEC" hidden="1">"c13417"</definedName>
    <definedName name="IQ_REAL_ESTATE" hidden="1">"c1093"</definedName>
    <definedName name="IQ_REAL_ESTATE_ASSETS" hidden="1">"c1094"</definedName>
    <definedName name="IQ_REALIZED_GAINS_AVAIL_SALE_SEC_FFIEC" hidden="1">"c13022"</definedName>
    <definedName name="IQ_REALIZED_GAINS_HELD_MATURITY_SEC_FFIEC" hidden="1">"c13021"</definedName>
    <definedName name="IQ_REALIZED_GAINS_SEC_TOT_FFIEC" hidden="1">"c13517"</definedName>
    <definedName name="IQ_RECOVERIES_1_4_FAMILY_LOANS_FDIC" hidden="1">"c6707"</definedName>
    <definedName name="IQ_RECOVERIES_AUTO_LOANS_FDIC" hidden="1">"c6701"</definedName>
    <definedName name="IQ_RECOVERIES_AVG_LOANS_FFIEC" hidden="1">"c13476"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_CIQ" hidden="1">"c5045"</definedName>
    <definedName name="IQ_RECURRING_PROFIT_SHARE_ACT_OR_EST_CIQ" hidden="1">"c5046"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INSURANCE_RECOVERABLE_ASSETS_LH_FFIEC" hidden="1">"c13104"</definedName>
    <definedName name="IQ_REINSURANCE_RECOVERABLE_ASSETS_PC_FFIEC" hidden="1">"c13098"</definedName>
    <definedName name="IQ_RELATED_PLANS_FDIC" hidden="1">"c6320"</definedName>
    <definedName name="IQ_RENT_OTHER_INC_FROM_OREO_FFIEC" hidden="1">"c13043"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_SAFE_DEPOSIT_FFIEC" hidden="1">"c13044"</definedName>
    <definedName name="IQ_RENTAL_REV" hidden="1">"c1101"</definedName>
    <definedName name="IQ_REPRICEABLE_EARNING_ASSETS_INT_SENSITIVITY_FFIEC" hidden="1">"c13093"</definedName>
    <definedName name="IQ_REPRICEABLE_INT_DEPOSITS_INT_SENSITIVITY_FFIEC" hidden="1">"c13094"</definedName>
    <definedName name="IQ_REPURCHASED_REBOOKED_GNMA_DUE_30_89_FFIEC" hidden="1">"c13283"</definedName>
    <definedName name="IQ_REPURCHASED_REBOOKED_GNMA_DUE_90_FFIEC" hidden="1">"c13309"</definedName>
    <definedName name="IQ_REPURCHASED_REBOOKED_GNMA_NON_ACCRUAL_FFIEC" hidden="1">"c13334"</definedName>
    <definedName name="IQ_RES_CONST_REAL_APR_FC_UNUSED" hidden="1">"c8536"</definedName>
    <definedName name="IQ_RES_CONST_REAL_APR_UNUSED" hidden="1">"c7656"</definedName>
    <definedName name="IQ_RES_CONST_REAL_FC_UNUSED" hidden="1">"c7876"</definedName>
    <definedName name="IQ_RES_CONST_REAL_POP_FC_UNUSED" hidden="1">"c8096"</definedName>
    <definedName name="IQ_RES_CONST_REAL_POP_UNUSED" hidden="1">"c7216"</definedName>
    <definedName name="IQ_RES_CONST_REAL_SAAR_APR_FC_UNUSED" hidden="1">"c8537"</definedName>
    <definedName name="IQ_RES_CONST_REAL_SAAR_APR_UNUSED" hidden="1">"c7657"</definedName>
    <definedName name="IQ_RES_CONST_REAL_SAAR_FC_UNUSED" hidden="1">"c7877"</definedName>
    <definedName name="IQ_RES_CONST_REAL_SAAR_POP_FC_UNUSED" hidden="1">"c8097"</definedName>
    <definedName name="IQ_RES_CONST_REAL_SAAR_POP_UNUSED" hidden="1">"c7217"</definedName>
    <definedName name="IQ_RES_CONST_REAL_SAAR_UNUSED" hidden="1">"c6997"</definedName>
    <definedName name="IQ_RES_CONST_REAL_SAAR_YOY_FC_UNUSED" hidden="1">"c8317"</definedName>
    <definedName name="IQ_RES_CONST_REAL_SAAR_YOY_UNUSED" hidden="1">"c7437"</definedName>
    <definedName name="IQ_RES_CONST_REAL_UNUSED" hidden="1">"c6996"</definedName>
    <definedName name="IQ_RES_CONST_REAL_YOY_FC_UNUSED" hidden="1">"c8316"</definedName>
    <definedName name="IQ_RES_CONST_REAL_YOY_UNUSED" hidden="1">"c7436"</definedName>
    <definedName name="IQ_RES_CONST_SAAR_APR_FC_UNUSED" hidden="1">"c8540"</definedName>
    <definedName name="IQ_RES_CONST_SAAR_APR_UNUSED" hidden="1">"c7660"</definedName>
    <definedName name="IQ_RES_CONST_SAAR_FC_UNUSED" hidden="1">"c7880"</definedName>
    <definedName name="IQ_RES_CONST_SAAR_POP_FC_UNUSED" hidden="1">"c8100"</definedName>
    <definedName name="IQ_RES_CONST_SAAR_POP_UNUSED" hidden="1">"c7220"</definedName>
    <definedName name="IQ_RES_CONST_SAAR_UNUSED" hidden="1">"c7000"</definedName>
    <definedName name="IQ_RES_CONST_SAAR_YOY_FC_UNUSED" hidden="1">"c8320"</definedName>
    <definedName name="IQ_RES_CONST_SAAR_YOY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hidden="1">"c1419"</definedName>
    <definedName name="IQ_RESIDENTIAL_LOANS" hidden="1">"c1102"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FFIEC" hidden="1">"c12958"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SUPPLE" hidden="1">"c13809"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CATALOG" hidden="1">"c9903"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ONLINE" hidden="1">"c9904"</definedName>
    <definedName name="IQ_RETAIL_SALES_POP" hidden="1">"c7223"</definedName>
    <definedName name="IQ_RETAIL_SALES_POP_FC" hidden="1">"c8103"</definedName>
    <definedName name="IQ_RETAIL_SALES_RETAIL" hidden="1">"c9902"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AINED_EARNINGS_EQUITY_FFIEC" hidden="1">"c13348"</definedName>
    <definedName name="IQ_RETAINED_EARNINGS_FFIEC" hidden="1">"c12878"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COMMON_EQUITY" hidden="1">"c13838"</definedName>
    <definedName name="IQ_RETURN_EMBEDDED_VALUE" hidden="1">"c9974"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"c1421"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UTI" hidden="1">"c1125"</definedName>
    <definedName name="IQ_REVALUATION_GAINS_DERIVATIVE_DOM_FFIEC" hidden="1">"c12828"</definedName>
    <definedName name="IQ_REVALUATION_GAINS_DERIVATIVE_FOREIGN_FFIEC" hidden="1">"c12829"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ACT_OR_EST" hidden="1">"c2214"</definedName>
    <definedName name="IQ_REVENUE_ACT_OR_EST_CIQ" hidden="1">"c5059"</definedName>
    <definedName name="IQ_REVENUE_BEFORE_LL_FFIEC" hidden="1">"c13018"</definedName>
    <definedName name="IQ_REVENUE_EST" hidden="1">"c1126"</definedName>
    <definedName name="IQ_REVENUE_EST_BOTTOM_UP_CIQ" hidden="1">"c12025"</definedName>
    <definedName name="IQ_REVENUE_EST_CIQ" hidden="1">"c3616"</definedName>
    <definedName name="IQ_REVENUE_HIGH_EST" hidden="1">"c1127"</definedName>
    <definedName name="IQ_REVENUE_HIGH_EST_CIQ" hidden="1">"c3618"</definedName>
    <definedName name="IQ_REVENUE_LOW_EST" hidden="1">"c1128"</definedName>
    <definedName name="IQ_REVENUE_LOW_EST_CIQ" hidden="1">"c3619"</definedName>
    <definedName name="IQ_REVENUE_MEDIAN_EST" hidden="1">"c1662"</definedName>
    <definedName name="IQ_REVENUE_MEDIAN_EST_CIQ" hidden="1">"c3617"</definedName>
    <definedName name="IQ_REVENUE_NUM_EST" hidden="1">"c1129"</definedName>
    <definedName name="IQ_REVENUE_NUM_EST_CIQ" hidden="1">"c3620"</definedName>
    <definedName name="IQ_REVISION_DATE_" hidden="1">40000.3598958333</definedName>
    <definedName name="IQ_REVOLV_OPEN_SECURED_1_4_LL_REC_DOM_FFIEC" hidden="1">"c12902"</definedName>
    <definedName name="IQ_REVOLVING_HOME_EQUITY_LINES_UNUSED_FFIEC" hidden="1">"c13241"</definedName>
    <definedName name="IQ_REVOLVING_LOANS_GROSS_LOANS_FFIEC" hidden="1">"c13398"</definedName>
    <definedName name="IQ_REVOLVING_LOANS_RISK_BASED_FFIEC" hidden="1">"c13419"</definedName>
    <definedName name="IQ_REVOLVING_LOANS_SEC_1_4_DOM_CHARGE_OFFS_FFIEC" hidden="1">"c13168"</definedName>
    <definedName name="IQ_REVOLVING_LOANS_SEC_1_4_DOM_RECOV_FFIEC" hidden="1">"c13190"</definedName>
    <definedName name="IQ_REVOLVING_OPEN_END_1_4_TRADING_DOM_FFIEC" hidden="1">"c12927"</definedName>
    <definedName name="IQ_REVOLVING_SECURED_1_4_DUE_30_89_FFIEC" hidden="1">"c13260"</definedName>
    <definedName name="IQ_REVOLVING_SECURED_1_4_DUE_90_FFIEC" hidden="1">"c13288"</definedName>
    <definedName name="IQ_REVOLVING_SECURED_1_4_NON_ACCRUAL_FFIEC" hidden="1">"c13314"</definedName>
    <definedName name="IQ_RISK_ADJ_BANK_ASSETS" hidden="1">"c2670"</definedName>
    <definedName name="IQ_RISK_WEIGHTED_ASSETS_FDIC" hidden="1">"c6370"</definedName>
    <definedName name="IQ_RSI" hidden="1">"c12704"</definedName>
    <definedName name="IQ_RSI_ADJ" hidden="1">"c12705"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IES_EMPLOYEE_BENEFITS_FFIEC" hidden="1">"c13023"</definedName>
    <definedName name="IQ_SALARY" hidden="1">"c1130"</definedName>
    <definedName name="IQ_SALARY_FDIC" hidden="1">"c6576"</definedName>
    <definedName name="IQ_SALE_COMMON_GROSS_FFIEC" hidden="1">"c12963"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PREF_FFIEC" hidden="1">"c12961"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_TREASURY_FFIEC" hidden="1">"c12965"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BC_EXPENSE_FFIEC" hidden="1">"c13077"</definedName>
    <definedName name="IQ_SEC_1_4_CONSTRUCTION_DOM_CHARGE_OFFS_FFIEC" hidden="1">"c13165"</definedName>
    <definedName name="IQ_SEC_1_4_CONSTRUCTION_DOM_RECOV_FFIEC" hidden="1">"c13187"</definedName>
    <definedName name="IQ_SEC_BORROWED_OFF_BS_FFIEC" hidden="1">"c13127"</definedName>
    <definedName name="IQ_SEC_FARMLAND_DOM_CHARGE_OFFS_FFIEC" hidden="1">"c13167"</definedName>
    <definedName name="IQ_SEC_FARMLAND_DOM_RECOV_FFIEC" hidden="1">"c13189"</definedName>
    <definedName name="IQ_SEC_FUNDS_PURCHASED_ASSETS_TOT_FFIEC" hidden="1">"c13447"</definedName>
    <definedName name="IQ_SEC_ISSUED_US_AVAIL_SALE_FFIEC" hidden="1">"c12795"</definedName>
    <definedName name="IQ_SEC_ISSUED_US_TRADING_DOM_FFIEC" hidden="1">"c12920"</definedName>
    <definedName name="IQ_SEC_ISSUED_US_TRADING_FFIEC" hidden="1">"c12815"</definedName>
    <definedName name="IQ_SEC_MULTIFAM_DOM_CHARGE_OFFS_FFIEC" hidden="1">"c13171"</definedName>
    <definedName name="IQ_SEC_MULTIFAM_DOM_DUE_30_89_FFIEC" hidden="1">"c13263"</definedName>
    <definedName name="IQ_SEC_MULTIFAM_DOM_DUE_90_FFIEC" hidden="1">"c13291"</definedName>
    <definedName name="IQ_SEC_MULTIFAM_DOM_NON_ACCRUAL_FFIEC" hidden="1">"c13317"</definedName>
    <definedName name="IQ_SEC_MULTIFAM_DOM_RECOV_FFIEC" hidden="1">"c13193"</definedName>
    <definedName name="IQ_SEC_NONFARM_NONRES_CHARGE_OFFS_FFIEC" hidden="1">"c13629"</definedName>
    <definedName name="IQ_SEC_NONFARM_NONRES_DOM_OFFICES_DUE_30_89_FFIEC" hidden="1">"c13264"</definedName>
    <definedName name="IQ_SEC_NONFARM_NONRES_DOM_OFFICES_DUE_90_FFIEC" hidden="1">"c13292"</definedName>
    <definedName name="IQ_SEC_NONFARM_NONRES_DOM_OFFICES_NON_ACCRUAL_FFIEC" hidden="1">"c13318"</definedName>
    <definedName name="IQ_SEC_NONFARM_NONRES_RECOV_FFIEC" hidden="1">"c13633"</definedName>
    <definedName name="IQ_SEC_OTHER_CONSTRUCTION_DOM_CHARGE_OFFS_FFIEC" hidden="1">"c13166"</definedName>
    <definedName name="IQ_SEC_OTHER_CONSTRUCTION_DOM_RECOV_FFIEC" hidden="1">"c13188"</definedName>
    <definedName name="IQ_SEC_OTHER_NONFARM_NONRES_CHARGE_OFFS_FFIEC" hidden="1">"c13173"</definedName>
    <definedName name="IQ_SEC_OTHER_NONFARM_NONRES_DUE_30_89_FFIEC" hidden="1">"c13266"</definedName>
    <definedName name="IQ_SEC_OTHER_NONFARM_NONRES_DUE_90_FFIEC" hidden="1">"c13637"</definedName>
    <definedName name="IQ_SEC_OTHER_NONFARM_NONRES_RECOV_FFIEC" hidden="1">"c13195"</definedName>
    <definedName name="IQ_SEC_OWNER_NONFARM_NONRES_CHARGE_OFFS_FFIEC" hidden="1">"c13172"</definedName>
    <definedName name="IQ_SEC_OWNER_NONFARM_NONRES_DUE_30_89_FFIEC" hidden="1">"c13265"</definedName>
    <definedName name="IQ_SEC_OWNER_NONFARM_NONRES_DUE_90_FFIEC" hidden="1">"c13636"</definedName>
    <definedName name="IQ_SEC_OWNER_NONFARM_NONRES_RECOV_FFIEC" hidden="1">"c13194"</definedName>
    <definedName name="IQ_SEC_PURCHASED_RESELL" hidden="1">"c5513"</definedName>
    <definedName name="IQ_SEC_PURCHASED_RESELL_FFIEC" hidden="1">"c12807"</definedName>
    <definedName name="IQ_SEC_RE_FOREIGN_DUE_30_89_FFIEC" hidden="1">"c13267"</definedName>
    <definedName name="IQ_SEC_RE_FOREIGN_DUE_90_FFIEC" hidden="1">"c13293"</definedName>
    <definedName name="IQ_SEC_RE_FOREIGN_NON_ACCRUAL_FFIEC" hidden="1">"c13319"</definedName>
    <definedName name="IQ_SEC_SOLD_REPURCHASE_FFIEC" hidden="1">"c12857"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DOM_DUE_30_89_FFIEC" hidden="1">"c13259"</definedName>
    <definedName name="IQ_SECURED_FARMLAND_DOM_DUE_90_FFIEC" hidden="1">"c13287"</definedName>
    <definedName name="IQ_SECURED_FARMLAND_DOM_NON_ACCRUAL_FFIEC" hidden="1">"c13313"</definedName>
    <definedName name="IQ_SECURED_FARMLAND_LL_REC_DOM_FFIEC" hidden="1">"c12901"</definedName>
    <definedName name="IQ_SECURED_FARMLAND_NET_CHARGE_OFFS_FDIC" hidden="1">"c6631"</definedName>
    <definedName name="IQ_SECURED_FARMLAND_RECOVERIES_FDIC" hidden="1">"c6612"</definedName>
    <definedName name="IQ_SECURED_MULTI_RES_LL_REC_DOM_FFIEC" hidden="1">"c12905"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HELD_MATURITY_FFIEC" hidden="1">"c12777"</definedName>
    <definedName name="IQ_SECURITIES_ISSUED_STATES_FDIC" hidden="1">"c6300"</definedName>
    <definedName name="IQ_SECURITIES_ISSUED_US_FFIEC" hidden="1">"c12781"</definedName>
    <definedName name="IQ_SECURITIES_LENT_FDIC" hidden="1">"c6532"</definedName>
    <definedName name="IQ_SECURITIES_LENT_FFIEC" hidden="1">"c13255"</definedName>
    <definedName name="IQ_SECURITIES_QUARTERLY_AVG_FFIEC" hidden="1">"c13079"</definedName>
    <definedName name="IQ_SECURITIES_UNDERWRITING_FDIC" hidden="1">"c6529"</definedName>
    <definedName name="IQ_SECURITIES_UNDERWRITING_UNUSED_FFIEC" hidden="1">"c13247"</definedName>
    <definedName name="IQ_SECURITIZATION_INC_OPERATING_INC_FFIEC" hidden="1">"c13390"</definedName>
    <definedName name="IQ_SECURITIZATION_INCOME_FFIEC" hidden="1">"c13012"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DOL" hidden="1">"c12042"</definedName>
    <definedName name="IQ_SELECTED_FOREIGN_ASSETS_FFIEC" hidden="1">"c13485"</definedName>
    <definedName name="IQ_SEMI_BACKLOG" hidden="1">"c10005"</definedName>
    <definedName name="IQ_SEMI_BACKLOG_AVG_PRICE" hidden="1">"c10006"</definedName>
    <definedName name="IQ_SEMI_BACKLOG_VALUE" hidden="1">"c10007"</definedName>
    <definedName name="IQ_SEMI_BOOK_TO_BILL_RATIO" hidden="1">"c10008"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_ACCOUNT_ASSETS_LH_FFIEC" hidden="1">"c13105"</definedName>
    <definedName name="IQ_SEPARATE_ACCOUNT_LIAB_LH_FFIEC" hidden="1">"c13108"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DEPOSIT_ACCOUNTS_DOM_FFIEC" hidden="1">"c13003"</definedName>
    <definedName name="IQ_SERVICE_CHARGES_FDIC" hidden="1">"c6572"</definedName>
    <definedName name="IQ_SERVICE_CHARGES_OPERATING_INC_FFIEC" hidden="1">"c13384"</definedName>
    <definedName name="IQ_SERVICE_FEE" hidden="1">"c8951"</definedName>
    <definedName name="IQ_SERVICING_FEES_FFIEC" hidden="1">"c13011"</definedName>
    <definedName name="IQ_SERVICING_FEES_OPERATING_INC_FFIEC" hidden="1">"c13389"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S_PER_DR" hidden="1">"c204"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POSITIONS_FFIEC" hidden="1">"c12859"</definedName>
    <definedName name="IQ_SHORT_TERM_INVEST" hidden="1">"c1425"</definedName>
    <definedName name="IQ_SMALL_INT_BEAR_CD" hidden="1">"c11748"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URCE" hidden="1">"c1168"</definedName>
    <definedName name="IQ_SP_BANK" hidden="1">"c2637"</definedName>
    <definedName name="IQ_SP_BANK_ACTION" hidden="1">"c2636"</definedName>
    <definedName name="IQ_SP_BANK_DATE" hidden="1">"c2635"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NSR_ACTION_LT" hidden="1">"c13616"</definedName>
    <definedName name="IQ_SP_ISSUE_NSR_ACTION_ST" hidden="1">"c13622"</definedName>
    <definedName name="IQ_SP_ISSUE_NSR_DATE_LT" hidden="1">"c13615"</definedName>
    <definedName name="IQ_SP_ISSUE_NSR_DATE_ST" hidden="1">"c13621"</definedName>
    <definedName name="IQ_SP_ISSUE_NSR_LT" hidden="1">"c13614"</definedName>
    <definedName name="IQ_SP_ISSUE_NSR_ST" hidden="1">"c13620"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NSR_ACTION_LT" hidden="1">"c13613"</definedName>
    <definedName name="IQ_SP_NSR_ACTION_ST" hidden="1">"c13619"</definedName>
    <definedName name="IQ_SP_NSR_DATE_LT" hidden="1">"c13612"</definedName>
    <definedName name="IQ_SP_NSR_DATE_ST" hidden="1">"c13618"</definedName>
    <definedName name="IQ_SP_NSR_LT" hidden="1">"c13611"</definedName>
    <definedName name="IQ_SP_NSR_ST" hidden="1">"c13617"</definedName>
    <definedName name="IQ_SP_OUTLOOK_WATCH" hidden="1">"c2639"</definedName>
    <definedName name="IQ_SP_OUTLOOK_WATCH_DATE" hidden="1">"c2638"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ASSETS_TOT_FFIEC" hidden="1">"c13438"</definedName>
    <definedName name="IQ_ST_INVEST_ST_NONCORE_FUNDING_FFIEC" hidden="1">"c13338"</definedName>
    <definedName name="IQ_ST_INVEST_UTI" hidden="1">"c1198"</definedName>
    <definedName name="IQ_ST_NOTE_RECEIV" hidden="1">"c1199"</definedName>
    <definedName name="IQ_STATE" hidden="1">"c1200"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XPLORE_DRILL" hidden="1">"c13851"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TEGY_NOTE" hidden="1">"c6791"</definedName>
    <definedName name="IQ_STRIKE_PRICE_ISSUED" hidden="1">"c1645"</definedName>
    <definedName name="IQ_STRIKE_PRICE_OS" hidden="1">"c1646"</definedName>
    <definedName name="IQ_STRIPS_RECEIVABLE_MORTGAGE_LOANS_FFIEC" hidden="1">"c12844"</definedName>
    <definedName name="IQ_STRIPS_RECEIVABLE_OTHER_FFIEC" hidden="1">"c12845"</definedName>
    <definedName name="IQ_STRUCT_FIN_CLASS" hidden="1">"c8950"</definedName>
    <definedName name="IQ_STRUCT_FIN_SERIES" hidden="1">"c8956"</definedName>
    <definedName name="IQ_STRUCTURED_NOTES_INVEST_SECURITIES_FFIEC" hidden="1">"c13468"</definedName>
    <definedName name="IQ_STRUCTURING_NOTES_TIER_1_FFIEC" hidden="1">"c13344"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B_NOTES_DEBENTURES_FFIEC" hidden="1">"c12867"</definedName>
    <definedName name="IQ_SUB_NOTES_PAYABLE_UNCONSOLIDATED_TRUSTS_FFIEC" hidden="1">"c12868"</definedName>
    <definedName name="IQ_SUPPLIES_FFIEC" hidden="1">"c13050"</definedName>
    <definedName name="IQ_SURPLUS_FDIC" hidden="1">"c6351"</definedName>
    <definedName name="IQ_SURPLUS_FFIEC" hidden="1">"c12877"</definedName>
    <definedName name="IQ_SVA" hidden="1">"c1214"</definedName>
    <definedName name="IQ_TANGIBLE_ASSETS_FFIEC" hidden="1">"c13916"</definedName>
    <definedName name="IQ_TANGIBLE_COMMON_EQUITY_FFIEC" hidden="1">"c13914"</definedName>
    <definedName name="IQ_TANGIBLE_EQUITY_ASSETS_FFIEC" hidden="1">"c13346"</definedName>
    <definedName name="IQ_TANGIBLE_EQUITY_FFIEC" hidden="1">"c13915"</definedName>
    <definedName name="IQ_TANGIBLE_TIER_1_LEVERAGE_FFIEC" hidden="1">"c13345"</definedName>
    <definedName name="IQ_TARGET_PRICE_NUM" hidden="1">"c1653"</definedName>
    <definedName name="IQ_TARGET_PRICE_NUM_CIQ" hidden="1">"c4661"</definedName>
    <definedName name="IQ_TARGET_PRICE_STDDEV" hidden="1">"c1654"</definedName>
    <definedName name="IQ_TARGET_PRICE_STDDEV_CIQ" hidden="1">"c4662"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EQUIVALENT_ADJUSTMENTS_FFIEC" hidden="1">"c13854"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AXES_ADJ_NOI_FFIEC" hidden="1">"c13395"</definedName>
    <definedName name="IQ_TAXES_NOI_FFIEC" hidden="1">"c13394"</definedName>
    <definedName name="IQ_TAXES_TE_AVG_ASSETS_FFIEC" hidden="1">"c13366"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EXCL_FFIEC" hidden="1">"c13516"</definedName>
    <definedName name="IQ_TBV_SHARE" hidden="1">"c1217"</definedName>
    <definedName name="IQ_TELECOM_FFIEC" hidden="1">"c13057"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CIQ" hidden="1">"c4043"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CAPITAL_BEFORE_CHARGES_T1_FFIEC" hidden="1">"c13139"</definedName>
    <definedName name="IQ_TIER_1_CAPITAL_FFIEC" hidden="1">"c13143"</definedName>
    <definedName name="IQ_TIER_1_LEVERAGE_RATIO_FFIEC" hidden="1">"c13160"</definedName>
    <definedName name="IQ_TIER_1_RISK_BASED_CAPITAL_RATIO_FDIC" hidden="1">"c6746"</definedName>
    <definedName name="IQ_TIER_1_RISK_BASED_CAPITAL_RATIO_FFIEC" hidden="1">"c13161"</definedName>
    <definedName name="IQ_TIER_2_CAPITAL_FFIEC" hidden="1">"c13149"</definedName>
    <definedName name="IQ_TIER_3_CAPITAL_ALLOCATED_MARKET_RISK_FFIEC" hidden="1">"c13151"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100K_OTHER_INSTITUTIONS_FFIEC" hidden="1">"c12953"</definedName>
    <definedName name="IQ_TIME_DEPOSITS_LESS_100K_TOT_DEPOSITS_FFIEC" hidden="1">"c13907"</definedName>
    <definedName name="IQ_TIME_DEPOSITS_LESS_THAN_100K_FDIC" hidden="1">"c6465"</definedName>
    <definedName name="IQ_TIME_DEPOSITS_MORE_100K_OTHER_INSTITUTIONS_FFIEC" hidden="1">"c12954"</definedName>
    <definedName name="IQ_TIME_DEPOSITS_MORE_100K_TOT_DEPOSITS_FFIEC" hidden="1">"c13906"</definedName>
    <definedName name="IQ_TIME_DEPOSITS_MORE_THAN_100K_FDIC" hidden="1">"c6470"</definedName>
    <definedName name="IQ_TODAY" hidden="1">0</definedName>
    <definedName name="IQ_TOT_1_4_FAM_LOANS_TOT_LOANS_FFIEC" hidden="1">"c13868"</definedName>
    <definedName name="IQ_TOT_ADJ_INC" hidden="1">"c1616"</definedName>
    <definedName name="IQ_TOT_LEASES_TOT_LOANS_FFIEC" hidden="1">"c13876"</definedName>
    <definedName name="IQ_TOT_NON_RE_LOANS_TOT_LOANS_FFIEC" hidden="1">"c13877"</definedName>
    <definedName name="IQ_TOT_NONTRANS_ACCTS_TOT_DEPOSITS_FFIEC" hidden="1">"c13909"</definedName>
    <definedName name="IQ_TOT_RE_LOANS_TOT_LOANS_FFIEC" hidden="1">"c13873"</definedName>
    <definedName name="IQ_TOT_TIME_DEPOSITS_TOT_DEPOSITS_FFIEC" hidden="1">"c13908"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BNK_SUBTOTAL_AP" hidden="1">"c13644"</definedName>
    <definedName name="IQ_TOTAL_ASSETS_FDIC" hidden="1">"c6339"</definedName>
    <definedName name="IQ_TOTAL_ASSETS_FFIEC" hidden="1">"c12849"</definedName>
    <definedName name="IQ_TOTAL_ASSETS_LH_FFIEC" hidden="1">"c13106"</definedName>
    <definedName name="IQ_TOTAL_ASSETS_PC_FFIEC" hidden="1">"c13099"</definedName>
    <definedName name="IQ_TOTAL_ASSETS_SUBTOTAL_AP" hidden="1">"c8985"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EQUITY" hidden="1">"c1246"</definedName>
    <definedName name="IQ_TOTAL_COMMON_EQUITY_FFIEC" hidden="1">"c13913"</definedName>
    <definedName name="IQ_TOTAL_COMMON_EQUITY_TOTAL_ASSETS_FFIEC" hidden="1">"c13864"</definedName>
    <definedName name="IQ_TOTAL_COMMON_SHARES_OUT_FFIEC" hidden="1">"c12955"</definedName>
    <definedName name="IQ_TOTAL_CONSTRUCTION_LL_REC_DOM_FFIEC" hidden="1">"c13515"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NON_CURRENT" hidden="1">"c6191"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EPOSITS_FFIEC" hidden="1">"c13623"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CAPITAL_T1_FFIEC" hidden="1">"c13130"</definedName>
    <definedName name="IQ_TOTAL_EQUITY_FFIEC" hidden="1">"c12881"</definedName>
    <definedName name="IQ_TOTAL_EQUITY_LH_FFIEC" hidden="1">"c13109"</definedName>
    <definedName name="IQ_TOTAL_EQUITY_PC_FFIEC" hidden="1">"c13102"</definedName>
    <definedName name="IQ_TOTAL_EQUITY_SUBTOTAL_AP" hidden="1">"c8989"</definedName>
    <definedName name="IQ_TOTAL_EQUITY_TOTAL_ASSETS_FFIEC" hidden="1">"c13863"</definedName>
    <definedName name="IQ_TOTAL_INT_EXPENSE_FFIEC" hidden="1">"c13000"</definedName>
    <definedName name="IQ_TOTAL_INT_INCOME_FFIEC" hidden="1">"c12989"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EQUITY_FFIEC" hidden="1">"c12882"</definedName>
    <definedName name="IQ_TOTAL_LIABILITIES_FDIC" hidden="1">"c6348"</definedName>
    <definedName name="IQ_TOTAL_LIABILITIES_FFIEC" hidden="1">"c12873"</definedName>
    <definedName name="IQ_TOTAL_LL_REC_DOM_FFIEC" hidden="1">"c12917"</definedName>
    <definedName name="IQ_TOTAL_LL_REC_FFIEC" hidden="1">"c12898"</definedName>
    <definedName name="IQ_TOTAL_LOANS" hidden="1">"c5653"</definedName>
    <definedName name="IQ_TOTAL_LOANS_LEASES_CHARGE_OFFS_FFIEC" hidden="1">"c13186"</definedName>
    <definedName name="IQ_TOTAL_LOANS_LEASES_DUE_30_89_FFIEC" hidden="1">"c13280"</definedName>
    <definedName name="IQ_TOTAL_LOANS_LEASES_DUE_90_FFIEC" hidden="1">"c13306"</definedName>
    <definedName name="IQ_TOTAL_LOANS_LEASES_NON_ACCRUAL_FFIEC" hidden="1">"c13757"</definedName>
    <definedName name="IQ_TOTAL_LOANS_LEASES_RECOV_FFIEC" hidden="1">"c13208"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TURN_SWAPS_DERIVATIVES_BENEFICIARY_FFIEC" hidden="1">"c13120"</definedName>
    <definedName name="IQ_TOTAL_RETURN_SWAPS_DERIVATIVES_GUARANTOR_FFIEC" hidden="1">"c13113"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EVENUE_FFIEC" hidden="1">"c13020"</definedName>
    <definedName name="IQ_TOTAL_RISK_BASED_CAPITAL_FFIEC" hidden="1">"c13153"</definedName>
    <definedName name="IQ_TOTAL_RISK_BASED_CAPITAL_RATIO_FDIC" hidden="1">"c6747"</definedName>
    <definedName name="IQ_TOTAL_RISK_BASED_CAPITAL_RATIO_FFIEC" hidden="1">"c13162"</definedName>
    <definedName name="IQ_TOTAL_RISK_WEIGHTED_ASSETS_FFIEC" hidden="1">"c13858"</definedName>
    <definedName name="IQ_TOTAL_ROOMS" hidden="1">"c8789"</definedName>
    <definedName name="IQ_TOTAL_SECURITIES_FDIC" hidden="1">"c6306"</definedName>
    <definedName name="IQ_TOTAL_SPECIAL" hidden="1">"c1618"</definedName>
    <definedName name="IQ_TOTAL_SQ_FT" hidden="1">"c8781"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TRADING_ASSETS_FFIEC" hidden="1">"c12939"</definedName>
    <definedName name="IQ_TOTAL_TRADING_LIAB_DOM_FFIEC" hidden="1">"c12944"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SUPPLE" hidden="1">"c13817"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_TERM_FEE" hidden="1">"c13638"</definedName>
    <definedName name="IQ_TR_BUY_TERM_FEE_PCT" hidden="1">"c13639"</definedName>
    <definedName name="IQ_TR_BUYBACK_TO_CLOSE" hidden="1">"c13919"</definedName>
    <definedName name="IQ_TR_BUYBACK_TO_HIGH" hidden="1">"c13917"</definedName>
    <definedName name="IQ_TR_BUYBACK_TO_LOW" hidden="1">"c13918"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PPROACH" hidden="1">"c12706"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GISTRATION_FEES" hidden="1">"c2274"</definedName>
    <definedName name="IQ_TR_RENEWAL_BUYBACK" hidden="1">"c2413"</definedName>
    <definedName name="IQ_TR_ROUND_NUMBER" hidden="1">"c2295"</definedName>
    <definedName name="IQ_TR_SEC_FEES" hidden="1">"c13642"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_TERM_FEE" hidden="1">"c2298"</definedName>
    <definedName name="IQ_TR_SELL_TERM_FEE_PCT" hidden="1">"c2297"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"c13640"</definedName>
    <definedName name="IQ_TR_TERM_FEE_PCT" hidden="1">"c13641"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AIR_VALUE_TOT_FFIEC" hidden="1">"c13210"</definedName>
    <definedName name="IQ_TRADING_ASSETS_FDIC" hidden="1">"c6328"</definedName>
    <definedName name="IQ_TRADING_ASSETS_FFIEC" hidden="1">"c12812"</definedName>
    <definedName name="IQ_TRADING_ASSETS_FOREIGN_FFIEC" hidden="1">"c12940"</definedName>
    <definedName name="IQ_TRADING_ASSETS_LEVEL_1_FFIEC" hidden="1">"c13218"</definedName>
    <definedName name="IQ_TRADING_ASSETS_LEVEL_2_FFIEC" hidden="1">"c13226"</definedName>
    <definedName name="IQ_TRADING_ASSETS_LEVEL_3_FFIEC" hidden="1">"c13234"</definedName>
    <definedName name="IQ_TRADING_ASSETS_QUARTERLY_AVG_FFIEC" hidden="1">"c13085"</definedName>
    <definedName name="IQ_TRADING_CURRENCY" hidden="1">"c2212"</definedName>
    <definedName name="IQ_TRADING_ITEM_CIQID" hidden="1">"c8949"</definedName>
    <definedName name="IQ_TRADING_LIABILITIES_FAIR_VALUE_TOT_FFIEC" hidden="1">"c13214"</definedName>
    <definedName name="IQ_TRADING_LIABILITIES_FDIC" hidden="1">"c6344"</definedName>
    <definedName name="IQ_TRADING_LIABILITIES_FFIEC" hidden="1">"c12858"</definedName>
    <definedName name="IQ_TRADING_LIABILITIES_LEVEL_1_FFIEC" hidden="1">"c13222"</definedName>
    <definedName name="IQ_TRADING_LIABILITIES_LEVEL_2_FFIEC" hidden="1">"c13230"</definedName>
    <definedName name="IQ_TRADING_LIABILITIES_LEVEL_3_FFIEC" hidden="1">"c13238"</definedName>
    <definedName name="IQ_TRADING_REV_OPERATING_INC_FFIEC" hidden="1">"c13385"</definedName>
    <definedName name="IQ_TRADING_REVENUE_FFIEC" hidden="1">"c13004"</definedName>
    <definedName name="IQ_TRANS_ACCTS_TOT_DEPOSITS_FFIEC" hidden="1">"c13904"</definedName>
    <definedName name="IQ_TRANSACTION_ACCOUNTS_FDIC" hidden="1">"c6544"</definedName>
    <definedName name="IQ_TREASURY" hidden="1">"c1311"</definedName>
    <definedName name="IQ_TREASURY_INVEST_SECURITIES_FFIEC" hidden="1">"c13457"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CONSOL_BEDS" hidden="1">"c8783"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ARNED_INCOME_LL_REC_DOM_FFIEC" hidden="1">"c12916"</definedName>
    <definedName name="IQ_UNEARNED_INCOME_LL_REC_FFIEC" hidden="1">"c12897"</definedName>
    <definedName name="IQ_UNEARNED_PREMIUMS_PC_FFIEC" hidden="1">"c13101"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COMMITMENTS_COMMERCIAL_RE_UNUSED_FFIEC" hidden="1">"c13246"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ADDRESS_LEASE_FIN_REC_FFIEC" hidden="1">"c13624"</definedName>
    <definedName name="IQ_US_AGENCY_OBLIG_FFIEC" hidden="1">"c12779"</definedName>
    <definedName name="IQ_US_AGENCY_OBLIG_TRADING_DOM_FFIEC" hidden="1">"c12919"</definedName>
    <definedName name="IQ_US_AGENCY_OBLIG_TRADING_FFIEC" hidden="1">"c12814"</definedName>
    <definedName name="IQ_US_AGENCY_OBLIGATIONS_AVAIL_SALE_FFIEC" hidden="1">"c12793"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INST_DUE_30_89_FFIEC" hidden="1">"c13268"</definedName>
    <definedName name="IQ_US_INST_DUE_90_FFIEC" hidden="1">"c13294"</definedName>
    <definedName name="IQ_US_INST_NON_ACCRUAL_FFIEC" hidden="1">"c13320"</definedName>
    <definedName name="IQ_US_SPONSORED_AGENCY_OBLIG_AVAIL_SALE_FFIEC" hidden="1">"c12794"</definedName>
    <definedName name="IQ_US_SPONSORED_AGENCY_OBLIG_FFIEC" hidden="1">"c12780"</definedName>
    <definedName name="IQ_US_TREASURY_SEC_AVAIL_SALE_FFIEC" hidden="1">"c12792"</definedName>
    <definedName name="IQ_US_TREASURY_SEC_TRADING_DOM_FFIEC" hidden="1">"c12918"</definedName>
    <definedName name="IQ_US_TREASURY_SEC_TRADING_FFIEC" hidden="1">"c12813"</definedName>
    <definedName name="IQ_US_TREASURY_SECURITIES_FDIC" hidden="1">"c6298"</definedName>
    <definedName name="IQ_US_TREASURY_SECURITIES_FFIEC" hidden="1">"c12778"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ARIABLE_RATE_PREFERREDS_INT_SENSITIVITY_FFIEC" hidden="1">"c13096"</definedName>
    <definedName name="IQ_VC_REV_OPERATING_INC_FFIEC" hidden="1">"c13388"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ENTURE_CAPITAL_REVENUE_FFIEC" hidden="1">"c13010"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VWAP" hidden="1">"c13514"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PR" hidden="1">"c7688"</definedName>
    <definedName name="IQ_WHOLESALE_SALES_APR_FC" hidden="1">"c8568"</definedName>
    <definedName name="IQ_WHOLESALE_SALES_FC" hidden="1">"c7908"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POP" hidden="1">"c7248"</definedName>
    <definedName name="IQ_WHOLESALE_SALES_POP_FC" hidden="1">"c8128"</definedName>
    <definedName name="IQ_WHOLESALE_SALES_YOY" hidden="1">"c7468"</definedName>
    <definedName name="IQ_WHOLESALE_SALES_YOY_FC" hidden="1">"c8348"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"c2104"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IELD_FED_FUNDS_SOLD_FFIEC" hidden="1">"c13487"</definedName>
    <definedName name="IQ_YIELD_TRADING_ASSETS_FFIEC" hidden="1">"c13488"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R___WACC">#REF!</definedName>
    <definedName name="issued_shares">#REF!</definedName>
    <definedName name="IsValidDate">#REF!</definedName>
    <definedName name="IsValidNum">#REF!</definedName>
    <definedName name="IsValidRepType">#REF!</definedName>
    <definedName name="IsValidStr">#REF!</definedName>
    <definedName name="IsYesNo">#REF!</definedName>
    <definedName name="Iter_10">#REF!</definedName>
    <definedName name="Iter_11">#REF!</definedName>
    <definedName name="Iter_12">#REF!</definedName>
    <definedName name="Iter_13">#REF!</definedName>
    <definedName name="Iter_14">#REF!</definedName>
    <definedName name="Iter_15">#REF!</definedName>
    <definedName name="Iter_16">#REF!</definedName>
    <definedName name="Iter_17">#REF!</definedName>
    <definedName name="Iter_2">#REF!</definedName>
    <definedName name="Iter_3">#REF!</definedName>
    <definedName name="Iter_4">#REF!</definedName>
    <definedName name="Iter_5">#REF!</definedName>
    <definedName name="Iter_6">#REF!</definedName>
    <definedName name="Iter_7">#REF!</definedName>
    <definedName name="Iter_8">#REF!</definedName>
    <definedName name="Iter_9">#REF!</definedName>
    <definedName name="J_2003">#REF!</definedName>
    <definedName name="J_2004">#REF!</definedName>
    <definedName name="J_2004H1">#REF!</definedName>
    <definedName name="J_2004H2">#REF!</definedName>
    <definedName name="J_2005">#REF!</definedName>
    <definedName name="J_2005H1">#REF!</definedName>
    <definedName name="J_2005H2">#REF!</definedName>
    <definedName name="J_2006">#REF!</definedName>
    <definedName name="J_2006H1">#REF!</definedName>
    <definedName name="J_2006H2">#REF!</definedName>
    <definedName name="J_2007">#REF!</definedName>
    <definedName name="J_2007H1">#REF!</definedName>
    <definedName name="J_2007H2">#REF!</definedName>
    <definedName name="J_2008">#REF!</definedName>
    <definedName name="J_2008H1">#REF!</definedName>
    <definedName name="J_2008H2">#REF!</definedName>
    <definedName name="J_2009">#REF!</definedName>
    <definedName name="J_2009H1">#REF!</definedName>
    <definedName name="J_2009H2">#REF!</definedName>
    <definedName name="J_2010">#REF!</definedName>
    <definedName name="J_2010H1">#REF!</definedName>
    <definedName name="J_2010H2">#REF!</definedName>
    <definedName name="J_2011">#REF!</definedName>
    <definedName name="J_2011H1">#REF!</definedName>
    <definedName name="J_2011H2">#REF!</definedName>
    <definedName name="J_2012">#REF!</definedName>
    <definedName name="J_2012H1">#REF!</definedName>
    <definedName name="J_2012H2">#REF!</definedName>
    <definedName name="J_2013">#REF!</definedName>
    <definedName name="J_2013H1">#REF!</definedName>
    <definedName name="J_2014">#REF!</definedName>
    <definedName name="J_2014H1">#REF!</definedName>
    <definedName name="J_2015">#REF!</definedName>
    <definedName name="J_2015H1">#REF!</definedName>
    <definedName name="J_2016">#REF!</definedName>
    <definedName name="J_2017">#REF!</definedName>
    <definedName name="J_2018">#REF!</definedName>
    <definedName name="J_2019">#REF!</definedName>
    <definedName name="J_2020">#REF!</definedName>
    <definedName name="J_2021">#REF!</definedName>
    <definedName name="J_2022">#REF!</definedName>
    <definedName name="J_2023">#REF!</definedName>
    <definedName name="J_2024">#REF!</definedName>
    <definedName name="J_2025">#REF!</definedName>
    <definedName name="J_Interest_Cover">#REF!</definedName>
    <definedName name="J_ROFE">#REF!</definedName>
    <definedName name="J_SalesGrowth">#REF!</definedName>
    <definedName name="J_Total_Sales">#REF!</definedName>
    <definedName name="JacquiE_EBITA">#REF!</definedName>
    <definedName name="JacquiE_Sales">#REF!</definedName>
    <definedName name="JacquiE_Stores" localSheetId="5">#REF!</definedName>
    <definedName name="JacquiE_Stores">#REF!</definedName>
    <definedName name="JJays_EBITA">#REF!</definedName>
    <definedName name="JJays_Sales">#REF!</definedName>
    <definedName name="JJays_Stores" localSheetId="5">#REF!</definedName>
    <definedName name="JJays_Stores">#REF!</definedName>
    <definedName name="JJeans_EBITA">#REF!</definedName>
    <definedName name="JJeans_Sales">#REF!</definedName>
    <definedName name="JJeans_Stores" localSheetId="5">#REF!</definedName>
    <definedName name="JJeans_Stores">#REF!</definedName>
    <definedName name="Just_EBIT">#REF!</definedName>
    <definedName name="Just_EBIT_Growth">#REF!</definedName>
    <definedName name="Just_EBIT_MArgin">#REF!</definedName>
    <definedName name="Just_EBITA">#REF!</definedName>
    <definedName name="Just_EBITDA">#REF!</definedName>
    <definedName name="Just_Goodwill">#REF!</definedName>
    <definedName name="Just_Intangibles">#REF!</definedName>
    <definedName name="Just_Other_EBITA">#REF!</definedName>
    <definedName name="JustKorJV_Sales">#REF!</definedName>
    <definedName name="JustKorSales">#REF!</definedName>
    <definedName name="L_ALL_ALU.AX">#REF!</definedName>
    <definedName name="L_ALL_APT.AX">#REF!</definedName>
    <definedName name="L_ALL_AX1.AX">#REF!</definedName>
    <definedName name="L_ALL_CCX.AX">#REF!</definedName>
    <definedName name="L_ALL_KEYWORDS_TYPE_ScalarContributed_EQTY_200004992">#REF!,#REF!,#REF!,#REF!,#REF!,#REF!,#REF!,#REF!,#REF!,#REF!</definedName>
    <definedName name="L_ALL_KEYWORDS_TYPE_ScalarContributed_EQTY_200014045">#REF!,#REF!,#REF!,#REF!,#REF!,#REF!,#REF!,#REF!</definedName>
    <definedName name="L_ALL_KEYWORDS_TYPE_ScalarContributed_EQTY_200014091">#REF!,#REF!,#REF!,#REF!,#REF!,#REF!,#REF!,#REF!</definedName>
    <definedName name="L_ALL_KEYWORDS_TYPE_ScalarContributed_EQTY_200014125" localSheetId="5">#REF!,#REF!,#REF!,#REF!,#REF!,#REF!,#REF!</definedName>
    <definedName name="L_ALL_KEYWORDS_TYPE_ScalarContributed_EQTY_200014125">#REF!,#REF!,#REF!,#REF!,#REF!,#REF!,#REF!</definedName>
    <definedName name="L_ALL_KEYWORDS_TYPE_ScalarContributed_EQTY_200014619">#REF!,#REF!,#REF!,#REF!,#REF!,#REF!,#REF!,#REF!</definedName>
    <definedName name="L_ALL_KEYWORDS_TYPE_ScalarContributed_EQTY_200017878">#REF!,#REF!,#REF!,#REF!,#REF!,#REF!,#REF!</definedName>
    <definedName name="L_ALL_KEYWORDS_TYPE_ScalarContributed_EQTY_200018702">#REF!,#REF!,#REF!,#REF!,#REF!,#REF!,#REF!</definedName>
    <definedName name="L_ALL_KEYWORDS_TYPE_ScalarContributed_EQTY_200019441">#REF!,#REF!,#REF!,#REF!,#REF!,#REF!,#REF!</definedName>
    <definedName name="L_ALL_KEYWORDS_TYPE_ScalarContributed_ISSR_208005563">#REF!,#REF!</definedName>
    <definedName name="L_ALL_KEYWORDS_TYPE_ScalarContributed_ISSR_208010774" localSheetId="5">#REF!,#REF!,#REF!</definedName>
    <definedName name="L_ALL_KEYWORDS_TYPE_ScalarContributed_ISSR_208010774">#REF!,#REF!,#REF!</definedName>
    <definedName name="L_ALL_KEYWORDS_TYPE_ScalarContributed_ISSR_208010809" localSheetId="19">#REF!,#REF!,#REF!</definedName>
    <definedName name="L_ALL_KEYWORDS_TYPE_ScalarContributed_ISSR_208010809">#REF!,#REF!,#REF!</definedName>
    <definedName name="L_ALL_KEYWORDS_TYPE_ScalarContributed_ISSR_208011369">#REF!,#REF!,#REF!</definedName>
    <definedName name="L_ALL_KEYWORDS_TYPE_ScalarContributed_ISSR_208015541">#REF!,#REF!</definedName>
    <definedName name="L_ALL_KEYWORDS_TYPE_ScalarContributed_ISSR_208015712">#REF!,#REF!,#REF!</definedName>
    <definedName name="L_ALL_KEYWORDS_TYPE_ScalarContributed_ISSR_208017888">#REF!,#REF!,#REF!</definedName>
    <definedName name="L_ALL_KEYWORDS_TYPE_ScalarReference_EQTY_200014091">#REF!</definedName>
    <definedName name="L_ALL_KEYWORDS_TYPE_ScalarReference_ISSR_208010809">#REF!</definedName>
    <definedName name="L_ALL_KEYWORDS_TYPE_Vector_EQTY_200004992">#REF!,#REF!,#REF!,#REF!,#REF!,#REF!,#REF!,#REF!,#REF!,#REF!,#REF!,#REF!,#REF!</definedName>
    <definedName name="L_ALL_KEYWORDS_TYPE_Vector_EQTY_200005072">#REF!,#REF!,#REF!,#REF!,#REF!,#REF!,#REF!,#REF!,#REF!,#REF!,#REF!,#REF!,#REF!,#REF!,#REF!,#REF!,#REF!,#REF!,#REF!,#REF!</definedName>
    <definedName name="L_ALL_KEYWORDS_TYPE_Vector_EQTY_200014021" localSheetId="5">#REF!,#REF!,#REF!,#REF!,#REF!,#REF!,#REF!,#REF!,#REF!,#REF!,#REF!,#REF!,#REF!</definedName>
    <definedName name="L_ALL_KEYWORDS_TYPE_Vector_EQTY_200014021">#REF!,#REF!,#REF!,#REF!,#REF!,#REF!,#REF!,#REF!,#REF!,#REF!,#REF!,#REF!,#REF!</definedName>
    <definedName name="L_ALL_KEYWORDS_TYPE_Vector_EQTY_200014091" localSheetId="19">#REF!,#REF!,#REF!,#REF!,#REF!,#REF!,#REF!,#REF!,#REF!,#REF!,#REF!,#REF!,#REF!</definedName>
    <definedName name="L_ALL_KEYWORDS_TYPE_Vector_EQTY_200014091">#REF!,#REF!,#REF!,#REF!,#REF!,#REF!,#REF!,#REF!,#REF!,#REF!,#REF!,#REF!,#REF!</definedName>
    <definedName name="L_ALL_KEYWORDS_TYPE_Vector_EQTY_200014125" localSheetId="5">#REF!,#REF!,#REF!,#REF!,#REF!,#REF!,#REF!,#REF!,#REF!,#REF!,#REF!,#REF!,#REF!</definedName>
    <definedName name="L_ALL_KEYWORDS_TYPE_Vector_EQTY_200014125">#REF!,#REF!,#REF!,#REF!,#REF!,#REF!,#REF!,#REF!,#REF!,#REF!,#REF!,#REF!,#REF!</definedName>
    <definedName name="L_ALL_KEYWORDS_TYPE_Vector_EQTY_200014619">#REF!,#REF!,#REF!,#REF!,#REF!,#REF!,#REF!,#REF!,#REF!,#REF!,#REF!,#REF!,#REF!</definedName>
    <definedName name="L_ALL_KEYWORDS_TYPE_Vector_EQTY_200017878">#REF!,#REF!,#REF!,#REF!,#REF!,#REF!,#REF!,#REF!,#REF!,#REF!,#REF!,#REF!,#REF!</definedName>
    <definedName name="L_ALL_KEYWORDS_TYPE_Vector_EQTY_200018018">#REF!,#REF!,#REF!,#REF!,#REF!,#REF!,#REF!,#REF!,#REF!,#REF!,#REF!,#REF!,#REF!</definedName>
    <definedName name="L_ALL_KEYWORDS_TYPE_Vector_EQTY_200018702">#REF!,#REF!,#REF!,#REF!,#REF!,#REF!,#REF!,#REF!,#REF!,#REF!,#REF!,#REF!,#REF!</definedName>
    <definedName name="L_ALL_KEYWORDS_TYPE_Vector_EQTY_200019441">#REF!,#REF!,#REF!,#REF!,#REF!,#REF!,#REF!,#REF!,#REF!,#REF!,#REF!,#REF!,#REF!</definedName>
    <definedName name="L_ALL_KEYWORDS_TYPE_Vector_ISSR_208005522">#REF!,#REF!,#REF!,#REF!,#REF!,#REF!,#REF!,#REF!,#REF!,#REF!,#REF!,#REF!,#REF!,#REF!,#REF!,#REF!,#REF!,#REF!,#REF!,#REF!,#REF!,#REF!,#REF!,#REF!,#REF!</definedName>
    <definedName name="L_ALL_KEYWORDS_TYPE_Vector_ISSR_208005563">#REF!,#REF!,#REF!,#REF!,#REF!,#REF!,#REF!,#REF!,#REF!,#REF!,#REF!,#REF!,#REF!,#REF!,#REF!,#REF!,#REF!,#REF!,#REF!,#REF!,#REF!,#REF!,#REF!,#REF!,#REF!,#REF!,#REF!,#REF!,#REF!,#REF!,#REF!,#REF!,#REF!,#REF!</definedName>
    <definedName name="L_ALL_KEYWORDS_TYPE_Vector_ISSR_208010774" localSheetId="5">#REF!,#REF!,#REF!,#REF!,#REF!,#REF!,#REF!,#REF!,#REF!,#REF!,#REF!,#REF!,#REF!,#REF!,#REF!,#REF!,#REF!,#REF!,#REF!</definedName>
    <definedName name="L_ALL_KEYWORDS_TYPE_Vector_ISSR_208010774">#REF!,#REF!,#REF!,#REF!,#REF!,#REF!,#REF!,#REF!,#REF!,#REF!,#REF!,#REF!,#REF!,#REF!,#REF!,#REF!,#REF!,#REF!,#REF!</definedName>
    <definedName name="L_ALL_KEYWORDS_TYPE_Vector_ISSR_208010826" localSheetId="5">#REF!,#REF!,#REF!,#REF!,#REF!,#REF!,#REF!,#REF!,#REF!,#REF!,#REF!,#REF!,#REF!,#REF!,#REF!,#REF!,#REF!,#REF!,#REF!,#REF!,#REF!,#REF!,#REF!,#REF!</definedName>
    <definedName name="L_ALL_KEYWORDS_TYPE_Vector_ISSR_208010826">#REF!,#REF!,#REF!,#REF!,#REF!,#REF!,#REF!,#REF!,#REF!,#REF!,#REF!,#REF!,#REF!,#REF!,#REF!,#REF!,#REF!,#REF!,#REF!,#REF!,#REF!,#REF!,#REF!,#REF!</definedName>
    <definedName name="L_ALL_KEYWORDS_TYPE_Vector_ISSR_208011369">#REF!,#REF!,#REF!,#REF!,#REF!,#REF!,#REF!,#REF!,#REF!,#REF!,#REF!,#REF!,#REF!,#REF!,#REF!,#REF!,#REF!,#REF!,#REF!</definedName>
    <definedName name="L_ALL_KEYWORDS_TYPE_Vector_ISSR_208013265">#REF!,#REF!,#REF!,#REF!,#REF!,#REF!,#REF!,#REF!,#REF!,#REF!,#REF!,#REF!,#REF!,#REF!,#REF!,#REF!,#REF!,#REF!,#REF!,#REF!,#REF!,#REF!,#REF!,#REF!,#REF!,#REF!,#REF!,#REF!,#REF!,#REF!,#REF!,#REF!,#REF!,#REF!,#REF!,#REF!,#REF!</definedName>
    <definedName name="L_ALL_KEYWORDS_TYPE_Vector_ISSR_208015541">#REF!,#REF!,#REF!,#REF!,#REF!,#REF!,#REF!,#REF!,#REF!,#REF!,#REF!,#REF!,#REF!,#REF!,#REF!,#REF!,#REF!,#REF!,#REF!,#REF!,#REF!</definedName>
    <definedName name="L_ALL_KEYWORDS_TYPE_Vector_ISSR_208015712">#REF!,#REF!,#REF!,#REF!,#REF!,#REF!,#REF!,#REF!,#REF!,#REF!,#REF!,#REF!,#REF!,#REF!,#REF!,#REF!,#REF!,#REF!</definedName>
    <definedName name="L_ALL_KEYWORDS_TYPE_Vector_ISSR_208016534">#REF!,#REF!,#REF!,#REF!,#REF!,#REF!,#REF!,#REF!,#REF!,#REF!,#REF!,#REF!,#REF!,#REF!,#REF!,#REF!,#REF!,#REF!,#REF!,#REF!,#REF!,#REF!,#REF!,#REF!,#REF!,#REF!,#REF!,#REF!,#REF!</definedName>
    <definedName name="L_ALL_KEYWORDS_TYPE_Vector_ISSR_208017888">#REF!,#REF!,#REF!,#REF!,#REF!,#REF!,#REF!,#REF!,#REF!,#REF!,#REF!,#REF!,#REF!,#REF!,#REF!,#REF!,#REF!,#REF!,#REF!</definedName>
    <definedName name="L_ALL_KEYWORDS_TYPE_Vector_ISSR_208019050">#REF!,#REF!,#REF!,#REF!,#REF!,#REF!,#REF!,#REF!,#REF!,#REF!,#REF!,#REF!,#REF!,#REF!,#REF!,#REF!,#REF!</definedName>
    <definedName name="L_ALL_KEYWORDS_TYPE_Vector_ISSR_208019950">#REF!,#REF!,#REF!,#REF!,#REF!,#REF!,#REF!,#REF!,#REF!,#REF!,#REF!,#REF!,#REF!,#REF!,#REF!,#REF!,#REF!,#REF!</definedName>
    <definedName name="L_ALL_LOV.AX">#REF!</definedName>
    <definedName name="L_ALL_NEA.AX">#REF!</definedName>
    <definedName name="L_ALL_NWL.AX">#REF!</definedName>
    <definedName name="L_ALL_NXT.AX">#REF!</definedName>
    <definedName name="L_ALL_PEP.AX">#REF!</definedName>
    <definedName name="L_ALL_PMV.AX" localSheetId="5">#REF!</definedName>
    <definedName name="L_ALL_PMV.AX">#REF!</definedName>
    <definedName name="L_ALL_SECTION_KEYWORDS_EQTY_200014091_1314">#REF!</definedName>
    <definedName name="L_ALL_SECTION_KEYWORDS_EQTY_200014091_1316A">#REF!</definedName>
    <definedName name="L_ALL_SECTION_KEYWORDS_EQTY_200014091_1316B">#REF!</definedName>
    <definedName name="L_ALL_SECTION_KEYWORDS_EQTY_200014091_1316C">#REF!</definedName>
    <definedName name="L_ALL_SECTION_KEYWORDS_EQTY_200014091_1316D">#REF!</definedName>
    <definedName name="L_ALL_SECTION_KEYWORDS_EQTY_200014091_1316E">#REF!</definedName>
    <definedName name="L_ALL_SECTION_KEYWORDS_EQTY_200014091_131E">#REF!</definedName>
    <definedName name="L_ALL_SECTION_KEYWORDS_EQTY_200014091_131O">#REF!</definedName>
    <definedName name="L_ALL_SECTION_KEYWORDS_EQTY_200014091_13A">#REF!</definedName>
    <definedName name="L_ALL_SECTION_KEYWORDS_EQTY_200014091_13K">#REF!</definedName>
    <definedName name="L_ALL_SECTION_KEYWORDS_EQTY_200014091_13U">#REF!</definedName>
    <definedName name="L_ALL_SECTION_KEYWORDS_EQTY_200014091_13V">#REF!</definedName>
    <definedName name="L_ALL_SECTION_KEYWORDS_EQTY_200014091_Reference_Data">#REF!</definedName>
    <definedName name="L_ALL_SECTION_KEYWORDS_ISSR_208005563_136E">#REF!,#REF!</definedName>
    <definedName name="L_ALL_SECTION_KEYWORDS_ISSR_208005563_13T">#REF!,#REF!</definedName>
    <definedName name="L_ALL_SECTION_KEYWORDS_ISSR_208010774_13V" localSheetId="5">#REF!,#REF!</definedName>
    <definedName name="L_ALL_SECTION_KEYWORDS_ISSR_208010774_13V">#REF!,#REF!</definedName>
    <definedName name="L_ALL_SECTION_KEYWORDS_ISSR_208010809_1314">#REF!</definedName>
    <definedName name="L_ALL_SECTION_KEYWORDS_ISSR_208010809_13168">#REF!</definedName>
    <definedName name="L_ALL_SECTION_KEYWORDS_ISSR_208010809_1316B">#REF!</definedName>
    <definedName name="L_ALL_SECTION_KEYWORDS_ISSR_208010809_1316C">#REF!</definedName>
    <definedName name="L_ALL_SECTION_KEYWORDS_ISSR_208010809_1316D">#REF!</definedName>
    <definedName name="L_ALL_SECTION_KEYWORDS_ISSR_208010809_1316E">#REF!</definedName>
    <definedName name="L_ALL_SECTION_KEYWORDS_ISSR_208010809_1316S">#REF!</definedName>
    <definedName name="L_ALL_SECTION_KEYWORDS_ISSR_208010809_1316T">#REF!</definedName>
    <definedName name="L_ALL_SECTION_KEYWORDS_ISSR_208010809_1316U">#REF!</definedName>
    <definedName name="L_ALL_SECTION_KEYWORDS_ISSR_208010809_1319">#REF!</definedName>
    <definedName name="L_ALL_SECTION_KEYWORDS_ISSR_208010809_131E">#REF!</definedName>
    <definedName name="L_ALL_SECTION_KEYWORDS_ISSR_208010809_131J">#REF!</definedName>
    <definedName name="L_ALL_SECTION_KEYWORDS_ISSR_208010809_131O">#REF!</definedName>
    <definedName name="L_ALL_SECTION_KEYWORDS_ISSR_208010809_136E">#REF!,#REF!</definedName>
    <definedName name="L_ALL_SECTION_KEYWORDS_ISSR_208010809_136J">#REF!</definedName>
    <definedName name="L_ALL_SECTION_KEYWORDS_ISSR_208010809_13A">#REF!,#REF!</definedName>
    <definedName name="L_ALL_SECTION_KEYWORDS_ISSR_208010809_13U">#REF!</definedName>
    <definedName name="L_ALL_SECTION_KEYWORDS_ISSR_208010809_13V" localSheetId="19">#REF!,#REF!</definedName>
    <definedName name="L_ALL_SECTION_KEYWORDS_ISSR_208010809_13V">#REF!,#REF!</definedName>
    <definedName name="L_ALL_SECTION_KEYWORDS_ISSR_208010809_Reference_Data">#REF!</definedName>
    <definedName name="L_ALL_SECTION_KEYWORDS_ISSR_208010826_136J" localSheetId="5">#REF!,#REF!</definedName>
    <definedName name="L_ALL_SECTION_KEYWORDS_ISSR_208010826_136J">#REF!,#REF!</definedName>
    <definedName name="L_ALL_SECTION_KEYWORDS_ISSR_208011369_13A">#REF!,#REF!</definedName>
    <definedName name="L_ALL_SECTION_KEYWORDS_ISSR_208011369_13V">#REF!,#REF!</definedName>
    <definedName name="L_ALL_SECTION_KEYWORDS_ISSR_208015019_136J">#REF!,#REF!</definedName>
    <definedName name="L_ALL_SECTION_KEYWORDS_ISSR_208015541_136E">#REF!,#REF!</definedName>
    <definedName name="L_ALL_SECTION_KEYWORDS_ISSR_208015541_13A">#REF!,#REF!</definedName>
    <definedName name="L_ALL_SECTION_KEYWORDS_ISSR_208015541_13V">#REF!,#REF!</definedName>
    <definedName name="L_ALL_SECTION_KEYWORDS_ISSR_208015712_136J">#REF!,#REF!</definedName>
    <definedName name="L_ALL_SECTION_KEYWORDS_ISSR_208015712_13V">#REF!,#REF!</definedName>
    <definedName name="L_ALL_SECTION_KEYWORDS_ISSR_208016534_13171">#REF!,#REF!</definedName>
    <definedName name="L_ALL_SECTION_KEYWORDS_ISSR_208016534_13172">#REF!,#REF!</definedName>
    <definedName name="L_ALL_SECTION_KEYWORDS_ISSR_208016534_136J">#REF!,#REF!</definedName>
    <definedName name="L_ALL_SECTION_KEYWORDS_ISSR_208017888_13V">#REF!,#REF!</definedName>
    <definedName name="L_ALL_SECTION_KEYWORDS_ISSR_208019050_1316S">#REF!,#REF!</definedName>
    <definedName name="L_ALL_SECTIONS_EQTY_200014619">#REF!,#REF!,#REF!,#REF!,#REF!,#REF!,#REF!,#REF!,#REF!,#REF!,#REF!,#REF!,#REF!</definedName>
    <definedName name="L_ALL_SECTIONS_ISSR_208005522">#REF!,#REF!,#REF!,#REF!,#REF!,#REF!,#REF!,#REF!,#REF!,#REF!,#REF!,#REF!,#REF!,#REF!,#REF!,#REF!,#REF!,#REF!,#REF!,#REF!,#REF!,#REF!,#REF!,#REF!</definedName>
    <definedName name="L_ALL_SECTIONS_ISSR_208011369">#REF!,#REF!,#REF!,#REF!,#REF!,#REF!,#REF!,#REF!,#REF!,#REF!,#REF!,#REF!,#REF!,#REF!</definedName>
    <definedName name="L_ALL_SUL.AX" localSheetId="19">#REF!</definedName>
    <definedName name="L_ALL_SUL.AX">#REF!</definedName>
    <definedName name="L_ALL_SUL.AX_" localSheetId="1">#REF!</definedName>
    <definedName name="L_ALL_SUL.AX_">#REF!</definedName>
    <definedName name="L_ALL_TPW.AX">#REF!</definedName>
    <definedName name="L_ALL_TWE.AX" localSheetId="5">#REF!</definedName>
    <definedName name="L_ALL_TWE.AX">#REF!</definedName>
    <definedName name="L_ALL_UNI.AX">#REF!</definedName>
    <definedName name="L_CURRENCY_EQTY_200014091_PRI">#REF!</definedName>
    <definedName name="L_CURRENCY_EQTY_200014091_PUB">#REF!</definedName>
    <definedName name="L_CURRENCY_EQTY_200014091_REP">#REF!</definedName>
    <definedName name="L_CURRENCY_EQTY_200014125_PRI" localSheetId="5">#REF!</definedName>
    <definedName name="L_CURRENCY_EQTY_200014125_PRI">#REF!</definedName>
    <definedName name="L_CURRENCY_EQTY_200014125_PUB" localSheetId="5">#REF!</definedName>
    <definedName name="L_CURRENCY_EQTY_200014125_PUB">#REF!</definedName>
    <definedName name="L_CURRENCY_EQTY_200014125_REP" localSheetId="5">#REF!</definedName>
    <definedName name="L_CURRENCY_EQTY_200014125_REP">#REF!</definedName>
    <definedName name="L_CURRENCY_ISSR_208010809_REP">#REF!</definedName>
    <definedName name="L_CURRENCY_ISSR_208010826_REP" localSheetId="5">#REF!</definedName>
    <definedName name="L_CURRENCY_ISSR_208010826_REP">#REF!</definedName>
    <definedName name="L_KEYWORD_EQTY_200014091_ANZ_LIST">#REF!</definedName>
    <definedName name="L_KEYWORD_EQTY_200014091_ASSET_SALES_GAIN_LOSS">#REF!</definedName>
    <definedName name="L_KEYWORD_EQTY_200014091_BASE_CASE_VAL_DCF">#REF!</definedName>
    <definedName name="L_KEYWORD_EQTY_200014091_BENEFITS_TAX_LOSSES">#REF!</definedName>
    <definedName name="L_KEYWORD_EQTY_200014091_BETA_ANALYST">#REF!</definedName>
    <definedName name="L_KEYWORD_EQTY_200014091_BVPS">#REF!</definedName>
    <definedName name="L_KEYWORD_EQTY_200014091_BVPS_PUB">#REF!</definedName>
    <definedName name="L_KEYWORD_EQTY_200014091_CATALYST1_DATE">#REF!</definedName>
    <definedName name="L_KEYWORD_EQTY_200014091_CATALYST1_EVENT">#REF!</definedName>
    <definedName name="L_KEYWORD_EQTY_200014091_CATALYST2_DATE">#REF!</definedName>
    <definedName name="L_KEYWORD_EQTY_200014091_CATALYST2_EVENT">#REF!</definedName>
    <definedName name="L_KEYWORD_EQTY_200014091_CATALYST3_DATE">#REF!</definedName>
    <definedName name="L_KEYWORD_EQTY_200014091_CATALYST3_EVENT">#REF!</definedName>
    <definedName name="L_KEYWORD_EQTY_200014091_CATALYST4_DATE">#REF!</definedName>
    <definedName name="L_KEYWORD_EQTY_200014091_CATALYST4_EVENT">#REF!</definedName>
    <definedName name="L_KEYWORD_EQTY_200014091_CATALYST5_DATE">#REF!</definedName>
    <definedName name="L_KEYWORD_EQTY_200014091_CATALYST5_EVENT">#REF!</definedName>
    <definedName name="L_KEYWORD_EQTY_200014091_CF_NI_PRE_PREF">#REF!</definedName>
    <definedName name="L_KEYWORD_EQTY_200014091_CF_OPS_SHARE_NZ">#REF!</definedName>
    <definedName name="L_KEYWORD_EQTY_200014091_COMMON_DIV_PAID">#REF!</definedName>
    <definedName name="L_KEYWORD_EQTY_200014091_CONVERTIBLE_NOTES">#REF!</definedName>
    <definedName name="L_KEYWORD_EQTY_200014091_COST_OF_EQUITY_DCF">#REF!</definedName>
    <definedName name="L_KEYWORD_EQTY_200014091_CUM_PRESENT_VAL_CASH_FLOWS_DCF">#REF!</definedName>
    <definedName name="L_KEYWORD_EQTY_200014091_CURRENCY_ISO">#REF!</definedName>
    <definedName name="L_KEYWORD_EQTY_200014091_DCF_CASH_FLOW">#REF!</definedName>
    <definedName name="L_KEYWORD_EQTY_200014091_DEBT_EQUITY">#REF!</definedName>
    <definedName name="L_KEYWORD_EQTY_200014091_DEBT_RISK_MARGIN_DCF">#REF!</definedName>
    <definedName name="L_KEYWORD_EQTY_200014091_DILUTE_SHARES">#REF!</definedName>
    <definedName name="L_KEYWORD_EQTY_200014091_DISCOUNT_FACTOR_DCF">#REF!</definedName>
    <definedName name="L_KEYWORD_EQTY_200014091_DPS">#REF!</definedName>
    <definedName name="L_KEYWORD_EQTY_200014091_DPS_PUB">#REF!</definedName>
    <definedName name="L_KEYWORD_EQTY_200014091_EBIT_PUB">#REF!</definedName>
    <definedName name="L_KEYWORD_EQTY_200014091_EBITDA_PUB">#REF!</definedName>
    <definedName name="L_KEYWORD_EQTY_200014091_EBITDAF">#REF!</definedName>
    <definedName name="L_KEYWORD_EQTY_200014091_EFPO">#REF!</definedName>
    <definedName name="L_KEYWORD_EQTY_200014091_EFPOWA">#REF!</definedName>
    <definedName name="L_KEYWORD_EQTY_200014091_EPS">#REF!</definedName>
    <definedName name="L_KEYWORD_EQTY_200014091_EPS_CONS_PUB">#REF!</definedName>
    <definedName name="L_KEYWORD_EQTY_200014091_EPS_FUL_DIL">#REF!</definedName>
    <definedName name="L_KEYWORD_EQTY_200014091_EPS_POST_BASIC">#REF!</definedName>
    <definedName name="L_KEYWORD_EQTY_200014091_EPS_PRE_GWILL">#REF!</definedName>
    <definedName name="L_KEYWORD_EQTY_200014091_EPS_PUB">#REF!</definedName>
    <definedName name="L_KEYWORD_EQTY_200014091_EPS_REPORTED">#REF!</definedName>
    <definedName name="L_KEYWORD_EQTY_200014091_EQ_PUB">#REF!</definedName>
    <definedName name="L_KEYWORD_EQTY_200014091_EQUITY_VALUE_DCF">#REF!</definedName>
    <definedName name="L_KEYWORD_EQTY_200014091_EV_ADJ_PUB">#REF!</definedName>
    <definedName name="L_KEYWORD_EQTY_200014091_FIN_INSTRUMENT_HEDGE_POST_TAX">#REF!</definedName>
    <definedName name="L_KEYWORD_EQTY_200014091_FINAL_DIV_AMOUNT">#REF!</definedName>
    <definedName name="L_KEYWORD_EQTY_200014091_FINAL_DIV_EXDATE">#REF!</definedName>
    <definedName name="L_KEYWORD_EQTY_200014091_FINAL_DIV_FRANK">#REF!</definedName>
    <definedName name="L_KEYWORD_EQTY_200014091_FINAL_DIV_TAXRATE">#REF!</definedName>
    <definedName name="L_KEYWORD_EQTY_200014091_FOREIGN_EXCHANGE_GAIN_LOSS">#REF!</definedName>
    <definedName name="L_KEYWORD_EQTY_200014091_FOREIGN_HOLDNG">#REF!</definedName>
    <definedName name="L_KEYWORD_EQTY_200014091_FRANK_TAX_RATE">#REF!</definedName>
    <definedName name="L_KEYWORD_EQTY_200014091_FRANKING">#REF!</definedName>
    <definedName name="L_KEYWORD_EQTY_200014091_FRANKING_ANZPUB">#REF!</definedName>
    <definedName name="L_KEYWORD_EQTY_200014091_FREE_FLOAT">#REF!</definedName>
    <definedName name="L_KEYWORD_EQTY_200014091_FULLY_DIL_EPS">#REF!</definedName>
    <definedName name="L_KEYWORD_EQTY_200014091_GWILL_ASSET_IMP_CHG_POST_TAX">#REF!</definedName>
    <definedName name="L_KEYWORD_EQTY_200014091_IMP_CREDITS_PER_SHARE_DCF">#REF!</definedName>
    <definedName name="L_KEYWORD_EQTY_200014091_INC_MINORITY">#REF!</definedName>
    <definedName name="L_KEYWORD_EQTY_200014091_INCTAX_PL_ON_AB">#REF!</definedName>
    <definedName name="L_KEYWORD_EQTY_200014091_INCTAX_PL_POST_AB">#REF!</definedName>
    <definedName name="L_KEYWORD_EQTY_200014091_INT_DIV_AMOUNT">#REF!</definedName>
    <definedName name="L_KEYWORD_EQTY_200014091_INT_DIV_EXDATE">#REF!</definedName>
    <definedName name="L_KEYWORD_EQTY_200014091_INT_DIV_FRANK">#REF!</definedName>
    <definedName name="L_KEYWORD_EQTY_200014091_INT_DIV_TAXRATE">#REF!</definedName>
    <definedName name="L_KEYWORD_EQTY_200014091_Interim_Type">#REF!</definedName>
    <definedName name="L_KEYWORD_EQTY_200014091_INTRINSIC_PER_SHARE_VALUE_DCF">#REF!</definedName>
    <definedName name="L_KEYWORD_EQTY_200014091_LEGAL_RATING">#REF!</definedName>
    <definedName name="L_KEYWORD_EQTY_200014091_MARGIN_TAX_RATE">#REF!</definedName>
    <definedName name="L_KEYWORD_EQTY_200014091_MARKET_VALUE_OF_INVESTMENTS_DCF">#REF!</definedName>
    <definedName name="L_KEYWORD_EQTY_200014091_MKT_EQ_RISK_PREM">#REF!</definedName>
    <definedName name="L_KEYWORD_EQTY_200014091_NET_DEBT_NET_CASH_DCF">#REF!</definedName>
    <definedName name="L_KEYWORD_EQTY_200014091_NET_DEBT_PUB">#REF!</definedName>
    <definedName name="L_KEYWORD_EQTY_200014091_NET_EARNING">#REF!</definedName>
    <definedName name="L_KEYWORD_EQTY_200014091_NET_INC">#REF!</definedName>
    <definedName name="L_KEYWORD_EQTY_200014091_NET_PROFIT">#REF!</definedName>
    <definedName name="L_KEYWORD_EQTY_200014091_NET_TANGIBLE_ASSETS_ADJUSTED_NZ">#REF!</definedName>
    <definedName name="L_KEYWORD_EQTY_200014091_NI_CONS">#REF!</definedName>
    <definedName name="L_KEYWORD_EQTY_200014091_NI_PRE_PREF">#REF!</definedName>
    <definedName name="L_KEYWORD_EQTY_200014091_NI_PUB">#REF!</definedName>
    <definedName name="L_KEYWORD_EQTY_200014091_NI_REPT_PUB">#REF!</definedName>
    <definedName name="L_KEYWORD_EQTY_200014091_NON_OP_ADD">#REF!</definedName>
    <definedName name="L_KEYWORD_EQTY_200014091_NOPAT">#REF!</definedName>
    <definedName name="L_KEYWORD_EQTY_200014091_NTA_PER_SHARE">#REF!</definedName>
    <definedName name="L_KEYWORD_EQTY_200014091_NUM_SH">#REF!</definedName>
    <definedName name="L_KEYWORD_EQTY_200014091_NZ_FRANKING">#REF!</definedName>
    <definedName name="L_KEYWORD_EQTY_200014091_OPPL_ATAX_POST_AB">#REF!</definedName>
    <definedName name="L_KEYWORD_EQTY_200014091_OPPL_ATAX_PRE_AB">#REF!</definedName>
    <definedName name="L_KEYWORD_EQTY_200014091_OPTIONS">#REF!</definedName>
    <definedName name="L_KEYWORD_EQTY_200014091_OTH_ASSET_IMPAIR_CHG_POST_TAX">#REF!</definedName>
    <definedName name="L_KEYWORD_EQTY_200014091_OTHER_ABNORMAL_ITEMS">#REF!</definedName>
    <definedName name="L_KEYWORD_EQTY_200014091_OTHER_CAPITAL">#REF!</definedName>
    <definedName name="L_KEYWORD_EQTY_200014091_OTHER_IFRS_ADJUST_POST_TAX">#REF!</definedName>
    <definedName name="L_KEYWORD_EQTY_200014091_PARTLY_PAID_SHARES">#REF!</definedName>
    <definedName name="L_KEYWORD_EQTY_200014091_PERPETUITY_GROWTH_RATE_DCF">#REF!</definedName>
    <definedName name="L_KEYWORD_EQTY_200014091_PREF_DIV">#REF!</definedName>
    <definedName name="L_KEYWORD_EQTY_200014091_PREFERENCE_SHARES">#REF!</definedName>
    <definedName name="L_KEYWORD_EQTY_200014091_PRESENT_VALUE_OF_CASH_FLOW_DCF">#REF!</definedName>
    <definedName name="L_KEYWORD_EQTY_200014091_PRI_TARG_METH">#REF!</definedName>
    <definedName name="L_KEYWORD_EQTY_200014091_PRI_TARG_MULT">#REF!</definedName>
    <definedName name="L_KEYWORD_EQTY_200014091_PRICE_CURRENCY_ISO">#REF!</definedName>
    <definedName name="L_KEYWORD_EQTY_200014091_PROF_ADJUST_EPS">#REF!</definedName>
    <definedName name="L_KEYWORD_EQTY_200014091_PROV_INC_TAX">#REF!</definedName>
    <definedName name="L_KEYWORD_EQTY_200014091_PTP_PUB">#REF!</definedName>
    <definedName name="L_KEYWORD_EQTY_200014091_PUB_CURRENCY_ISO">#REF!</definedName>
    <definedName name="L_KEYWORD_EQTY_200014091_RESTRUC_COSTS">#REF!</definedName>
    <definedName name="L_KEYWORD_EQTY_200014091_REVS_PUB">#REF!</definedName>
    <definedName name="L_KEYWORD_EQTY_200014091_RISK_ADJ_OPTION_VALUE_DCF">#REF!</definedName>
    <definedName name="L_KEYWORD_EQTY_200014091_RISK_FR_RATE">#REF!</definedName>
    <definedName name="L_KEYWORD_EQTY_200014091_RISK_TO_EARNINGS">#REF!</definedName>
    <definedName name="L_KEYWORD_EQTY_200014091_ROCE_ANZ">#REF!</definedName>
    <definedName name="L_KEYWORD_EQTY_200014091_Security_Name">#REF!</definedName>
    <definedName name="L_KEYWORD_EQTY_200014091_SH">#REF!</definedName>
    <definedName name="L_KEYWORD_EQTY_200014091_SHOLDERS_EQUITY_MBRS">#REF!</definedName>
    <definedName name="L_KEYWORD_EQTY_200014091_STD_FREE_OP_CASH_FLOW_DCF">#REF!</definedName>
    <definedName name="L_KEYWORD_EQTY_200014091_TARGET_PRICE">#REF!</definedName>
    <definedName name="L_KEYWORD_EQTY_200014091_TAX_EXC">#REF!</definedName>
    <definedName name="L_KEYWORD_EQTY_200014091_TAX_RATE_DCF">#REF!</definedName>
    <definedName name="L_KEYWORD_EQTY_200014091_TERMINAL_YEAR_DCF">#REF!</definedName>
    <definedName name="L_KEYWORD_EQTY_200014091_Ticker">#REF!</definedName>
    <definedName name="L_KEYWORD_EQTY_200014091_TOTAL_CAPITAL">#REF!</definedName>
    <definedName name="L_KEYWORD_EQTY_200014091_TOTAL_IFRS_ADJUST_POST_TAX">#REF!</definedName>
    <definedName name="L_KEYWORD_EQTY_200014091_TP_PERIOD">#REF!</definedName>
    <definedName name="L_KEYWORD_EQTY_200014091_WACC_DCF">#REF!</definedName>
    <definedName name="L_KEYWORD_EQTY_200014091_YEAR_END_CAPITAL_EVA">#REF!</definedName>
    <definedName name="L_KEYWORD_ISSR_208010809_ACC_AMORT">#REF!</definedName>
    <definedName name="L_KEYWORD_ISSR_208010809_ACC_DDA">#REF!</definedName>
    <definedName name="L_KEYWORD_ISSR_208010809_ACC_END_DATE">#REF!</definedName>
    <definedName name="L_KEYWORD_ISSR_208010809_ACC_PAY_GQ">#REF!</definedName>
    <definedName name="L_KEYWORD_ISSR_208010809_ACCESS_CONNECTION">#REF!</definedName>
    <definedName name="L_KEYWORD_ISSR_208010809_ACQ">#REF!</definedName>
    <definedName name="L_KEYWORD_ISSR_208010809_ADJ_UNF_PENS_GOOD">#REF!</definedName>
    <definedName name="L_KEYWORD_ISSR_208010809_AMORT_OF_INTANGIBLES">#REF!</definedName>
    <definedName name="L_KEYWORD_ISSR_208010809_AMORT_OF_INTANGIBLES_ADJ">#REF!</definedName>
    <definedName name="L_KEYWORD_ISSR_208010809_ASSOC_JV_ADDBK">#REF!</definedName>
    <definedName name="L_KEYWORD_ISSR_208010809_ASSOCIATE">#REF!</definedName>
    <definedName name="L_KEYWORD_ISSR_208010809_ASSOCIATE_OP">#REF!</definedName>
    <definedName name="L_KEYWORD_ISSR_208010809_AVG_CAPITAL_EMPLOYED_ADJ">#REF!</definedName>
    <definedName name="L_KEYWORD_ISSR_208010809_BAL_MINO_INT">#REF!</definedName>
    <definedName name="L_KEYWORD_ISSR_208010809_BAL_OF_FRANK_CREDITS">#REF!</definedName>
    <definedName name="L_KEYWORD_ISSR_208010809_BANK_ODRAFT">#REF!</definedName>
    <definedName name="L_KEYWORD_ISSR_208010809_BORROWINGS">#REF!</definedName>
    <definedName name="L_KEYWORD_ISSR_208010809_CAP_LEASES">#REF!</definedName>
    <definedName name="L_KEYWORD_ISSR_208010809_CAPEX">#REF!</definedName>
    <definedName name="L_KEYWORD_ISSR_208010809_CAPEX_EXPANSION">#REF!</definedName>
    <definedName name="L_KEYWORD_ISSR_208010809_CAPEX_MAINTENANCE">#REF!</definedName>
    <definedName name="L_KEYWORD_ISSR_208010809_CASH_EQ">#REF!</definedName>
    <definedName name="L_KEYWORD_ISSR_208010809_CASH_INT_EXP">#REF!</definedName>
    <definedName name="L_KEYWORD_ISSR_208010809_CASH_TAX_EXP">#REF!</definedName>
    <definedName name="L_KEYWORD_ISSR_208010809_CF_FIN">#REF!</definedName>
    <definedName name="L_KEYWORD_ISSR_208010809_CF_FX">#REF!</definedName>
    <definedName name="L_KEYWORD_ISSR_208010809_CF_INC_MINORITY">#REF!</definedName>
    <definedName name="L_KEYWORD_ISSR_208010809_CF_INV">#REF!</definedName>
    <definedName name="L_KEYWORD_ISSR_208010809_CF_INV_MISC">#REF!</definedName>
    <definedName name="L_KEYWORD_ISSR_208010809_CF_OPS">#REF!</definedName>
    <definedName name="L_KEYWORD_ISSR_208010809_CF_OPS_MISC">#REF!</definedName>
    <definedName name="L_KEYWORD_ISSR_208010809_CHG_LT_DEBT">#REF!</definedName>
    <definedName name="L_KEYWORD_ISSR_208010809_CO_BOR_MARGIN">#REF!</definedName>
    <definedName name="L_KEYWORD_ISSR_208010809_COST_GD_SD">#REF!</definedName>
    <definedName name="L_KEYWORD_ISSR_208010809_COST_OF_DEBT_DCF">#REF!</definedName>
    <definedName name="L_KEYWORD_ISSR_208010809_CUR_ASS">#REF!</definedName>
    <definedName name="L_KEYWORD_ISSR_208010809_CUR_ASS_MISC">#REF!</definedName>
    <definedName name="L_KEYWORD_ISSR_208010809_CUR_LIABS_MISC">#REF!</definedName>
    <definedName name="L_KEYWORD_ISSR_208010809_CURRENCY_ISO">#REF!</definedName>
    <definedName name="L_KEYWORD_ISSR_208010809_CUSTOMER_RECEIPTS">#REF!</definedName>
    <definedName name="L_KEYWORD_ISSR_208010809_DEBT_TO_EQUITY_MKT_VALUES_DCF">#REF!</definedName>
    <definedName name="L_KEYWORD_ISSR_208010809_DEBTORS">#REF!</definedName>
    <definedName name="L_KEYWORD_ISSR_208010809_DEF_INC_TAX">#REF!</definedName>
    <definedName name="L_KEYWORD_ISSR_208010809_DEFINED_BENEFIT_OBLIGATION">#REF!</definedName>
    <definedName name="L_KEYWORD_ISSR_208010809_DEFINED_BENEFIT_SURPLUS">#REF!</definedName>
    <definedName name="L_KEYWORD_ISSR_208010809_DEPR_AMORT">#REF!</definedName>
    <definedName name="L_KEYWORD_ISSR_208010809_DEPREC">#REF!</definedName>
    <definedName name="L_KEYWORD_ISSR_208010809_DIV_PAID">#REF!</definedName>
    <definedName name="L_KEYWORD_ISSR_208010809_DIVDS_ASSOC_JV">#REF!</definedName>
    <definedName name="L_KEYWORD_ISSR_208010809_DIVDS_PD_MINORITIES">#REF!</definedName>
    <definedName name="L_KEYWORD_ISSR_208010809_DIVEST">#REF!</definedName>
    <definedName name="L_KEYWORD_ISSR_208010809_DIVIDENDS_RECEIVED">#REF!</definedName>
    <definedName name="L_KEYWORD_ISSR_208010809_EBIT">#REF!</definedName>
    <definedName name="L_KEYWORD_ISSR_208010809_EBIT_CONSOLIDATED">#REF!</definedName>
    <definedName name="L_KEYWORD_ISSR_208010809_EBIT_CONSOLIDATED_PRE_ASSOC">#REF!</definedName>
    <definedName name="L_KEYWORD_ISSR_208010809_EBITDA_CALC">#REF!</definedName>
    <definedName name="L_KEYWORD_ISSR_208010809_EBITDA_CONSOLIDATED">#REF!</definedName>
    <definedName name="L_KEYWORD_ISSR_208010809_EMPLOYEES">#REF!</definedName>
    <definedName name="L_KEYWORD_ISSR_208010809_EQ">#REF!</definedName>
    <definedName name="L_KEYWORD_ISSR_208010809_EXP_ALUMINIUM">#REF!</definedName>
    <definedName name="L_KEYWORD_ISSR_208010809_EXP_BEEF">#REF!</definedName>
    <definedName name="L_KEYWORD_ISSR_208010809_EXP_CHICKEN">#REF!</definedName>
    <definedName name="L_KEYWORD_ISSR_208010809_EXP_COCOA">#REF!</definedName>
    <definedName name="L_KEYWORD_ISSR_208010809_EXP_COFFEE">#REF!</definedName>
    <definedName name="L_KEYWORD_ISSR_208010809_EXP_COPPER">#REF!</definedName>
    <definedName name="L_KEYWORD_ISSR_208010809_EXP_CORN">#REF!</definedName>
    <definedName name="L_KEYWORD_ISSR_208010809_EXP_COTTON">#REF!</definedName>
    <definedName name="L_KEYWORD_ISSR_208010809_EXP_DAIRY">#REF!</definedName>
    <definedName name="L_KEYWORD_ISSR_208010809_EXP_DIAMONDS">#REF!</definedName>
    <definedName name="L_KEYWORD_ISSR_208010809_EXP_GOLD">#REF!</definedName>
    <definedName name="L_KEYWORD_ISSR_208010809_EXP_NUTS">#REF!</definedName>
    <definedName name="L_KEYWORD_ISSR_208010809_EXP_OIL_DERIV_NGLS_PLASTICS">#REF!</definedName>
    <definedName name="L_KEYWORD_ISSR_208010809_EXP_OIL_PETRO_FUEL">#REF!</definedName>
    <definedName name="L_KEYWORD_ISSR_208010809_EXP_OTH_COMMODITY">#REF!</definedName>
    <definedName name="L_KEYWORD_ISSR_208010809_EXP_OTH_COST">#REF!</definedName>
    <definedName name="L_KEYWORD_ISSR_208010809_EXP_PALM_OIL">#REF!</definedName>
    <definedName name="L_KEYWORD_ISSR_208010809_EXP_PAPER_PULP">#REF!</definedName>
    <definedName name="L_KEYWORD_ISSR_208010809_EXP_PLATINUM">#REF!</definedName>
    <definedName name="L_KEYWORD_ISSR_208010809_EXP_PORK">#REF!</definedName>
    <definedName name="L_KEYWORD_ISSR_208010809_EXP_SILVER">#REF!</definedName>
    <definedName name="L_KEYWORD_ISSR_208010809_EXP_SOYBEAN">#REF!</definedName>
    <definedName name="L_KEYWORD_ISSR_208010809_EXP_SUGAR">#REF!</definedName>
    <definedName name="L_KEYWORD_ISSR_208010809_EXP_TOBACCO_LEAF">#REF!</definedName>
    <definedName name="L_KEYWORD_ISSR_208010809_EXP_WATER">#REF!</definedName>
    <definedName name="L_KEYWORD_ISSR_208010809_EXP_WHEAT">#REF!</definedName>
    <definedName name="L_KEYWORD_ISSR_208010809_FIN_INSTR_HEDGE_CURR_LIABILITY">#REF!</definedName>
    <definedName name="L_KEYWORD_ISSR_208010809_FIN_INSTR_HEDGE_CURRENT">#REF!</definedName>
    <definedName name="L_KEYWORD_ISSR_208010809_FIN_INSTR_HEDGE_NON_CURR_LIAB">#REF!</definedName>
    <definedName name="L_KEYWORD_ISSR_208010809_FIN_INSTR_HEDGE_NON_CURRENT">#REF!</definedName>
    <definedName name="L_KEYWORD_ISSR_208010809_FIN_INSTRUMENT_HEDGE_PRE_TAX">#REF!</definedName>
    <definedName name="L_KEYWORD_ISSR_208010809_FIX_ASS_INV">#REF!</definedName>
    <definedName name="L_KEYWORD_ISSR_208010809_GCI_INFL">#REF!</definedName>
    <definedName name="L_KEYWORD_ISSR_208010809_GOODWILL_AMORT">#REF!</definedName>
    <definedName name="L_KEYWORD_ISSR_208010809_GOODWILL_NET_AMNT">#REF!</definedName>
    <definedName name="L_KEYWORD_ISSR_208010809_GR_FIX_ASS">#REF!</definedName>
    <definedName name="L_KEYWORD_ISSR_208010809_GR_INTANG">#REF!</definedName>
    <definedName name="L_KEYWORD_ISSR_208010809_GWILL_ASSET_IMPAIR_CHG_PRE_TAX">#REF!</definedName>
    <definedName name="L_KEYWORD_ISSR_208010809_INT_EXP_IND">#REF!</definedName>
    <definedName name="L_KEYWORD_ISSR_208010809_INT_INC_IND">#REF!</definedName>
    <definedName name="L_KEYWORD_ISSR_208010809_INT_OTHERS_RECEIVED">#REF!</definedName>
    <definedName name="L_KEYWORD_ISSR_208010809_INV_SECUR">#REF!</definedName>
    <definedName name="L_KEYWORD_ISSR_208010809_INVESTMENTS">#REF!</definedName>
    <definedName name="L_KEYWORD_ISSR_208010809_Issuer_Name">#REF!</definedName>
    <definedName name="L_KEYWORD_ISSR_208010809_LABOUR">#REF!</definedName>
    <definedName name="L_KEYWORD_ISSR_208010809_LAND_BUILDINGS">#REF!</definedName>
    <definedName name="L_KEYWORD_ISSR_208010809_LEASE_DEEM_DEPR">#REF!</definedName>
    <definedName name="L_KEYWORD_ISSR_208010809_LEASE_DEEM_INT">#REF!</definedName>
    <definedName name="L_KEYWORD_ISSR_208010809_LEASE_PAY">#REF!</definedName>
    <definedName name="L_KEYWORD_ISSR_208010809_LOAN_REPAID_OTHER_ENTS">#REF!</definedName>
    <definedName name="L_KEYWORD_ISSR_208010809_LOANS_OTHER_ENTITIES">#REF!</definedName>
    <definedName name="L_KEYWORD_ISSR_208010809_LT_DEBT">#REF!</definedName>
    <definedName name="L_KEYWORD_ISSR_208010809_MARKETING_ADVERTISNIG">#REF!</definedName>
    <definedName name="L_KEYWORD_ISSR_208010809_MINORITIES">#REF!</definedName>
    <definedName name="L_KEYWORD_ISSR_208010809_MV_ASSOCIATES">#REF!</definedName>
    <definedName name="L_KEYWORD_ISSR_208010809_MV_CONVERTIBLE_NOTES">#REF!</definedName>
    <definedName name="L_KEYWORD_ISSR_208010809_MV_NET_OTHER_STAKEHOLDERS">#REF!</definedName>
    <definedName name="L_KEYWORD_ISSR_208010809_NCASSET_INVENTORIES">#REF!</definedName>
    <definedName name="L_KEYWORD_ISSR_208010809_NCASSET_INVESTMENT">#REF!</definedName>
    <definedName name="L_KEYWORD_ISSR_208010809_NCASSET_MISC">#REF!</definedName>
    <definedName name="L_KEYWORD_ISSR_208010809_NCASSET_RECEIVABLES">#REF!</definedName>
    <definedName name="L_KEYWORD_ISSR_208010809_NCASSET_TRADE_DEBTORS">#REF!</definedName>
    <definedName name="L_KEYWORD_ISSR_208010809_NCLIAB_MISC">#REF!</definedName>
    <definedName name="L_KEYWORD_ISSR_208010809_NCLIAB_OTHER_CREDITORS">#REF!</definedName>
    <definedName name="L_KEYWORD_ISSR_208010809_NCLIAB_PROVISIONS">#REF!</definedName>
    <definedName name="L_KEYWORD_ISSR_208010809_NCLIAB_TRADE_CREDITORS">#REF!</definedName>
    <definedName name="L_KEYWORD_ISSR_208010809_NET_ASSETS">#REF!</definedName>
    <definedName name="L_KEYWORD_ISSR_208010809_NET_DEBT">#REF!</definedName>
    <definedName name="L_KEYWORD_ISSR_208010809_NET_DEBT_ADJ">#REF!</definedName>
    <definedName name="L_KEYWORD_ISSR_208010809_NET_FIX_ASS">#REF!</definedName>
    <definedName name="L_KEYWORD_ISSR_208010809_NET_INT_CH">#REF!</definedName>
    <definedName name="L_KEYWORD_ISSR_208010809_NET_INT_EXP">#REF!</definedName>
    <definedName name="L_KEYWORD_ISSR_208010809_NET_INTANG">#REF!</definedName>
    <definedName name="L_KEYWORD_ISSR_208010809_NET_TANGIBLE_ASSETS">#REF!</definedName>
    <definedName name="L_KEYWORD_ISSR_208010809_NONPPE_CAPEX">#REF!</definedName>
    <definedName name="L_KEYWORD_ISSR_208010809_OP_COST">#REF!</definedName>
    <definedName name="L_KEYWORD_ISSR_208010809_OPPL_BTAX_EX_ASSOC">#REF!</definedName>
    <definedName name="L_KEYWORD_ISSR_208010809_OPPL_BTAX_POST_AB">#REF!</definedName>
    <definedName name="L_KEYWORD_ISSR_208010809_ORD_SH_FUND">#REF!</definedName>
    <definedName name="L_KEYWORD_ISSR_208010809_ORD_SHARE_CAPITAL">#REF!</definedName>
    <definedName name="L_KEYWORD_ISSR_208010809_OTH_COST_INC">#REF!</definedName>
    <definedName name="L_KEYWORD_ISSR_208010809_OTH_CUR_ASS">#REF!</definedName>
    <definedName name="L_KEYWORD_ISSR_208010809_OTH_CUR_LIABS">#REF!</definedName>
    <definedName name="L_KEYWORD_ISSR_208010809_OTH_DACF_ADJ">#REF!</definedName>
    <definedName name="L_KEYWORD_ISSR_208010809_OTH_FIN_CF">#REF!</definedName>
    <definedName name="L_KEYWORD_ISSR_208010809_OTH_GCI_ADJ">#REF!</definedName>
    <definedName name="L_KEYWORD_ISSR_208010809_OTH_INV_CF">#REF!</definedName>
    <definedName name="L_KEYWORD_ISSR_208010809_OTH_LT_ASS">#REF!</definedName>
    <definedName name="L_KEYWORD_ISSR_208010809_OTH_LT_CRED_GQ">#REF!</definedName>
    <definedName name="L_KEYWORD_ISSR_208010809_OTH_NONCASH_ADJ">#REF!</definedName>
    <definedName name="L_KEYWORD_ISSR_208010809_OTH_OP_CF">#REF!</definedName>
    <definedName name="L_KEYWORD_ISSR_208010809_OTH_OP_INC_EXP">#REF!</definedName>
    <definedName name="L_KEYWORD_ISSR_208010809_OTHER_ASSET_IMPAIR_CHG_PRE_TAX">#REF!</definedName>
    <definedName name="L_KEYWORD_ISSR_208010809_OTHER_CREDITORS">#REF!</definedName>
    <definedName name="L_KEYWORD_ISSR_208010809_OTHER_IFRS_ADJUST_PRE_TAX">#REF!</definedName>
    <definedName name="L_KEYWORD_ISSR_208010809_OTHER_INTANGIBLES_DEPREC">#REF!</definedName>
    <definedName name="L_KEYWORD_ISSR_208010809_OTHER_INTANGIBLES_NON_DEPREC">#REF!</definedName>
    <definedName name="L_KEYWORD_ISSR_208010809_OTHER_RECEIVABLES">#REF!</definedName>
    <definedName name="L_KEYWORD_ISSR_208010809_OTHER_REVENUE">#REF!</definedName>
    <definedName name="L_KEYWORD_ISSR_208010809_PERIOD_MILESTONE">#REF!</definedName>
    <definedName name="L_KEYWORD_ISSR_208010809_PERSONNEL">#REF!</definedName>
    <definedName name="L_KEYWORD_ISSR_208010809_PL_BTAX_ON_AB">#REF!</definedName>
    <definedName name="L_KEYWORD_ISSR_208010809_PL_SALE_ASSETS">#REF!</definedName>
    <definedName name="L_KEYWORD_ISSR_208010809_PLANT_EQUIP">#REF!</definedName>
    <definedName name="L_KEYWORD_ISSR_208010809_PREF_SH">#REF!</definedName>
    <definedName name="L_KEYWORD_ISSR_208010809_PROCEEDS_BORROWINGS">#REF!</definedName>
    <definedName name="L_KEYWORD_ISSR_208010809_PROCEEDS_NCASSET">#REF!</definedName>
    <definedName name="L_KEYWORD_ISSR_208010809_PROCEEDS_PURCH_OPER_BUS">#REF!</definedName>
    <definedName name="L_KEYWORD_ISSR_208010809_PROCEEDS_SALE_EQUITY_INV">#REF!</definedName>
    <definedName name="L_KEYWORD_ISSR_208010809_PROCEEDS_SALE_OPER_BUS">#REF!</definedName>
    <definedName name="L_KEYWORD_ISSR_208010809_PROFIT_DEFBEN_PLAN_POST_TAX">#REF!</definedName>
    <definedName name="L_KEYWORD_ISSR_208010809_PROFIT_DEFBEN_PLAN_PRE_TAX">#REF!</definedName>
    <definedName name="L_KEYWORD_ISSR_208010809_PROFIT_ON_DISP">#REF!</definedName>
    <definedName name="L_KEYWORD_ISSR_208010809_PROVISIONS">#REF!</definedName>
    <definedName name="L_KEYWORD_ISSR_208010809_PT_PROF">#REF!</definedName>
    <definedName name="L_KEYWORD_ISSR_208010809_PURCH_EQUITY_INVESTS">#REF!</definedName>
    <definedName name="L_KEYWORD_ISSR_208010809_R_AND_D_CAP">#REF!</definedName>
    <definedName name="L_KEYWORD_ISSR_208010809_RD_EXP">#REF!</definedName>
    <definedName name="L_KEYWORD_ISSR_208010809_REPAY_BORROWINGS">#REF!</definedName>
    <definedName name="L_KEYWORD_ISSR_208010809_RESERVES">#REF!</definedName>
    <definedName name="L_KEYWORD_ISSR_208010809_RETAIN_PROFIT_LOSS">#REF!</definedName>
    <definedName name="L_KEYWORD_ISSR_208010809_SALE_PROP_PLANT_EQUIP">#REF!</definedName>
    <definedName name="L_KEYWORD_ISSR_208010809_SALES">#REF!</definedName>
    <definedName name="L_KEYWORD_ISSR_208010809_SALES_AUSTRA">#REF!</definedName>
    <definedName name="L_KEYWORD_ISSR_208010809_SALES_BRAZIL">#REF!</definedName>
    <definedName name="L_KEYWORD_ISSR_208010809_SALES_CEE">#REF!</definedName>
    <definedName name="L_KEYWORD_ISSR_208010809_SALES_CEMENT">#REF!</definedName>
    <definedName name="L_KEYWORD_ISSR_208010809_SALES_CHINA">#REF!</definedName>
    <definedName name="L_KEYWORD_ISSR_208010809_SALES_CONS">#REF!</definedName>
    <definedName name="L_KEYWORD_ISSR_208010809_SALES_EU_EX_UK">#REF!</definedName>
    <definedName name="L_KEYWORD_ISSR_208010809_SALES_FINAN">#REF!</definedName>
    <definedName name="L_KEYWORD_ISSR_208010809_SALES_FX_AUD">#REF!</definedName>
    <definedName name="L_KEYWORD_ISSR_208010809_SALES_FX_BRL">#REF!</definedName>
    <definedName name="L_KEYWORD_ISSR_208010809_SALES_FX_CNY">#REF!</definedName>
    <definedName name="L_KEYWORD_ISSR_208010809_SALES_FX_EUR">#REF!</definedName>
    <definedName name="L_KEYWORD_ISSR_208010809_SALES_FX_GPB">#REF!</definedName>
    <definedName name="L_KEYWORD_ISSR_208010809_SALES_FX_INR">#REF!</definedName>
    <definedName name="L_KEYWORD_ISSR_208010809_SALES_FX_NZD">#REF!</definedName>
    <definedName name="L_KEYWORD_ISSR_208010809_SALES_FX_OTH">#REF!</definedName>
    <definedName name="L_KEYWORD_ISSR_208010809_SALES_FX_RUB">#REF!</definedName>
    <definedName name="L_KEYWORD_ISSR_208010809_SALES_FX_USD">#REF!</definedName>
    <definedName name="L_KEYWORD_ISSR_208010809_SALES_FX_YEN">#REF!</definedName>
    <definedName name="L_KEYWORD_ISSR_208010809_SALES_GLASS">#REF!</definedName>
    <definedName name="L_KEYWORD_ISSR_208010809_SALES_GOV">#REF!</definedName>
    <definedName name="L_KEYWORD_ISSR_208010809_SALES_IND">#REF!</definedName>
    <definedName name="L_KEYWORD_ISSR_208010809_SALES_INDIA">#REF!</definedName>
    <definedName name="L_KEYWORD_ISSR_208010809_SALES_JAPAN">#REF!</definedName>
    <definedName name="L_KEYWORD_ISSR_208010809_SALES_LUMBER">#REF!</definedName>
    <definedName name="L_KEYWORD_ISSR_208010809_SALES_ME">#REF!</definedName>
    <definedName name="L_KEYWORD_ISSR_208010809_SALES_NZ">#REF!</definedName>
    <definedName name="L_KEYWORD_ISSR_208010809_SALES_OIL_PETRO_FUEL">#REF!</definedName>
    <definedName name="L_KEYWORD_ISSR_208010809_SALES_OTH_AEJ">#REF!</definedName>
    <definedName name="L_KEYWORD_ISSR_208010809_SALES_OTH_AM">#REF!</definedName>
    <definedName name="L_KEYWORD_ISSR_208010809_SALES_OTH_COMMODITY">#REF!</definedName>
    <definedName name="L_KEYWORD_ISSR_208010809_SALES_OTH_EMEA">#REF!</definedName>
    <definedName name="L_KEYWORD_ISSR_208010809_SALES_OTH_SALES_SOURCES">#REF!</definedName>
    <definedName name="L_KEYWORD_ISSR_208010809_SALES_OTHER">#REF!</definedName>
    <definedName name="L_KEYWORD_ISSR_208010809_SALES_PAPER_PULP">#REF!</definedName>
    <definedName name="L_KEYWORD_ISSR_208010809_SALES_RUSSIA">#REF!</definedName>
    <definedName name="L_KEYWORD_ISSR_208010809_SALES_STEEL">#REF!</definedName>
    <definedName name="L_KEYWORD_ISSR_208010809_SALES_TOBACCO_LEAF">#REF!</definedName>
    <definedName name="L_KEYWORD_ISSR_208010809_SALES_TOT_AFRICA">#REF!</definedName>
    <definedName name="L_KEYWORD_ISSR_208010809_SALES_TOT_AM">#REF!</definedName>
    <definedName name="L_KEYWORD_ISSR_208010809_SALES_TOT_ASIA">#REF!</definedName>
    <definedName name="L_KEYWORD_ISSR_208010809_SALES_TOT_EMEA">#REF!</definedName>
    <definedName name="L_KEYWORD_ISSR_208010809_SALES_UK">#REF!</definedName>
    <definedName name="L_KEYWORD_ISSR_208010809_SALES_US">#REF!</definedName>
    <definedName name="L_KEYWORD_ISSR_208010809_SEL_GL_AD">#REF!</definedName>
    <definedName name="L_KEYWORD_ISSR_208010809_SEL_GL_AD_OTHER">#REF!</definedName>
    <definedName name="L_KEYWORD_ISSR_208010809_SH_REPUR">#REF!</definedName>
    <definedName name="L_KEYWORD_ISSR_208010809_SHARE_BASED_PAYMENTS">#REF!</definedName>
    <definedName name="L_KEYWORD_ISSR_208010809_SHORT_T_DEBT">#REF!</definedName>
    <definedName name="L_KEYWORD_ISSR_208010809_SHORT_TERM_LIABS">#REF!</definedName>
    <definedName name="L_KEYWORD_ISSR_208010809_STOCKS">#REF!</definedName>
    <definedName name="L_KEYWORD_ISSR_208010809_SUPPLIER_EMPLOYEE_PAYS">#REF!</definedName>
    <definedName name="L_KEYWORD_ISSR_208010809_TOT_ASSET">#REF!</definedName>
    <definedName name="L_KEYWORD_ISSR_208010809_TOT_CF">#REF!</definedName>
    <definedName name="L_KEYWORD_ISSR_208010809_TOT_LIAB">#REF!</definedName>
    <definedName name="L_KEYWORD_ISSR_208010809_TOT_LIAB_EQ">#REF!</definedName>
    <definedName name="L_KEYWORD_ISSR_208010809_TOT_LT_LIAB">#REF!</definedName>
    <definedName name="L_KEYWORD_ISSR_208010809_TOT_OPS_EXP">#REF!</definedName>
    <definedName name="L_KEYWORD_ISSR_208010809_TOT_OPS_EXP_DDA">#REF!</definedName>
    <definedName name="L_KEYWORD_ISSR_208010809_TOTAL_CAPITAL_EMPLOYED_ADJ">#REF!</definedName>
    <definedName name="L_KEYWORD_ISSR_208010809_TOTAL_DEPREC_AMORT">#REF!</definedName>
    <definedName name="L_KEYWORD_ISSR_208010809_TOTAL_IFRS_ADJUST_PRE_TAX">#REF!</definedName>
    <definedName name="L_KEYWORD_ISSR_208010809_TOTAL_NONCURR_ASSETS">#REF!</definedName>
    <definedName name="L_KEYWORD_ISSR_208010809_TOTAL_OPR_REVENUE">#REF!</definedName>
    <definedName name="L_KEYWORD_ISSR_208010809_TV_LICENCES_MASTERHEADS">#REF!</definedName>
    <definedName name="L_KEYWORD_ISSR_208010809_UNF_PENS">#REF!</definedName>
    <definedName name="L_KEYWORD_ISSR_208010809_UNF_PENS_LIAB_OTH">#REF!</definedName>
    <definedName name="L_KEYWORD_ISSR_208010809_UNF_PENS_OFF">#REF!</definedName>
    <definedName name="L_KEYWORD_ISSR_208010809_WORK_CAP">#REF!</definedName>
    <definedName name="L_LIVEDATA_EQTY_200014091">#REF!</definedName>
    <definedName name="L_LIVEDATA_ISSR_208010809">#REF!</definedName>
    <definedName name="L_PERIOD_2014">#REF!</definedName>
    <definedName name="L_PERIOD_2015">#REF!</definedName>
    <definedName name="L_PERIOD_2016">#REF!</definedName>
    <definedName name="L_PERIOD_2017">#REF!</definedName>
    <definedName name="L_SECTION_EQTY_200014091_1314">#REF!</definedName>
    <definedName name="L_SECTION_EQTY_200014091_1316A">#REF!</definedName>
    <definedName name="L_SECTION_EQTY_200014091_1316B">#REF!</definedName>
    <definedName name="L_SECTION_EQTY_200014091_1316C">#REF!</definedName>
    <definedName name="L_SECTION_EQTY_200014091_1316D">#REF!</definedName>
    <definedName name="L_SECTION_EQTY_200014091_1316E">#REF!</definedName>
    <definedName name="L_SECTION_EQTY_200014091_131E">#REF!</definedName>
    <definedName name="L_SECTION_EQTY_200014091_131O">#REF!</definedName>
    <definedName name="L_SECTION_EQTY_200014091_13A">#REF!</definedName>
    <definedName name="L_SECTION_EQTY_200014091_13K">#REF!</definedName>
    <definedName name="L_SECTION_EQTY_200014091_13U">#REF!</definedName>
    <definedName name="L_SECTION_EQTY_200014091_13V">#REF!</definedName>
    <definedName name="L_SECTION_EQTY_200014091_Reference_Data">#REF!</definedName>
    <definedName name="L_SECTION_ISSR_208010809_1314">#REF!</definedName>
    <definedName name="L_SECTION_ISSR_208010809_13168">#REF!</definedName>
    <definedName name="L_SECTION_ISSR_208010809_1316B">#REF!</definedName>
    <definedName name="L_SECTION_ISSR_208010809_1316C">#REF!</definedName>
    <definedName name="L_SECTION_ISSR_208010809_1316D">#REF!</definedName>
    <definedName name="L_SECTION_ISSR_208010809_1316E">#REF!</definedName>
    <definedName name="L_SECTION_ISSR_208010809_1316S">#REF!</definedName>
    <definedName name="L_SECTION_ISSR_208010809_1316T">#REF!</definedName>
    <definedName name="L_SECTION_ISSR_208010809_1316U">#REF!</definedName>
    <definedName name="L_SECTION_ISSR_208010809_1319">#REF!</definedName>
    <definedName name="L_SECTION_ISSR_208010809_131E">#REF!</definedName>
    <definedName name="L_SECTION_ISSR_208010809_131J">#REF!</definedName>
    <definedName name="L_SECTION_ISSR_208010809_131O">#REF!</definedName>
    <definedName name="L_SECTION_ISSR_208010809_13U">#REF!</definedName>
    <definedName name="L_SECTION_ISSR_208010809_13V">#REF!</definedName>
    <definedName name="L_SECTION_ISSR_208010809_Reference_Data">#REF!</definedName>
    <definedName name="Labour_Costs">Divisionals!#REF!</definedName>
    <definedName name="LBD">#REF!</definedName>
    <definedName name="Lease">#REF!</definedName>
    <definedName name="Lease_Exp" localSheetId="12">#REF!</definedName>
    <definedName name="Lease_Exp">'Additional Detail'!$74:$74</definedName>
    <definedName name="Lease_liabilities">#REF!</definedName>
    <definedName name="Lease_liabilities_current">#REF!</definedName>
    <definedName name="Lease_liabilities_non_current">#REF!</definedName>
    <definedName name="Leisure_EBIT">MODEL!#REF!</definedName>
    <definedName name="Leisure_EBIT_Margin">Divisionals!$294:$294</definedName>
    <definedName name="Leisure_EBITDA_Margin">Divisionals!$305:$305</definedName>
    <definedName name="Leisure_EBITMargin" localSheetId="19">#REF!</definedName>
    <definedName name="Leisure_EBITMargin">Divisionals!#REF!</definedName>
    <definedName name="Leisure_Gross_Margin">Divisionals!$273:$273</definedName>
    <definedName name="Leisure_LFLSales">Divisionals!$266:$266</definedName>
    <definedName name="Leisure_Sales">MODEL!#REF!</definedName>
    <definedName name="Leisure_stores" localSheetId="1">#REF!</definedName>
    <definedName name="Leisure_stores" localSheetId="19">#REF!</definedName>
    <definedName name="Leisure_stores">Divisionals!#REF!</definedName>
    <definedName name="Leisure_Total_EBITDA">Divisionals!$304:$304</definedName>
    <definedName name="Leisure_Total_Sales">Divisionals!$264:$264</definedName>
    <definedName name="LFL_Sales_Growth_Auto">Divisionals!$70:$70</definedName>
    <definedName name="ListOffset" hidden="1">1</definedName>
    <definedName name="ll9y" hidden="1">{#N/A,#N/A,FALSE,"FAB VENDORS";"BUD SUM",#N/A,FALSE,"BUD SUM WO TEX"}</definedName>
    <definedName name="Local_debt">'Additional Detail'!$92:$92</definedName>
    <definedName name="Local_Debt_Hedged">'Additional Detail'!$93:$93</definedName>
    <definedName name="Long_Service_Leave_Provision">#REF!</definedName>
    <definedName name="Long_Term_Recommendation">#REF!</definedName>
    <definedName name="main_baseyr">#REF!</definedName>
    <definedName name="maintenance" localSheetId="5">#REF!</definedName>
    <definedName name="maintenance">MODEL!$113:$113</definedName>
    <definedName name="Maintenance_capex" localSheetId="5">#REF!</definedName>
    <definedName name="Maintenance_capex">#REF!</definedName>
    <definedName name="Marginal_tax_rate">#REF!</definedName>
    <definedName name="Marketing_costs" localSheetId="5">#REF!</definedName>
    <definedName name="Marketing_costs">#REF!</definedName>
    <definedName name="MarketPrice">#REF!</definedName>
    <definedName name="MCAPEX_01" localSheetId="1">#REF!</definedName>
    <definedName name="MCAPEX_01" localSheetId="12">#REF!</definedName>
    <definedName name="MCAPEX_01">#REF!</definedName>
    <definedName name="Mi">#REF!</definedName>
    <definedName name="minorities" localSheetId="5">#REF!</definedName>
    <definedName name="Minorities">MODEL!$42:$42</definedName>
    <definedName name="minorities_interest">#REF!</definedName>
    <definedName name="Minorities_profit" localSheetId="5">#REF!</definedName>
    <definedName name="Minorities_profit">#REF!</definedName>
    <definedName name="minority">#REF!</definedName>
    <definedName name="Minority_Interest" localSheetId="5">#REF!</definedName>
    <definedName name="Minority_Interest">#REF!</definedName>
    <definedName name="Minority_interests" localSheetId="5">#REF!</definedName>
    <definedName name="Minority_interests">MODEL!$188:$188</definedName>
    <definedName name="minorityinterestsebit">#REF!</definedName>
    <definedName name="mkmk" hidden="1">{"IS",#N/A,FALSE,"IS";"RPTIS",#N/A,FALSE,"RPTIS";"STATS",#N/A,FALSE,"STATS";"CELL",#N/A,FALSE,"CELL";"BS",#N/A,FALSE,"BS"}</definedName>
    <definedName name="Mkt_DEqty" localSheetId="1">#REF!</definedName>
    <definedName name="Mkt_DEqty" localSheetId="12">#REF!</definedName>
    <definedName name="Mkt_DEqty">#REF!</definedName>
    <definedName name="mktImpute" localSheetId="1">#REF!</definedName>
    <definedName name="mktImpute" localSheetId="12">#REF!</definedName>
    <definedName name="mktImpute">#REF!</definedName>
    <definedName name="Model" localSheetId="19">#REF!</definedName>
    <definedName name="model" localSheetId="5">#REF!</definedName>
    <definedName name="model" localSheetId="12">#REF!</definedName>
    <definedName name="Model">MODEL!$1:$1048576</definedName>
    <definedName name="Model_Interest_expense">MODEL!$135:$135</definedName>
    <definedName name="mpercent">#REF!</definedName>
    <definedName name="MSCIWD_12m">#REF!</definedName>
    <definedName name="MSCIWD_1m">#REF!</definedName>
    <definedName name="MSCIWD_3M">#REF!</definedName>
    <definedName name="myDialog">"dial"</definedName>
    <definedName name="NA">"NA "</definedName>
    <definedName name="NA_Grant">#REF!</definedName>
    <definedName name="name">#REF!</definedName>
    <definedName name="NBD">#REF!</definedName>
    <definedName name="NCASSET_RECEIVABLES">#REF!</definedName>
    <definedName name="ndebt_98">#REF!</definedName>
    <definedName name="net_amortised_intangibles" localSheetId="5">#REF!</definedName>
    <definedName name="Net_Amortised_Intangibles">#REF!</definedName>
    <definedName name="Net_debt">MODEL!$132:$132</definedName>
    <definedName name="Net_debt_at_year_end">'Additional Detail'!$46:$46</definedName>
    <definedName name="Net_Debt1999">#REF!</definedName>
    <definedName name="Net_Debt2000">#REF!</definedName>
    <definedName name="Net_Debt2001">#REF!</definedName>
    <definedName name="Net_Debt2002">#REF!</definedName>
    <definedName name="Net_Debt2003">#REF!</definedName>
    <definedName name="Net_earned_premiums">#REF!</definedName>
    <definedName name="Net_financing_cashflow">#REF!</definedName>
    <definedName name="Net_goodwill" localSheetId="5">#REF!</definedName>
    <definedName name="Net_goodwill">#REF!</definedName>
    <definedName name="Net_interest_expense" localSheetId="5">#REF!</definedName>
    <definedName name="Net_interest_expense">MODEL!$37:$37</definedName>
    <definedName name="Net_Interest_Inc_Exp1999">#REF!</definedName>
    <definedName name="Net_Interest_Inc_Exp2000">#REF!</definedName>
    <definedName name="Net_Interest_Inc_Exp2001">#REF!</definedName>
    <definedName name="Net_Interest_Inc_Exp2002">#REF!</definedName>
    <definedName name="Net_Interest_Inc_Exp2003">#REF!</definedName>
    <definedName name="Net_Interest_Just">#REF!</definedName>
    <definedName name="Net_interest_paid" localSheetId="5">#REF!</definedName>
    <definedName name="Net_interest_paid">#REF!</definedName>
    <definedName name="Net_investing_cashflow">#REF!</definedName>
    <definedName name="Net_Investment_in_Inventory">MODEL!#REF!</definedName>
    <definedName name="Net_Op_CF">MODEL!$111:$111</definedName>
    <definedName name="Net_operating_cashflow" localSheetId="5">#REF!</definedName>
    <definedName name="Net_operating_cashflow">#REF!</definedName>
    <definedName name="Net_Opr_Cash_Flows1999">#REF!</definedName>
    <definedName name="Net_Opr_Cash_Flows2000">#REF!</definedName>
    <definedName name="Net_Other_Income">#REF!</definedName>
    <definedName name="Net_other_intangibles">#REF!</definedName>
    <definedName name="Net_plant___equipment" localSheetId="5">#REF!</definedName>
    <definedName name="Net_plant___equipment">MODEL!$157:$157</definedName>
    <definedName name="net_ppe" localSheetId="5">#REF!</definedName>
    <definedName name="Net_ppe">#REF!</definedName>
    <definedName name="Net_property_plant_equipment">#REF!</definedName>
    <definedName name="Net_Rent" localSheetId="5">#REF!</definedName>
    <definedName name="Net_Rent">#REF!</definedName>
    <definedName name="netdebt">#REF!</definedName>
    <definedName name="NetFinCF">MODEL!$127:$127</definedName>
    <definedName name="netgoodwill">#REF!</definedName>
    <definedName name="netinterestexpense">#REF!</definedName>
    <definedName name="netinterestpaid">#REF!</definedName>
    <definedName name="NetInvCF">MODEL!$118:$118</definedName>
    <definedName name="netprofitafterNRI">#REF!</definedName>
    <definedName name="New_Stores">Divisionals!$66:$66</definedName>
    <definedName name="newbel" hidden="1">{"IS",#N/A,FALSE,"IS";"RPTIS",#N/A,FALSE,"RPTIS";"STATS",#N/A,FALSE,"STATS";"CELL",#N/A,FALSE,"CELL";"BS",#N/A,FALSE,"BS"}</definedName>
    <definedName name="NFCF">#REF!</definedName>
    <definedName name="NICHOLE" hidden="1">{#N/A,#N/A,FALSE,"Total";#N/A,#N/A,FALSE,"Sew";#N/A,#N/A,FALSE,"Finish";#N/A,#N/A,FALSE,"CUT";#N/A,#N/A,FALSE,"Mill 5";#N/A,#N/A,FALSE,"Mill 6";#N/A,#N/A,FALSE,"Mill 8";#N/A,#N/A,FALSE,"Mill 9";#N/A,#N/A,FALSE,"Mill 10";#N/A,#N/A,FALSE,"Mill 12";#N/A,#N/A,FALSE,"Mill 15";#N/A,#N/A,FALSE,"Mill 17"}</definedName>
    <definedName name="NM">"NM  "</definedName>
    <definedName name="nn" hidden="1">{#N/A,#N/A,FALSE,"Sheet1";#N/A,#N/A,FALSE,"Sheet2";#N/A,#N/A,FALSE,"Sheet3";#N/A,#N/A,FALSE,"Sheet4";#N/A,#N/A,FALSE,"Sheet5";#N/A,#N/A,FALSE,"Sheet6"}</definedName>
    <definedName name="nnn">#REF!</definedName>
    <definedName name="No_Shares">#REF!</definedName>
    <definedName name="NOCF">#REF!</definedName>
    <definedName name="non_current_ass_inventories">#REF!</definedName>
    <definedName name="non_current_borrowings" localSheetId="5">#REF!</definedName>
    <definedName name="Non_current_borrowings">#REF!</definedName>
    <definedName name="Non_current_inventories" localSheetId="5">#REF!</definedName>
    <definedName name="Non_current_inventories">#REF!</definedName>
    <definedName name="Non_current_provisions" localSheetId="5">#REF!</definedName>
    <definedName name="Non_current_provisions">#REF!</definedName>
    <definedName name="Non_current_receivables" localSheetId="5">#REF!</definedName>
    <definedName name="Non_current_receivables">#REF!</definedName>
    <definedName name="noncurrentL_provisions">#REF!</definedName>
    <definedName name="noncurrliabotherliab">#REF!</definedName>
    <definedName name="nonrecurringaftertax">#REF!</definedName>
    <definedName name="NOPAT_01" localSheetId="1">#REF!</definedName>
    <definedName name="NOPAT_01" localSheetId="12">#REF!</definedName>
    <definedName name="NOPAT_01">#REF!</definedName>
    <definedName name="NOPAT1999">#REF!</definedName>
    <definedName name="NOPAT2000">#REF!</definedName>
    <definedName name="NOPAT2001">#REF!</definedName>
    <definedName name="NOPAT2002">#REF!</definedName>
    <definedName name="NOPAT2003">#REF!</definedName>
    <definedName name="Note" hidden="1">#REF!</definedName>
    <definedName name="NPAT" localSheetId="5">#REF!</definedName>
    <definedName name="NPAT">MODEL!$43:$43</definedName>
    <definedName name="npat_96">#REF!</definedName>
    <definedName name="npat_97">#REF!</definedName>
    <definedName name="npat_98">#REF!</definedName>
    <definedName name="npat_99">#REF!</definedName>
    <definedName name="NPAT_Just">#REF!</definedName>
    <definedName name="NPAT_post_NRIs">MODEL!$51:$51</definedName>
    <definedName name="NPAT_REP" localSheetId="5">#REF!</definedName>
    <definedName name="NPAT_REP">#REF!</definedName>
    <definedName name="NPV">#REF!</definedName>
    <definedName name="npvbc">#REF!</definedName>
    <definedName name="NTA" localSheetId="5">#REF!</definedName>
    <definedName name="NTA">MODEL!#REF!</definedName>
    <definedName name="NTA_per_share" localSheetId="5">#REF!</definedName>
    <definedName name="NTA_per_share">#REF!</definedName>
    <definedName name="Nta_Per_Share1999">#REF!</definedName>
    <definedName name="Nta_Per_Share2000">#REF!</definedName>
    <definedName name="Nta_Per_Share2001">#REF!</definedName>
    <definedName name="Nta_Per_Share2002">#REF!</definedName>
    <definedName name="Nta_Per_Share2003">#REF!</definedName>
    <definedName name="NZEBIT">#REF!</definedName>
    <definedName name="NZSales">#REF!</definedName>
    <definedName name="NZX50_12M">#REF!</definedName>
    <definedName name="NZX50_1m">#REF!</definedName>
    <definedName name="NZX50_3M">#REF!</definedName>
    <definedName name="ooooooooooooooo">#REF!</definedName>
    <definedName name="ooooooooooooooooooo">#REF!</definedName>
    <definedName name="op_prof">#REF!</definedName>
    <definedName name="Oper_Profit">#REF!</definedName>
    <definedName name="operatingEBIT">#REF!</definedName>
    <definedName name="options_av_price">#REF!</definedName>
    <definedName name="Options_in_the_money" localSheetId="5">#REF!</definedName>
    <definedName name="Options_in_the_money">#REF!</definedName>
    <definedName name="options_no_conv">#REF!</definedName>
    <definedName name="Ord_Shares_Issued1999">#REF!</definedName>
    <definedName name="Ord_Shares_Issued2000">#REF!</definedName>
    <definedName name="Ord_Shares_Issued2001">#REF!</definedName>
    <definedName name="Ord_Shares_Issued2002">#REF!</definedName>
    <definedName name="Ord_Shares_Issued2003">#REF!</definedName>
    <definedName name="osh_cagr">#REF!</definedName>
    <definedName name="OTH_CUR_ASS">#REF!</definedName>
    <definedName name="OTH_DEV_ASIA">#REF!</definedName>
    <definedName name="Oth_GCI_Adj">#REF!</definedName>
    <definedName name="Other_101999">#REF!</definedName>
    <definedName name="Other_102000">#REF!</definedName>
    <definedName name="Other_102001">#REF!</definedName>
    <definedName name="Other_102002">#REF!</definedName>
    <definedName name="Other_102003">#REF!</definedName>
    <definedName name="Other_41999">#REF!</definedName>
    <definedName name="Other_42000">#REF!</definedName>
    <definedName name="Other_42001">#REF!</definedName>
    <definedName name="Other_42002">#REF!</definedName>
    <definedName name="Other_42003">#REF!</definedName>
    <definedName name="Other_91999">#REF!</definedName>
    <definedName name="Other_92000">#REF!</definedName>
    <definedName name="Other_92001">#REF!</definedName>
    <definedName name="Other_92002">#REF!</definedName>
    <definedName name="Other_92003">#REF!</definedName>
    <definedName name="other_creditors" localSheetId="5">#REF!</definedName>
    <definedName name="Other_creditors" localSheetId="12">#REF!</definedName>
    <definedName name="Other_Creditors">MODEL!#REF!</definedName>
    <definedName name="Other_current">MODEL!$153:$153</definedName>
    <definedName name="Other_current_assets" localSheetId="5">#REF!</definedName>
    <definedName name="Other_current_assets">#REF!</definedName>
    <definedName name="Other_current_liabilities" localSheetId="5">#REF!</definedName>
    <definedName name="Other_current_liabilities">#REF!</definedName>
    <definedName name="Other_DACF_Adj">#REF!</definedName>
    <definedName name="Other_Expenses" localSheetId="5">#REF!</definedName>
    <definedName name="Other_Expenses">Divisionals!#REF!</definedName>
    <definedName name="Other_financial_assets_current">#REF!</definedName>
    <definedName name="Other_financing" localSheetId="5">#REF!</definedName>
    <definedName name="Other_financing">MODEL!$126:$126</definedName>
    <definedName name="Other_financing_cashflow">#REF!</definedName>
    <definedName name="Other_Income">Divisionals!#REF!</definedName>
    <definedName name="Other_inflows" localSheetId="5">#REF!</definedName>
    <definedName name="Other_inflows">#REF!</definedName>
    <definedName name="Other_intangibles" localSheetId="5">#REF!</definedName>
    <definedName name="Other_intangibles" localSheetId="12">#REF!</definedName>
    <definedName name="Other_Intangibles">MODEL!$159:$159</definedName>
    <definedName name="Other_investing" localSheetId="5">#REF!</definedName>
    <definedName name="Other_investing">MODEL!$117:$117</definedName>
    <definedName name="Other_investing_cashflows" localSheetId="5">#REF!</definedName>
    <definedName name="Other_investing_cashflows">#REF!</definedName>
    <definedName name="Other_liabilities_current" localSheetId="5">#REF!</definedName>
    <definedName name="Other_Liabilities_current">MODEL!$172:$172</definedName>
    <definedName name="Other_liabilities_non_current" localSheetId="5">#REF!</definedName>
    <definedName name="Other_Liabilities_non_current">MODEL!$179:$179</definedName>
    <definedName name="Other_Net_Expenses">#REF!</definedName>
    <definedName name="Other_non_current" localSheetId="5">#REF!</definedName>
    <definedName name="Other_non_current">MODEL!$162:$162</definedName>
    <definedName name="Other_non_current_assets" localSheetId="5">#REF!</definedName>
    <definedName name="Other_non_current_assets">#REF!</definedName>
    <definedName name="Other_non_current_liabilities" localSheetId="5">#REF!</definedName>
    <definedName name="Other_non_current_liabilities">#REF!</definedName>
    <definedName name="Other_non_Op_inc.1999">#REF!</definedName>
    <definedName name="Other_non_Op_inc.2000">#REF!</definedName>
    <definedName name="Other_non_Op_inc.2001">#REF!</definedName>
    <definedName name="Other_non_Op_inc.2002">#REF!</definedName>
    <definedName name="Other_non_Op_inc.2003">#REF!</definedName>
    <definedName name="Other_operating_expenses">#REF!</definedName>
    <definedName name="other_receivables" localSheetId="5">#REF!</definedName>
    <definedName name="Other_receivables">#REF!</definedName>
    <definedName name="Other_Revenue">#REF!</definedName>
    <definedName name="Other_working_capital_adjustment">#REF!</definedName>
    <definedName name="othercurrent_liabilities">#REF!</definedName>
    <definedName name="otherinvestingCF">#REF!</definedName>
    <definedName name="Out">#REF!</definedName>
    <definedName name="Output_WACC">IF(#REF!=TRUE,#REF!,#REF!)</definedName>
    <definedName name="Outside_Eqty_In_Oppl1999">#REF!</definedName>
    <definedName name="Outside_Eqty_In_Oppl2000">#REF!</definedName>
    <definedName name="Outside_Eqty_In_Oppl2001">#REF!</definedName>
    <definedName name="Outside_Eqty_In_Oppl2002">#REF!</definedName>
    <definedName name="Outside_Eqty_In_Oppl2003">#REF!</definedName>
    <definedName name="Outside_Equity1999">#REF!</definedName>
    <definedName name="Outside_Equity2000">#REF!</definedName>
    <definedName name="Outside_Equity2001">#REF!</definedName>
    <definedName name="Outside_Equity2002">#REF!</definedName>
    <definedName name="Outside_Equity2003">#REF!</definedName>
    <definedName name="past_90">#REF!</definedName>
    <definedName name="Payout_ratio">MODEL!$54:$54</definedName>
    <definedName name="PDIT" localSheetId="5">#REF!</definedName>
    <definedName name="PDIT">#REF!</definedName>
    <definedName name="Pension_Plan_Assets" localSheetId="5">#REF!</definedName>
    <definedName name="Pension_Plan_Assets">#REF!</definedName>
    <definedName name="Pension_Plan_Liabilities" localSheetId="5">#REF!</definedName>
    <definedName name="Pension_Plan_Liabilities">#REF!</definedName>
    <definedName name="pension_plan_noncurrass">#REF!</definedName>
    <definedName name="PeterA_EBITA">#REF!</definedName>
    <definedName name="PeterA_Sales">#REF!</definedName>
    <definedName name="PeterA_Stores" localSheetId="5">#REF!</definedName>
    <definedName name="PeterA_Stores">#REF!</definedName>
    <definedName name="pj" hidden="1">{#N/A,#N/A,FALSE,"Sheet1";#N/A,#N/A,FALSE,"Sheet2";#N/A,#N/A,FALSE,"Sheet3";#N/A,#N/A,FALSE,"Sheet4";#N/A,#N/A,FALSE,"Sheet5";#N/A,#N/A,FALSE,"Sheet6"}</definedName>
    <definedName name="PL_19">#REF!</definedName>
    <definedName name="PL_1997">#REF!</definedName>
    <definedName name="PL_1998">#REF!</definedName>
    <definedName name="PL_1999">#REF!</definedName>
    <definedName name="PL_2001">Divisionals!#REF!</definedName>
    <definedName name="PL_2002">Divisionals!#REF!</definedName>
    <definedName name="PL_2003">Divisionals!#REF!</definedName>
    <definedName name="PL_2004">Divisionals!#REF!</definedName>
    <definedName name="PL_2005">Divisionals!#REF!</definedName>
    <definedName name="PL_2006">Divisionals!#REF!</definedName>
    <definedName name="PL_2006H1">Divisionals!#REF!</definedName>
    <definedName name="PL_2006H2">Divisionals!#REF!</definedName>
    <definedName name="PL_2007">Divisionals!#REF!</definedName>
    <definedName name="PL_2007H1">Divisionals!#REF!</definedName>
    <definedName name="PL_2007H2">Divisionals!#REF!</definedName>
    <definedName name="PL_2008">Divisionals!#REF!</definedName>
    <definedName name="PL_2008H1">Divisionals!#REF!</definedName>
    <definedName name="PL_2008H2">Divisionals!#REF!</definedName>
    <definedName name="PL_2009">Divisionals!#REF!</definedName>
    <definedName name="PL_2009H1" localSheetId="12">#REF!</definedName>
    <definedName name="PL_2009H1">Divisionals!#REF!</definedName>
    <definedName name="PL_2009H2">Divisionals!#REF!</definedName>
    <definedName name="PL_2010">Divisionals!#REF!</definedName>
    <definedName name="PL_2010H1" localSheetId="12">#REF!</definedName>
    <definedName name="PL_2010H1">Divisionals!#REF!</definedName>
    <definedName name="PL_2010H2">Divisionals!#REF!</definedName>
    <definedName name="PL_2011">Divisionals!#REF!</definedName>
    <definedName name="PL_2011H1" localSheetId="12">#REF!</definedName>
    <definedName name="PL_2011H1">Divisionals!#REF!</definedName>
    <definedName name="PL_2011H2">Divisionals!#REF!</definedName>
    <definedName name="PL_2012">Divisionals!#REF!</definedName>
    <definedName name="PL_2012H1" localSheetId="12">#REF!</definedName>
    <definedName name="PL_2012H1">Divisionals!#REF!</definedName>
    <definedName name="PL_2012H2">Divisionals!#REF!</definedName>
    <definedName name="PL_2013">Divisionals!#REF!</definedName>
    <definedName name="PL_2013H1" localSheetId="12">#REF!</definedName>
    <definedName name="PL_2013H1">Divisionals!#REF!</definedName>
    <definedName name="PL_2013H2">Divisionals!#REF!</definedName>
    <definedName name="PL_2014">Divisionals!#REF!</definedName>
    <definedName name="PL_2014H1" localSheetId="12">#REF!</definedName>
    <definedName name="PL_2014H1">Divisionals!#REF!</definedName>
    <definedName name="PL_2015">Divisionals!#REF!</definedName>
    <definedName name="PL_2015H1" localSheetId="12">#REF!</definedName>
    <definedName name="PL_2015H1">Divisionals!#REF!</definedName>
    <definedName name="PL_2015H2">Divisionals!#REF!</definedName>
    <definedName name="PL_2016" localSheetId="12">#REF!</definedName>
    <definedName name="PL_2016">Divisionals!#REF!</definedName>
    <definedName name="PL_2016H1" localSheetId="12">#REF!</definedName>
    <definedName name="PL_2016H1">Divisionals!#REF!</definedName>
    <definedName name="PL_2016H2">Divisionals!#REF!</definedName>
    <definedName name="PL_2017">Divisionals!$E:$E</definedName>
    <definedName name="PL_2018">Divisionals!$H:$H</definedName>
    <definedName name="PL_2019">Divisionals!$K:$K</definedName>
    <definedName name="PL_2020">Divisionals!$N:$N</definedName>
    <definedName name="PL_2021">Divisionals!$Q:$Q</definedName>
    <definedName name="PL_2022" localSheetId="1">#REF!</definedName>
    <definedName name="PL_2022">Divisionals!$T:$T</definedName>
    <definedName name="PL_2023" localSheetId="1">#REF!</definedName>
    <definedName name="PL_2023">Divisionals!$W:$W</definedName>
    <definedName name="PL_2024" localSheetId="1">#REF!</definedName>
    <definedName name="PL_2024">Divisionals!$Z:$Z</definedName>
    <definedName name="Pl_Atax_On_Ab1999">#REF!</definedName>
    <definedName name="Pl_Atax_On_Ab2000">#REF!</definedName>
    <definedName name="Pl_Atax_On_Ab2001">#REF!</definedName>
    <definedName name="Pl_Atax_On_Ab2002">#REF!</definedName>
    <definedName name="Pl_Atax_On_Ab2003">#REF!</definedName>
    <definedName name="PL_Capex">Divisionals!#REF!</definedName>
    <definedName name="PL_D_and_A">Divisionals!#REF!</definedName>
    <definedName name="PL_EBIT" localSheetId="1">#REF!</definedName>
    <definedName name="PL_EBIT" localSheetId="19">#REF!</definedName>
    <definedName name="PL_EBIT">Divisionals!#REF!</definedName>
    <definedName name="Pofit_adj_for_EPS" localSheetId="5">#REF!</definedName>
    <definedName name="Pofit_adj_for_EPS">#REF!</definedName>
    <definedName name="POOLING">#REF!</definedName>
    <definedName name="Portmans_EBITA">#REF!</definedName>
    <definedName name="Portmans_Sales">#REF!</definedName>
    <definedName name="Portmans_Stores" localSheetId="5">#REF!</definedName>
    <definedName name="Portmans_Stores">#REF!</definedName>
    <definedName name="PPE" localSheetId="5">#REF!</definedName>
    <definedName name="PPE">MODEL!#REF!</definedName>
    <definedName name="PPE_LEASE">'PPE &amp; Leases'!$A:$DI</definedName>
    <definedName name="ppp" hidden="1">{#N/A,#N/A,FALSE,"FAB VENDORS";"BUD SUM",#N/A,FALSE,"BUD SUM WO TEX"}</definedName>
    <definedName name="pre_tax_profit" localSheetId="5">#REF!</definedName>
    <definedName name="Pre_tax_profit" localSheetId="12">#REF!</definedName>
    <definedName name="Pre_tax_profit">MODEL!$39:$39</definedName>
    <definedName name="Pref_Conv_Oth_Capital1999">#REF!</definedName>
    <definedName name="Pref_Conv_Oth_Capital2000">#REF!</definedName>
    <definedName name="Pref_Conv_Oth_Capital2001">#REF!</definedName>
    <definedName name="Pref_Conv_Oth_Capital2002">#REF!</definedName>
    <definedName name="Pref_Conv_Oth_Capital2003">#REF!</definedName>
    <definedName name="PREF_DIV" localSheetId="5">#REF!</definedName>
    <definedName name="PREF_DIV">#REF!</definedName>
    <definedName name="Pref_Dividends_Prov1999">#REF!</definedName>
    <definedName name="Pref_Dividends_Prov2000">#REF!</definedName>
    <definedName name="Pref_Dividends_Prov2001">#REF!</definedName>
    <definedName name="Pref_Dividends_Prov2002">#REF!</definedName>
    <definedName name="Pref_Dividends_Prov2003">#REF!</definedName>
    <definedName name="PREF_SH" localSheetId="5">#REF!</definedName>
    <definedName name="PREF_SH">#REF!</definedName>
    <definedName name="Prepayments_and_Other_Receivables_current">#REF!</definedName>
    <definedName name="PreTaxNRIs">MODEL!$48:$48</definedName>
    <definedName name="Price">#REF!</definedName>
    <definedName name="Price_Target">#REF!</definedName>
    <definedName name="_xlnm.Print_Area" localSheetId="7">Divisionals!$C$2:$E$450</definedName>
    <definedName name="_xlnm.Print_Area" localSheetId="6">MODEL!$B$2:$E$190</definedName>
    <definedName name="_xlnm.Print_Area">#REF!,#REF!,#REF!,#REF!,#REF!,#REF!,#REF!,#REF!,#REF!,#REF!</definedName>
    <definedName name="_xlnm.Print_Titles" localSheetId="7">Divisionals!$B:$B,Divisionals!$3:$3</definedName>
    <definedName name="_xlnm.Print_Titles" localSheetId="6">MODEL!$B:$B,MODEL!$2:$3</definedName>
    <definedName name="_xlnm.Print_Titles">#REF!,#REF!</definedName>
    <definedName name="Proceeds_Share_Issues1999">#REF!</definedName>
    <definedName name="Proceeds_Share_Issues2000">#REF!</definedName>
    <definedName name="Proceeds_Share_Issues2001">#REF!</definedName>
    <definedName name="Proceeds_Share_Issues2002">#REF!</definedName>
    <definedName name="Proceeds_Share_Issues2003">#REF!</definedName>
    <definedName name="prod_96">#REF!</definedName>
    <definedName name="prod_97">#REF!</definedName>
    <definedName name="prod_98">#REF!</definedName>
    <definedName name="prod_99">#REF!</definedName>
    <definedName name="Prof_Adjust_Eps1999">#REF!</definedName>
    <definedName name="Prof_Adjust_Eps2000">#REF!</definedName>
    <definedName name="Prof_Adjust_Eps2001">#REF!</definedName>
    <definedName name="Prof_Adjust_Eps2002">#REF!</definedName>
    <definedName name="Prof_Adjust_Eps2003">#REF!</definedName>
    <definedName name="Prof_JBW">#REF!</definedName>
    <definedName name="Profit_loss_on_asset_sales" localSheetId="5">#REF!</definedName>
    <definedName name="Profit_loss_on_asset_sales">MODEL!$108:$108</definedName>
    <definedName name="profitlossassetsales">#REF!</definedName>
    <definedName name="Provisions">MODEL!$171:$171</definedName>
    <definedName name="Provisions_current" localSheetId="5">#REF!</definedName>
    <definedName name="Provisions_current">MODEL!$131:$131</definedName>
    <definedName name="provisions_general">#REF!</definedName>
    <definedName name="Provisions_non_current" localSheetId="5">#REF!</definedName>
    <definedName name="Provisions_non_current">MODEL!$149:$149</definedName>
    <definedName name="provisions_specific">#REF!</definedName>
    <definedName name="Provisions1999">#REF!</definedName>
    <definedName name="Provisions2000">#REF!</definedName>
    <definedName name="Provisions2001">#REF!</definedName>
    <definedName name="Provisions2002">#REF!</definedName>
    <definedName name="Provisions2003">#REF!</definedName>
    <definedName name="Purch_Prop_Plant_Expan1999">#REF!</definedName>
    <definedName name="Purch_Prop_Plant_Expan2000">#REF!</definedName>
    <definedName name="Purch_Prop_Plant_Expan2001">#REF!</definedName>
    <definedName name="Purch_Prop_Plant_Expan2002">#REF!</definedName>
    <definedName name="Purch_Prop_Plant_Expan2003">#REF!</definedName>
    <definedName name="Purch_Prop_Plant_Maint1999">#REF!</definedName>
    <definedName name="Purch_Prop_Plant_Maint2000">#REF!</definedName>
    <definedName name="Purch_Prop_Plant_Maint2001">#REF!</definedName>
    <definedName name="Purch_Prop_Plant_Maint2002">#REF!</definedName>
    <definedName name="Purch_Prop_Plant_Maint2003">#REF!</definedName>
    <definedName name="PVCF" localSheetId="1">#REF!</definedName>
    <definedName name="PVCF" localSheetId="12">#REF!</definedName>
    <definedName name="PVCF">#REF!</definedName>
    <definedName name="PYR">"JANUARY 3, 1998"</definedName>
    <definedName name="q2we" hidden="1">{#N/A,#N/A,FALSE,"SUMMARY";#N/A,#N/A,FALSE,"DETAIL";#N/A,#N/A,FALSE,"VARIANCE"}</definedName>
    <definedName name="qq">#REF!</definedName>
    <definedName name="qqqqqqqqqq">#REF!</definedName>
    <definedName name="quant_label">#REF!</definedName>
    <definedName name="Quarter">#REF!</definedName>
    <definedName name="qwe" hidden="1">{#N/A,#N/A,FALSE,"FAB VENDORS";"BUD SUM",#N/A,FALSE,"BUD SUM WO TEX"}</definedName>
    <definedName name="qwer" hidden="1">{#N/A,#N/A,FALSE,"Barranca"}</definedName>
    <definedName name="R_">#REF!</definedName>
    <definedName name="Rays_EBIT" localSheetId="1">#REF!</definedName>
    <definedName name="Rays_EBIT" localSheetId="19">#REF!</definedName>
    <definedName name="Rays_EBIT">Divisionals!#REF!</definedName>
    <definedName name="Rays_Expenses" localSheetId="1">#REF!</definedName>
    <definedName name="Rays_Expenses" localSheetId="19">#REF!</definedName>
    <definedName name="Rays_Expenses">Divisionals!#REF!</definedName>
    <definedName name="Rays_GP" localSheetId="1">#REF!</definedName>
    <definedName name="Rays_GP" localSheetId="19">#REF!</definedName>
    <definedName name="Rays_GP">Divisionals!#REF!</definedName>
    <definedName name="Rays_Sales">Divisionals!$205:$205</definedName>
    <definedName name="Rays_Stores">Divisionals!$233:$233</definedName>
    <definedName name="Rebate_expenses">#REF!</definedName>
    <definedName name="recap_dividend">"Picture 69"</definedName>
    <definedName name="recap_repurchase">"Picture 64"</definedName>
    <definedName name="recoveries">#REF!</definedName>
    <definedName name="Rent_Costs" localSheetId="1">#REF!</definedName>
    <definedName name="Rent_Costs" localSheetId="19">#REF!</definedName>
    <definedName name="Rent_Costs">Divisionals!#REF!</definedName>
    <definedName name="Rent_Expense" localSheetId="12">#REF!</definedName>
    <definedName name="Rent_Expense">Divisionals!#REF!</definedName>
    <definedName name="ReportGroup" hidden="1">0</definedName>
    <definedName name="reserves" localSheetId="5">#REF!</definedName>
    <definedName name="Reserves">MODEL!$186:$186</definedName>
    <definedName name="ret">#REF!</definedName>
    <definedName name="Retain_Profit_Loss1999">#REF!</definedName>
    <definedName name="Retain_Profit_Loss2000">#REF!</definedName>
    <definedName name="Retain_Profit_Loss2001">#REF!</definedName>
    <definedName name="Retain_Profit_Loss2002">#REF!</definedName>
    <definedName name="Retain_Profit_Loss2003">#REF!</definedName>
    <definedName name="Retained_Profits">MODEL!$187:$187</definedName>
    <definedName name="retainedprofits">#REF!</definedName>
    <definedName name="Risk_Premium" localSheetId="1">#REF!</definedName>
    <definedName name="Risk_Premium" localSheetId="12">#REF!</definedName>
    <definedName name="Risk_Premium">#REF!</definedName>
    <definedName name="risked_upside">#REF!</definedName>
    <definedName name="ROA">MODEL!#REF!</definedName>
    <definedName name="ROCE_01" localSheetId="1">#REF!</definedName>
    <definedName name="ROCE_01" localSheetId="12">#REF!</definedName>
    <definedName name="ROCE_01">#REF!</definedName>
    <definedName name="ROCE1999">#REF!</definedName>
    <definedName name="ROCE2000">#REF!</definedName>
    <definedName name="ROCE2001">#REF!</definedName>
    <definedName name="ROCE2002">#REF!</definedName>
    <definedName name="ROCE2003">#REF!</definedName>
    <definedName name="ROE" localSheetId="5">#REF!</definedName>
    <definedName name="ROE">MODEL!#REF!</definedName>
    <definedName name="ROE_03_AMP">#REF!</definedName>
    <definedName name="ROE_03_AXA">#REF!</definedName>
    <definedName name="ROE_03_NRM">#REF!</definedName>
    <definedName name="ROE_03_QBE">#REF!</definedName>
    <definedName name="ROE_03_TWR">#REF!</definedName>
    <definedName name="ROFE">MODEL!#REF!</definedName>
    <definedName name="Row_Number">#REF!</definedName>
    <definedName name="RWA">#REF!</definedName>
    <definedName name="RWA_credit">#REF!</definedName>
    <definedName name="Rwvu.Full_Year." hidden="1">#REF!,#REF!,#REF!</definedName>
    <definedName name="Rwvu.Half._.year._.forecast." localSheetId="6" hidden="1">MODEL!#REF!,MODEL!#REF!,MODEL!#REF!,MODEL!#REF!</definedName>
    <definedName name="Rwvu.Printout." localSheetId="6" hidden="1">MODEL!#REF!,MODEL!#REF!,MODEL!#REF!,MODEL!#REF!,MODEL!#REF!,MODEL!#REF!</definedName>
    <definedName name="sales_96">#REF!</definedName>
    <definedName name="sales_97">#REF!</definedName>
    <definedName name="sales_98">#REF!</definedName>
    <definedName name="sales_99">#REF!</definedName>
    <definedName name="sales_AU">#REF!</definedName>
    <definedName name="sales_customer">#REF!</definedName>
    <definedName name="Sales_Growth">MODEL!$7:$7</definedName>
    <definedName name="sales_industry">#REF!</definedName>
    <definedName name="sales_NZ">#REF!</definedName>
    <definedName name="Sales_Revenue1999">#REF!</definedName>
    <definedName name="Sales_Revenue2000">#REF!</definedName>
    <definedName name="Sales_Revenue2001">#REF!</definedName>
    <definedName name="Sales_Revenue2003">#REF!</definedName>
    <definedName name="SCA_Avg_Sales_Store">Divisionals!$56:$56</definedName>
    <definedName name="SCA_EBIT" localSheetId="1">#REF!</definedName>
    <definedName name="SCA_EBIT" localSheetId="19">#REF!</definedName>
    <definedName name="SCA_EBIT">Divisionals!$90:$90</definedName>
    <definedName name="SCA_Expenses">Divisionals!$78:$78</definedName>
    <definedName name="SCA_Sales">Divisionals!$63:$63</definedName>
    <definedName name="Scatter_Data_1">"$F$4:$N$5"</definedName>
    <definedName name="Scatter_Data_2">"$F$4:$N$5"</definedName>
    <definedName name="Scatter_Data_3">"$F$4:$N$5"</definedName>
    <definedName name="Scatter_Data_4">"$F$4:$N$5"</definedName>
    <definedName name="Scatter_Data_5">"$L$10:$O$103"</definedName>
    <definedName name="Scatter_Data_6">"$L$10:$O$103"</definedName>
    <definedName name="Scatter_Data_7">"$F$4:$N$5"</definedName>
    <definedName name="Scenario">#REF!</definedName>
    <definedName name="ScenName">#REF!</definedName>
    <definedName name="sdf" hidden="1">{#N/A,#N/A,FALSE,"FAB VENDORS";"BUD SUM",#N/A,FALSE,"BUD SUM WO TEX"}</definedName>
    <definedName name="Segment" localSheetId="5">#REF!</definedName>
    <definedName name="Segment">#REF!</definedName>
    <definedName name="Selling_costs" localSheetId="5">#REF!</definedName>
    <definedName name="Selling_costs">#REF!</definedName>
    <definedName name="sencount" hidden="1">1</definedName>
    <definedName name="Sensitivities.UpdateSensitivities">#REF!</definedName>
    <definedName name="Set">" "</definedName>
    <definedName name="SGA" localSheetId="5">#REF!</definedName>
    <definedName name="SGA" localSheetId="12">#REF!</definedName>
    <definedName name="SGA">'Additional Detail'!$69:$69</definedName>
    <definedName name="SGA_ROW">'Additional Detail'!$88:$88</definedName>
    <definedName name="SGA_US">'Additional Detail'!$87:$87</definedName>
    <definedName name="SGARA">#REF!</definedName>
    <definedName name="SGsales">#REF!</definedName>
    <definedName name="Sh">#REF!</definedName>
    <definedName name="share_cap">#REF!</definedName>
    <definedName name="Share_Capital">MODEL!$185:$185</definedName>
    <definedName name="Share_Of_Assoc_Earns1999">#REF!</definedName>
    <definedName name="Share_Of_Assoc_Earns2000">#REF!</definedName>
    <definedName name="Share_Of_Assoc_Earns2001">#REF!</definedName>
    <definedName name="Share_Of_Assoc_Earns2002">#REF!</definedName>
    <definedName name="Share_Of_Assoc_Earns2003">#REF!</definedName>
    <definedName name="Share_price">#REF!</definedName>
    <definedName name="Shares_closing">#REF!</definedName>
    <definedName name="Shares_issued" localSheetId="5">#REF!</definedName>
    <definedName name="Shares_issued">#REF!</definedName>
    <definedName name="Shares_Out">#REF!</definedName>
    <definedName name="shares_outstanding" localSheetId="5">#REF!</definedName>
    <definedName name="shares_outstanding">#REF!</definedName>
    <definedName name="sharesissued">#REF!</definedName>
    <definedName name="SHF_investments">#REF!</definedName>
    <definedName name="Smiggle_EBITA">#REF!</definedName>
    <definedName name="Smiggle_Sales">#REF!</definedName>
    <definedName name="Smiggle_Stores" localSheetId="5">#REF!</definedName>
    <definedName name="Smiggle_Stores">#REF!</definedName>
    <definedName name="Smiggle_Stores_Ire">#REF!</definedName>
    <definedName name="Smiggle_Tot_Sales">#REF!</definedName>
    <definedName name="solver_lin" hidden="1">0</definedName>
    <definedName name="solver_num" hidden="1">0</definedName>
    <definedName name="solver_typ" hidden="1">3</definedName>
    <definedName name="solver_val" hidden="1">0.1076</definedName>
    <definedName name="Special_DPS" localSheetId="5">#REF!</definedName>
    <definedName name="Special_DPS">#REF!</definedName>
    <definedName name="spercent">#REF!</definedName>
    <definedName name="Sporting_EBIT">MODEL!#REF!</definedName>
    <definedName name="Sporting_EBIT_Margin">Divisionals!$412:$412</definedName>
    <definedName name="Sporting_EBITMargin" localSheetId="19">#REF!</definedName>
    <definedName name="Sporting_EBITMargin">Divisionals!#REF!</definedName>
    <definedName name="Sporting_Sales">MODEL!#REF!</definedName>
    <definedName name="Sports_EBIT">Divisionals!$410:$410</definedName>
    <definedName name="Sports_EBITDA_Margin">Divisionals!$426:$426</definedName>
    <definedName name="Sports_Gross_Margin">Divisionals!$358:$358</definedName>
    <definedName name="Sports_LFL_Sales_Growth">Divisionals!$353:$353</definedName>
    <definedName name="Sports_Stores">Divisionals!$344:$344</definedName>
    <definedName name="Sports_Total_EBITDA">Divisionals!$425:$425</definedName>
    <definedName name="SPREAD_01" localSheetId="1">#REF!</definedName>
    <definedName name="SPREAD_01" localSheetId="12">#REF!</definedName>
    <definedName name="SPREAD_01">#REF!</definedName>
    <definedName name="SpreadsheetBuilder_2" hidden="1">#REF!</definedName>
    <definedName name="SSS_BCF">Divisionals!$154:$154</definedName>
    <definedName name="SSS_Goldcross">Divisionals!$121:$121</definedName>
    <definedName name="SSS_Rays" localSheetId="1">#REF!</definedName>
    <definedName name="SSS_Rays" localSheetId="19">#REF!</definedName>
    <definedName name="SSS_Rays">Divisionals!#REF!</definedName>
    <definedName name="staff">#REF!</definedName>
    <definedName name="Stock_Code" localSheetId="1">#REF!</definedName>
    <definedName name="Stock_Code" localSheetId="12">#REF!</definedName>
    <definedName name="Stock_Code">#REF!</definedName>
    <definedName name="STOCK_PRICE" localSheetId="1">#REF!</definedName>
    <definedName name="STOCK_PRICE" localSheetId="12">#REF!</definedName>
    <definedName name="STOCK_PRICE">#REF!</definedName>
    <definedName name="Stock_Turn">Divisionals!#REF!</definedName>
    <definedName name="Stores_Total_Amart">Divisionals!$347:$347</definedName>
    <definedName name="Stores_Total_Rebel">Divisionals!$346:$346</definedName>
    <definedName name="Stores_Total_WorkoutWorld">Divisionals!$328:$328</definedName>
    <definedName name="sug_10">#REF!</definedName>
    <definedName name="sug_11">#REF!</definedName>
    <definedName name="sug_12">#REF!</definedName>
    <definedName name="sug_13">#REF!</definedName>
    <definedName name="sug_14">#REF!</definedName>
    <definedName name="sug_15">#REF!</definedName>
    <definedName name="sug_16">#REF!</definedName>
    <definedName name="sug_17">#REF!</definedName>
    <definedName name="sug_2">#REF!</definedName>
    <definedName name="sug_3">#REF!</definedName>
    <definedName name="sug_4">#REF!</definedName>
    <definedName name="sug_5">#REF!</definedName>
    <definedName name="sug_6">#REF!</definedName>
    <definedName name="sug_7">#REF!</definedName>
    <definedName name="sug_8">#REF!</definedName>
    <definedName name="sug_9">#REF!</definedName>
    <definedName name="Swvu.Half._.year._.forecast." localSheetId="6" hidden="1">MODEL!#REF!</definedName>
    <definedName name="Swvu.Printout." localSheetId="6" hidden="1">MODEL!#REF!</definedName>
    <definedName name="TableNames" localSheetId="5">#REF!,#REF!</definedName>
    <definedName name="TableNames">#REF!,#REF!</definedName>
    <definedName name="TableTypes" localSheetId="5">#REF!,#REF!</definedName>
    <definedName name="TableTypes">#REF!,#REF!</definedName>
    <definedName name="TAX" localSheetId="5">#REF!</definedName>
    <definedName name="TAX">#REF!</definedName>
    <definedName name="tax_expense" localSheetId="5">#REF!</definedName>
    <definedName name="tax_expense">MODEL!$41:$41</definedName>
    <definedName name="Tax_paid">MODEL!$107:$107</definedName>
    <definedName name="TaxOnNRIs">MODEL!$49:$49</definedName>
    <definedName name="taxpaid">#REF!</definedName>
    <definedName name="taxratepreamort">#REF!</definedName>
    <definedName name="TCA">#REF!</definedName>
    <definedName name="test" hidden="1">{"IS",#N/A,FALSE,"IS";"RPTIS",#N/A,FALSE,"RPTIS";"STATS",#N/A,FALSE,"STATS";"CELL",#N/A,FALSE,"CELL";"BS",#N/A,FALSE,"BS"}</definedName>
    <definedName name="TestAdd">"Test RefersTo1"</definedName>
    <definedName name="TgtMTR">#REF!</definedName>
    <definedName name="Tier_1_hybrids">#REF!</definedName>
    <definedName name="tier_1_ratio">#REF!</definedName>
    <definedName name="Tigr_Exhibit01a27c68_de77_4365_bd3a_f82ac8c02f78" hidden="1">#REF!</definedName>
    <definedName name="Tigr_Exhibit11db4a1f_a563_4106_a874_ea08c1619312" hidden="1">#REF!</definedName>
    <definedName name="Tigr_Exhibit13afabc9_384a_4798_ae55_ccbcf2a8ea61" hidden="1">#REF!</definedName>
    <definedName name="Tigr_Exhibit16fe32ee_14fc_42f4_9ff0_f99bda7ad1bf" hidden="1">#REF!</definedName>
    <definedName name="Tigr_Exhibit197f3a91_70e3_4562_9b88_868a53f0ba99" localSheetId="5" hidden="1">#REF!</definedName>
    <definedName name="Tigr_Exhibit197f3a91_70e3_4562_9b88_868a53f0ba99" hidden="1">#REF!</definedName>
    <definedName name="Tigr_Exhibit1b322ae8_82be_42ba_889c_ff9cd13438b4" hidden="1">#REF!</definedName>
    <definedName name="Tigr_Exhibit1b388514_7e40_4991_99fb_8728cc55dac1" hidden="1">#REF!</definedName>
    <definedName name="Tigr_Exhibit2073d25e_7ba5_4e06_beae_e1562cbb1685" hidden="1">#REF!</definedName>
    <definedName name="Tigr_Exhibit2129acb3_b49f_45ff_9009_712da683c640" hidden="1">#REF!</definedName>
    <definedName name="Tigr_Exhibit216ee8e4_b557_4c36_9e0d_050f931823ab" localSheetId="1" hidden="1">#REF!</definedName>
    <definedName name="Tigr_Exhibit216ee8e4_b557_4c36_9e0d_050f931823ab" hidden="1">#REF!</definedName>
    <definedName name="Tigr_Exhibit21c90858_1c7f_4b93_b08c_65096be4d5ed" hidden="1">#REF!</definedName>
    <definedName name="Tigr_Exhibit24a4b3fe_0f43_415e_9cf3_a099f65a2437" hidden="1">#REF!</definedName>
    <definedName name="Tigr_Exhibit255b0ee1_37df_4e7b_afe7_41049d143bc7" hidden="1">#REF!</definedName>
    <definedName name="Tigr_Exhibit265f0927_13d5_4558_8dab_858bca91a62b" hidden="1">#REF!</definedName>
    <definedName name="Tigr_Exhibit27b02905_c8e2_4151_bdd1_cd23d6485d03" hidden="1">#REF!</definedName>
    <definedName name="Tigr_Exhibit28cdbd5b_4fb6_427f_8093_a14512ace83d" hidden="1">#REF!</definedName>
    <definedName name="Tigr_Exhibit2b578562_4ad2_422d_8b6c_52df936cda00" hidden="1">#REF!</definedName>
    <definedName name="Tigr_Exhibit2f89263b_8bc5_4efe_bf00_2dbb23ad9d9a" hidden="1">#REF!</definedName>
    <definedName name="Tigr_Exhibit3183e599_94f2_441f_bb30_7f1408f99f47" localSheetId="1" hidden="1">#REF!</definedName>
    <definedName name="Tigr_Exhibit3183e599_94f2_441f_bb30_7f1408f99f47" hidden="1">#REF!</definedName>
    <definedName name="Tigr_Exhibit57432f2c_0053_4673_b740_9940057ea497" hidden="1">#REF!</definedName>
    <definedName name="Tigr_Exhibit5ad699c0_339a_4b95_8368_c6b7083b3ed0" hidden="1">#REF!</definedName>
    <definedName name="Tigr_Exhibit5c2897fb_dc1e_47b6_ad34_f662ac0fbe59" hidden="1">#REF!</definedName>
    <definedName name="Tigr_Exhibit5f8d45b4_4af4_4533_a4f4_9cf08d3f4c3b" hidden="1">#REF!</definedName>
    <definedName name="Tigr_Exhibit648ee1c3_6766_4463_af36_204b86c518cc" hidden="1">#REF!</definedName>
    <definedName name="Tigr_Exhibit65ea88df_284b_4203_82c5_b8ca6d49f8e2" hidden="1">#REF!</definedName>
    <definedName name="Tigr_Exhibit68282cd3_87ce_455a_9f13_21f29ea61874" localSheetId="1" hidden="1">#REF!</definedName>
    <definedName name="Tigr_Exhibit68282cd3_87ce_455a_9f13_21f29ea61874" hidden="1">#REF!</definedName>
    <definedName name="Tigr_Exhibit6cc3b297_d82d_422b_ba5f_593719531731" hidden="1">#REF!</definedName>
    <definedName name="Tigr_Exhibit720e43f3_cdfe_4173_9472_d351a1dd2ff8" hidden="1">#REF!</definedName>
    <definedName name="Tigr_Exhibit7d10ce13_55f3_47ad_9e36_2e72a2fed1b9" hidden="1">#REF!</definedName>
    <definedName name="Tigr_Exhibit7fba98d5_b5e0_474b_b51a_17e2b7f69435" hidden="1">#REF!</definedName>
    <definedName name="Tigr_Exhibit832e97c0_6db0_48c3_a987_8e3af060e8d0" hidden="1">#REF!</definedName>
    <definedName name="Tigr_Exhibit8575640f_c447_419f_a681_fde1a4ec594e" hidden="1">#REF!</definedName>
    <definedName name="Tigr_Exhibit907894da_4d3b_4a2f_8044_6546ab046393" hidden="1">#REF!</definedName>
    <definedName name="Tigr_Exhibit9a00f476_9331_4932_ae49_5a4c458a5032" hidden="1">#REF!</definedName>
    <definedName name="Tigr_Exhibit9ba36f31_d1cd_4009_9c6e_05fa205f90ed" hidden="1">#REF!</definedName>
    <definedName name="Tigr_Exhibita0b00ce4_a6bd_4c04_89f2_e6f8b0b8b18e" localSheetId="1" hidden="1">#REF!</definedName>
    <definedName name="Tigr_Exhibita0b00ce4_a6bd_4c04_89f2_e6f8b0b8b18e" hidden="1">#REF!</definedName>
    <definedName name="Tigr_Exhibita1a50345_1b1a_494e_b56e_676859eb33a4" hidden="1">#REF!</definedName>
    <definedName name="Tigr_Exhibita4db7dc2_eabe_4f57_a1be_87ff3af75a61" hidden="1">#REF!</definedName>
    <definedName name="Tigr_Exhibitadf7dc3a_3f49_4065_8866_f0912d0858b4" hidden="1">#REF!</definedName>
    <definedName name="Tigr_Exhibitae672d12_aeb8_4f73_a3d8_ab95b107928e" hidden="1">#REF!</definedName>
    <definedName name="Tigr_Exhibitb0ab45d5_3506_4f30_be63_d018cc60afdb" hidden="1">#REF!</definedName>
    <definedName name="Tigr_Exhibitb0db4c08_79bb_4205_b55f_b7d6d40645d4" hidden="1">#REF!</definedName>
    <definedName name="Tigr_Exhibitb33a401f_07fb_4448_ac4d_82f7aec2c6f6" hidden="1">#REF!</definedName>
    <definedName name="Tigr_Exhibitb397ddec_6207_4ebf_884e_c48b19a7aa8d" localSheetId="5" hidden="1">#REF!</definedName>
    <definedName name="Tigr_Exhibitb397ddec_6207_4ebf_884e_c48b19a7aa8d" hidden="1">#REF!</definedName>
    <definedName name="Tigr_Exhibitbb313c8d_8a17_4899_a8b3_f089a0d75d77" hidden="1">#REF!</definedName>
    <definedName name="Tigr_Exhibitbc96bf48_55d8_4b55_8b00_c5398065f2c4" hidden="1">#REF!</definedName>
    <definedName name="Tigr_Exhibitbe30b791_50a3_447d_847d_5f0b76269208" hidden="1">#REF!</definedName>
    <definedName name="Tigr_Exhibitc48e599e_cae8_4a82_9bfc_2c7130c25535" hidden="1">#REF!</definedName>
    <definedName name="Tigr_Exhibitc5330433_f425_4de5_95b4_4dc9fda90853" hidden="1">#REF!</definedName>
    <definedName name="Tigr_Exhibitc6771bf1_9f40_47a5_a24a_8a39f4fff9f5" hidden="1">#REF!</definedName>
    <definedName name="Tigr_Exhibitcb16795e_2ce0_4658_95c8_c6c8e7ef70be" hidden="1">#REF!</definedName>
    <definedName name="Tigr_Exhibitd8caacc8_650a_4e7d_919e_07e9362720d8" hidden="1">#REF!</definedName>
    <definedName name="Tigr_Exhibitd9273a96_96ad_4b88_a1a8_75f1086350fb" hidden="1">#REF!</definedName>
    <definedName name="Tigr_Exhibitda237f7e_20a0_48fb_b19b_f105accf8cc6" hidden="1">#REF!</definedName>
    <definedName name="Tigr_Exhibitda488f62_a632_475b_b428_0e1ead8edbe5" hidden="1">#REF!</definedName>
    <definedName name="Tigr_Exhibitda499627_1dae_40ad_97bf_afae25140ece" hidden="1">#REF!</definedName>
    <definedName name="Tigr_Exhibitdaa5d2ed_0aae_45c7_be91_ac671a7a56c6" localSheetId="1" hidden="1">#REF!</definedName>
    <definedName name="Tigr_Exhibitdaa5d2ed_0aae_45c7_be91_ac671a7a56c6" hidden="1">#REF!</definedName>
    <definedName name="Tigr_Exhibitdbc12a37_6050_4ed0_87b4_e6c13e5544bd" hidden="1">#REF!</definedName>
    <definedName name="Tigr_Exhibitdd3bf925_a58e_4e6c_8e9a_fcc6a4e9c3f7" hidden="1">#REF!</definedName>
    <definedName name="Tigr_Exhibitdfd36512_f6ad_4847_88fa_cab2f9f3f6b5" hidden="1">#REF!</definedName>
    <definedName name="Tigr_Exhibite0d7e504_a9de_4aea_ac35_3fec14af9b37" hidden="1">#REF!</definedName>
    <definedName name="Tigr_Exhibite7d49488_a742_469f_bb1c_87a25d16e366" hidden="1">#REF!</definedName>
    <definedName name="Tigr_Exhibite94a7947_37b8_43fd_a5a6_163d3e5f163e" localSheetId="1" hidden="1">#REF!</definedName>
    <definedName name="Tigr_Exhibite94a7947_37b8_43fd_a5a6_163d3e5f163e" hidden="1">#REF!</definedName>
    <definedName name="Tigr_Exhibiteab46478_5c47_4e84_94af_d65ddd573a64" hidden="1">#REF!</definedName>
    <definedName name="Tigr_Exhibitebea0aad_b86c_4a12_9d80_6fc56dcaf70a" hidden="1">#REF!</definedName>
    <definedName name="Tigr_Exhibitf02a135e_1390_4005_81c2_6502ba06f413" localSheetId="1" hidden="1">#REF!</definedName>
    <definedName name="Tigr_Exhibitf02a135e_1390_4005_81c2_6502ba06f413" hidden="1">#REF!</definedName>
    <definedName name="Tigr_Exhibitfa40eac5_d899_43bf_92df_e654430d1123" hidden="1">#REF!</definedName>
    <definedName name="Tigr_Exhibitffd11c40_f106_4b90_a2ce_17ed214f3f37" hidden="1">#REF!</definedName>
    <definedName name="Tot_CUR_ASS">#REF!</definedName>
    <definedName name="tot_current_liabilities">#REF!</definedName>
    <definedName name="tot_non_current_liabilities">#REF!</definedName>
    <definedName name="total_assets" localSheetId="5">#REF!</definedName>
    <definedName name="Total_Assets">MODEL!$165:$165</definedName>
    <definedName name="Total_Assets_SCA" localSheetId="19">#REF!</definedName>
    <definedName name="Total_Assets_SCA">Divisionals!#REF!</definedName>
    <definedName name="Total_Assets1999">#REF!</definedName>
    <definedName name="Total_Assets2000">#REF!</definedName>
    <definedName name="Total_Assets2001">#REF!</definedName>
    <definedName name="Total_Assets2002">#REF!</definedName>
    <definedName name="Total_Assets2003">#REF!</definedName>
    <definedName name="Total_capital">#REF!</definedName>
    <definedName name="Total_current_assets">#REF!</definedName>
    <definedName name="Total_current_liabilities">#REF!</definedName>
    <definedName name="Total_EBIT" localSheetId="5">#REF!</definedName>
    <definedName name="Total_EBIT">MODEL!$31:$31</definedName>
    <definedName name="Total_EBITDA">MODEL!$25:$25</definedName>
    <definedName name="total_equity" localSheetId="5">#REF!</definedName>
    <definedName name="Total_equity">MODEL!$189:$189</definedName>
    <definedName name="total_fee">#REF!</definedName>
    <definedName name="total_interest_assets">#REF!</definedName>
    <definedName name="Total_Leisure_stores" localSheetId="1">#REF!</definedName>
    <definedName name="Total_Leisure_stores" localSheetId="19">#REF!</definedName>
    <definedName name="Total_Leisure_stores">Divisionals!#REF!</definedName>
    <definedName name="total_liabilities" localSheetId="5">#REF!</definedName>
    <definedName name="Total_Liabilities">MODEL!$182:$182</definedName>
    <definedName name="Total_Liabilities1999">#REF!</definedName>
    <definedName name="Total_Liabilities2000">#REF!</definedName>
    <definedName name="Total_Liabilities2001">#REF!</definedName>
    <definedName name="Total_Liabilities2002">#REF!</definedName>
    <definedName name="Total_Liabilities2003">#REF!</definedName>
    <definedName name="Total_non_current_liabilities">#REF!</definedName>
    <definedName name="Total_Rev">#REF!</definedName>
    <definedName name="Total_Rev_oldRevDetail">#REF!</definedName>
    <definedName name="Total_Rev_RevDetail">#REF!</definedName>
    <definedName name="total_revenue">#REF!</definedName>
    <definedName name="Total_Revenues">#REF!</definedName>
    <definedName name="Total_Sales" localSheetId="1">#REF!</definedName>
    <definedName name="Total_Sales" localSheetId="19">#REF!</definedName>
    <definedName name="Total_sales" localSheetId="5">#REF!</definedName>
    <definedName name="Total_Sales">MODEL!$6:$6</definedName>
    <definedName name="Total_Sports_Division_Sales">Divisionals!$350:$350</definedName>
    <definedName name="Total_Stores">Divisionals!$67:$67</definedName>
    <definedName name="totaldivpayoutpreford">#REF!</definedName>
    <definedName name="TotCF">MODEL!$129:$129</definedName>
    <definedName name="TotCurrAssets">MODEL!$154:$154</definedName>
    <definedName name="TotCurrLiabs">MODEL!$173:$173</definedName>
    <definedName name="TotNCAssets">MODEL!$163:$163</definedName>
    <definedName name="TotNCLiabs">MODEL!$180:$180</definedName>
    <definedName name="totnonoperating">#REF!</definedName>
    <definedName name="Touchcorp_Operating_costs">#REF!</definedName>
    <definedName name="TPLATE_FUNCS.ValidPeriodFlag">#REF!</definedName>
    <definedName name="TR_Investments">#REF!</definedName>
    <definedName name="trade_creditors" localSheetId="5">#REF!</definedName>
    <definedName name="Trade_Creditors">MODEL!$170:$170</definedName>
    <definedName name="Trade_Debtors">MODEL!$151:$151</definedName>
    <definedName name="TradeCreditor_Days">Divisionals!#REF!</definedName>
    <definedName name="trading_income">#REF!</definedName>
    <definedName name="Transaction_Funding_Costs">#REF!</definedName>
    <definedName name="TrYear">#REF!</definedName>
    <definedName name="tt" hidden="1">{#N/A,#N/A,FALSE,"Sheet1";#N/A,#N/A,FALSE,"Sheet2";#N/A,#N/A,FALSE,"Sheet3";#N/A,#N/A,FALSE,"Sheet4";#N/A,#N/A,FALSE,"Sheet5";#N/A,#N/A,FALSE,"Sheet6"}</definedName>
    <definedName name="ttt" hidden="1">{#N/A,#N/A,FALSE,"Sheet1";#N/A,#N/A,FALSE,"Sheet2";#N/A,#N/A,FALSE,"Sheet3";#N/A,#N/A,FALSE,"Sheet4";#N/A,#N/A,FALSE,"Sheet5";#N/A,#N/A,FALSE,"Sheet6"}</definedName>
    <definedName name="tttt" hidden="1">{#N/A,#N/A,FALSE,"Sheet8";#N/A,#N/A,FALSE,"Sheet7"}</definedName>
    <definedName name="ttttt" hidden="1">{#N/A,#N/A,FALSE,"Sheet1";#N/A,#N/A,FALSE,"Sheet2";#N/A,#N/A,FALSE,"Sheet3";#N/A,#N/A,FALSE,"Sheet4";#N/A,#N/A,FALSE,"Sheet5";#N/A,#N/A,FALSE,"Sheet6"}</definedName>
    <definedName name="UKsales">#REF!</definedName>
    <definedName name="Unallocated_Sales">Divisionals!$437:$437</definedName>
    <definedName name="unamortised_intangibles">#REF!</definedName>
    <definedName name="Underwriting_result">#REF!</definedName>
    <definedName name="Units">#REF!</definedName>
    <definedName name="US_2011" localSheetId="5">#REF!</definedName>
    <definedName name="US_2011">#REF!</definedName>
    <definedName name="US_2012" localSheetId="5">#REF!</definedName>
    <definedName name="US_2012">#REF!</definedName>
    <definedName name="US_2013" localSheetId="5">#REF!</definedName>
    <definedName name="US_2013">#REF!</definedName>
    <definedName name="US_2014" localSheetId="5">#REF!</definedName>
    <definedName name="US_2014">#REF!</definedName>
    <definedName name="US_2015" localSheetId="5">#REF!</definedName>
    <definedName name="US_2015">#REF!</definedName>
    <definedName name="US_2016" localSheetId="5">#REF!</definedName>
    <definedName name="US_2016">#REF!</definedName>
    <definedName name="US_2017" localSheetId="5">#REF!</definedName>
    <definedName name="US_2017">#REF!</definedName>
    <definedName name="US_2018" localSheetId="5">#REF!</definedName>
    <definedName name="US_2018">#REF!</definedName>
    <definedName name="USD_Debt">'Additional Detail'!$90:$90</definedName>
    <definedName name="USD_Debt_Hedged">'Additional Detail'!$91:$91</definedName>
    <definedName name="uuuu" hidden="1">{#N/A,#N/A,FALSE,"Barranca"}</definedName>
    <definedName name="uuuuu" hidden="1">{#N/A,#N/A,FALSE,"Total";#N/A,#N/A,FALSE,"Sew";#N/A,#N/A,FALSE,"Finish";#N/A,#N/A,FALSE,"CUT";#N/A,#N/A,FALSE,"Mill 5";#N/A,#N/A,FALSE,"Mill 6";#N/A,#N/A,FALSE,"Mill 8";#N/A,#N/A,FALSE,"Mill 9";#N/A,#N/A,FALSE,"Mill 10";#N/A,#N/A,FALSE,"Mill 12";#N/A,#N/A,FALSE,"Mill 15";#N/A,#N/A,FALSE,"Mill 17"}</definedName>
    <definedName name="UW_expenses">#REF!</definedName>
    <definedName name="V_ALL_ALU.AX">#REF!</definedName>
    <definedName name="V_ALL_APT.AX">#REF!</definedName>
    <definedName name="V_ALL_CCX.AX">#REF!</definedName>
    <definedName name="V_ALL_KEYWORDS_TYPE_ScalarContributed_EQTY_200004992">#REF!,#REF!,#REF!,#REF!,#REF!,#REF!,#REF!,#REF!,#REF!,#REF!</definedName>
    <definedName name="V_ALL_KEYWORDS_TYPE_ScalarContributed_EQTY_200014045">#REF!,#REF!,#REF!,#REF!,#REF!,#REF!,#REF!,#REF!</definedName>
    <definedName name="V_ALL_KEYWORDS_TYPE_ScalarContributed_EQTY_200014091">#REF!,#REF!,#REF!,#REF!,#REF!,#REF!,#REF!,#REF!</definedName>
    <definedName name="V_ALL_KEYWORDS_TYPE_ScalarContributed_EQTY_200014125" localSheetId="5">#REF!,#REF!,#REF!,#REF!,#REF!,#REF!,#REF!</definedName>
    <definedName name="V_ALL_KEYWORDS_TYPE_ScalarContributed_EQTY_200014125">#REF!,#REF!,#REF!,#REF!,#REF!,#REF!,#REF!</definedName>
    <definedName name="V_ALL_KEYWORDS_TYPE_ScalarContributed_EQTY_200014619">#REF!,#REF!,#REF!,#REF!,#REF!,#REF!,#REF!,#REF!</definedName>
    <definedName name="V_ALL_KEYWORDS_TYPE_ScalarContributed_EQTY_200017878">#REF!,#REF!,#REF!,#REF!,#REF!,#REF!,#REF!</definedName>
    <definedName name="V_ALL_KEYWORDS_TYPE_ScalarContributed_EQTY_200018702">#REF!,#REF!,#REF!,#REF!,#REF!,#REF!,#REF!</definedName>
    <definedName name="V_ALL_KEYWORDS_TYPE_ScalarContributed_EQTY_200019441">#REF!,#REF!,#REF!,#REF!,#REF!,#REF!,#REF!</definedName>
    <definedName name="V_ALL_KEYWORDS_TYPE_ScalarContributed_ISSR_208005563">#REF!,#REF!</definedName>
    <definedName name="V_ALL_KEYWORDS_TYPE_ScalarContributed_ISSR_208010774" localSheetId="5">#REF!,#REF!,#REF!</definedName>
    <definedName name="V_ALL_KEYWORDS_TYPE_ScalarContributed_ISSR_208010774">#REF!,#REF!,#REF!</definedName>
    <definedName name="V_ALL_KEYWORDS_TYPE_ScalarContributed_ISSR_208010809" localSheetId="19">#REF!,#REF!,#REF!</definedName>
    <definedName name="V_ALL_KEYWORDS_TYPE_ScalarContributed_ISSR_208010809">#REF!,#REF!,#REF!</definedName>
    <definedName name="V_ALL_KEYWORDS_TYPE_ScalarContributed_ISSR_208011369">#REF!,#REF!,#REF!</definedName>
    <definedName name="V_ALL_KEYWORDS_TYPE_ScalarContributed_ISSR_208015541">#REF!,#REF!</definedName>
    <definedName name="V_ALL_KEYWORDS_TYPE_ScalarContributed_ISSR_208015712">#REF!,#REF!,#REF!</definedName>
    <definedName name="V_ALL_KEYWORDS_TYPE_ScalarContributed_ISSR_208017888">#REF!,#REF!,#REF!</definedName>
    <definedName name="V_ALL_KEYWORDS_TYPE_ScalarReference_EQTY_200014091">#REF!</definedName>
    <definedName name="V_ALL_KEYWORDS_TYPE_ScalarReference_ISSR_208010809">#REF!</definedName>
    <definedName name="V_ALL_KEYWORDS_TYPE_Vector_EQTY_200004992">#REF!,#REF!,#REF!,#REF!,#REF!,#REF!,#REF!,#REF!,#REF!,#REF!,#REF!,#REF!,#REF!</definedName>
    <definedName name="V_ALL_KEYWORDS_TYPE_Vector_EQTY_200005072">#REF!,#REF!,#REF!,#REF!,#REF!,#REF!,#REF!,#REF!,#REF!,#REF!,#REF!,#REF!,#REF!,#REF!,#REF!,#REF!,#REF!,#REF!,#REF!,#REF!</definedName>
    <definedName name="V_ALL_KEYWORDS_TYPE_Vector_EQTY_200014021" localSheetId="5">#REF!,#REF!,#REF!,#REF!,#REF!,#REF!,#REF!,#REF!,#REF!,#REF!,#REF!,#REF!,#REF!</definedName>
    <definedName name="V_ALL_KEYWORDS_TYPE_Vector_EQTY_200014021">#REF!,#REF!,#REF!,#REF!,#REF!,#REF!,#REF!,#REF!,#REF!,#REF!,#REF!,#REF!,#REF!</definedName>
    <definedName name="V_ALL_KEYWORDS_TYPE_Vector_EQTY_200014091" localSheetId="19">#REF!,#REF!,#REF!,#REF!,#REF!,#REF!,#REF!,#REF!,#REF!,#REF!,#REF!,#REF!,#REF!</definedName>
    <definedName name="V_ALL_KEYWORDS_TYPE_Vector_EQTY_200014091">#REF!,#REF!,#REF!,#REF!,#REF!,#REF!,#REF!,#REF!,#REF!,#REF!,#REF!,#REF!,#REF!</definedName>
    <definedName name="V_ALL_KEYWORDS_TYPE_Vector_EQTY_200014125" localSheetId="5">#REF!,#REF!,#REF!,#REF!,#REF!,#REF!,#REF!,#REF!,#REF!,#REF!,#REF!,#REF!,#REF!</definedName>
    <definedName name="V_ALL_KEYWORDS_TYPE_Vector_EQTY_200014125">#REF!,#REF!,#REF!,#REF!,#REF!,#REF!,#REF!,#REF!,#REF!,#REF!,#REF!,#REF!,#REF!</definedName>
    <definedName name="V_ALL_KEYWORDS_TYPE_Vector_EQTY_200014619">#REF!,#REF!,#REF!,#REF!,#REF!,#REF!,#REF!,#REF!,#REF!,#REF!,#REF!,#REF!,#REF!</definedName>
    <definedName name="V_ALL_KEYWORDS_TYPE_Vector_EQTY_200017878">#REF!,#REF!,#REF!,#REF!,#REF!,#REF!,#REF!,#REF!,#REF!,#REF!,#REF!,#REF!,#REF!</definedName>
    <definedName name="V_ALL_KEYWORDS_TYPE_Vector_EQTY_200018018">#REF!,#REF!,#REF!,#REF!,#REF!,#REF!,#REF!,#REF!,#REF!,#REF!,#REF!,#REF!,#REF!</definedName>
    <definedName name="V_ALL_KEYWORDS_TYPE_Vector_EQTY_200018702">#REF!,#REF!,#REF!,#REF!,#REF!,#REF!,#REF!,#REF!,#REF!,#REF!,#REF!,#REF!,#REF!</definedName>
    <definedName name="V_ALL_KEYWORDS_TYPE_Vector_EQTY_200019441">#REF!,#REF!,#REF!,#REF!,#REF!,#REF!,#REF!,#REF!,#REF!,#REF!,#REF!,#REF!,#REF!</definedName>
    <definedName name="V_ALL_KEYWORDS_TYPE_Vector_ISSR_208005522">#REF!,#REF!,#REF!,#REF!,#REF!,#REF!,#REF!,#REF!,#REF!,#REF!,#REF!,#REF!,#REF!,#REF!,#REF!,#REF!,#REF!,#REF!,#REF!,#REF!,#REF!,#REF!,#REF!,#REF!,#REF!</definedName>
    <definedName name="V_ALL_KEYWORDS_TYPE_Vector_ISSR_208005563">#REF!,#REF!,#REF!,#REF!,#REF!,#REF!,#REF!,#REF!,#REF!,#REF!,#REF!,#REF!,#REF!,#REF!,#REF!,#REF!,#REF!,#REF!,#REF!,#REF!,#REF!,#REF!,#REF!,#REF!,#REF!,#REF!,#REF!,#REF!,#REF!,#REF!,#REF!,#REF!,#REF!,#REF!</definedName>
    <definedName name="V_ALL_KEYWORDS_TYPE_Vector_ISSR_208010774" localSheetId="5">#REF!,#REF!,#REF!,#REF!,#REF!,#REF!,#REF!,#REF!,#REF!,#REF!,#REF!,#REF!,#REF!,#REF!,#REF!,#REF!,#REF!,#REF!,#REF!</definedName>
    <definedName name="V_ALL_KEYWORDS_TYPE_Vector_ISSR_208010774">#REF!,#REF!,#REF!,#REF!,#REF!,#REF!,#REF!,#REF!,#REF!,#REF!,#REF!,#REF!,#REF!,#REF!,#REF!,#REF!,#REF!,#REF!,#REF!</definedName>
    <definedName name="V_ALL_KEYWORDS_TYPE_Vector_ISSR_208010826" localSheetId="5">#REF!,#REF!,#REF!,#REF!,#REF!,#REF!,#REF!,#REF!,#REF!,#REF!,#REF!,#REF!,#REF!,#REF!,#REF!,#REF!,#REF!,#REF!,#REF!,#REF!,#REF!,#REF!,#REF!,#REF!</definedName>
    <definedName name="V_ALL_KEYWORDS_TYPE_Vector_ISSR_208010826">#REF!,#REF!,#REF!,#REF!,#REF!,#REF!,#REF!,#REF!,#REF!,#REF!,#REF!,#REF!,#REF!,#REF!,#REF!,#REF!,#REF!,#REF!,#REF!,#REF!,#REF!,#REF!,#REF!,#REF!</definedName>
    <definedName name="V_ALL_KEYWORDS_TYPE_Vector_ISSR_208011369">#REF!,#REF!,#REF!,#REF!,#REF!,#REF!,#REF!,#REF!,#REF!,#REF!,#REF!,#REF!,#REF!,#REF!,#REF!,#REF!,#REF!,#REF!,#REF!</definedName>
    <definedName name="V_ALL_KEYWORDS_TYPE_Vector_ISSR_208013265">#REF!,#REF!,#REF!,#REF!,#REF!,#REF!,#REF!,#REF!,#REF!,#REF!,#REF!,#REF!,#REF!,#REF!,#REF!,#REF!,#REF!,#REF!,#REF!,#REF!,#REF!,#REF!,#REF!,#REF!,#REF!,#REF!,#REF!,#REF!,#REF!,#REF!,#REF!,#REF!,#REF!,#REF!,#REF!,#REF!,#REF!</definedName>
    <definedName name="V_ALL_KEYWORDS_TYPE_Vector_ISSR_208015541">#REF!,#REF!,#REF!,#REF!,#REF!,#REF!,#REF!,#REF!,#REF!,#REF!,#REF!,#REF!,#REF!,#REF!,#REF!,#REF!,#REF!,#REF!,#REF!,#REF!,#REF!</definedName>
    <definedName name="V_ALL_KEYWORDS_TYPE_Vector_ISSR_208015712">#REF!,#REF!,#REF!,#REF!,#REF!,#REF!,#REF!,#REF!,#REF!,#REF!,#REF!,#REF!,#REF!,#REF!,#REF!,#REF!,#REF!,#REF!</definedName>
    <definedName name="V_ALL_KEYWORDS_TYPE_Vector_ISSR_208016534">#REF!,#REF!,#REF!,#REF!,#REF!,#REF!,#REF!,#REF!,#REF!,#REF!,#REF!,#REF!,#REF!,#REF!,#REF!,#REF!,#REF!,#REF!,#REF!,#REF!,#REF!,#REF!,#REF!,#REF!,#REF!,#REF!,#REF!,#REF!,#REF!</definedName>
    <definedName name="V_ALL_KEYWORDS_TYPE_Vector_ISSR_208017888">#REF!,#REF!,#REF!,#REF!,#REF!,#REF!,#REF!,#REF!,#REF!,#REF!,#REF!,#REF!,#REF!,#REF!,#REF!,#REF!,#REF!,#REF!,#REF!</definedName>
    <definedName name="V_ALL_KEYWORDS_TYPE_Vector_ISSR_208019050">#REF!,#REF!,#REF!,#REF!,#REF!,#REF!,#REF!,#REF!,#REF!,#REF!,#REF!,#REF!,#REF!,#REF!,#REF!,#REF!,#REF!</definedName>
    <definedName name="V_ALL_KEYWORDS_TYPE_Vector_ISSR_208019950">#REF!,#REF!,#REF!,#REF!,#REF!,#REF!,#REF!,#REF!,#REF!,#REF!,#REF!,#REF!,#REF!,#REF!,#REF!,#REF!,#REF!,#REF!</definedName>
    <definedName name="V_ALL_LOV.AX">#REF!</definedName>
    <definedName name="V_ALL_NEA.AX">#REF!</definedName>
    <definedName name="V_ALL_NWL.AX">#REF!</definedName>
    <definedName name="V_ALL_NXT.AX">#REF!</definedName>
    <definedName name="V_ALL_PEP.AX">#REF!</definedName>
    <definedName name="V_ALL_PMV.AX" localSheetId="5">#REF!</definedName>
    <definedName name="V_ALL_PMV.AX">#REF!</definedName>
    <definedName name="V_ALL_SECTION_KEYWORDS_EQTY_200014091_1314">#REF!</definedName>
    <definedName name="V_ALL_SECTION_KEYWORDS_EQTY_200014091_1316A">#REF!</definedName>
    <definedName name="V_ALL_SECTION_KEYWORDS_EQTY_200014091_1316B">#REF!</definedName>
    <definedName name="V_ALL_SECTION_KEYWORDS_EQTY_200014091_1316C">#REF!</definedName>
    <definedName name="V_ALL_SECTION_KEYWORDS_EQTY_200014091_1316D">#REF!</definedName>
    <definedName name="V_ALL_SECTION_KEYWORDS_EQTY_200014091_1316E">#REF!</definedName>
    <definedName name="V_ALL_SECTION_KEYWORDS_EQTY_200014091_131E">#REF!</definedName>
    <definedName name="V_ALL_SECTION_KEYWORDS_EQTY_200014091_131O">#REF!</definedName>
    <definedName name="V_ALL_SECTION_KEYWORDS_EQTY_200014091_13A">#REF!</definedName>
    <definedName name="V_ALL_SECTION_KEYWORDS_EQTY_200014091_13K">#REF!</definedName>
    <definedName name="V_ALL_SECTION_KEYWORDS_EQTY_200014091_13U">#REF!</definedName>
    <definedName name="V_ALL_SECTION_KEYWORDS_EQTY_200014091_13V">#REF!</definedName>
    <definedName name="V_ALL_SECTION_KEYWORDS_EQTY_200014091_Reference_Data">#REF!</definedName>
    <definedName name="V_ALL_SECTION_KEYWORDS_ISSR_208005563_136E">#REF!,#REF!</definedName>
    <definedName name="V_ALL_SECTION_KEYWORDS_ISSR_208005563_13T">#REF!,#REF!</definedName>
    <definedName name="V_ALL_SECTION_KEYWORDS_ISSR_208010774_13V" localSheetId="5">#REF!,#REF!</definedName>
    <definedName name="V_ALL_SECTION_KEYWORDS_ISSR_208010774_13V">#REF!,#REF!</definedName>
    <definedName name="V_ALL_SECTION_KEYWORDS_ISSR_208010809_1314">#REF!</definedName>
    <definedName name="V_ALL_SECTION_KEYWORDS_ISSR_208010809_13168">#REF!</definedName>
    <definedName name="V_ALL_SECTION_KEYWORDS_ISSR_208010809_1316B">#REF!</definedName>
    <definedName name="V_ALL_SECTION_KEYWORDS_ISSR_208010809_1316C">#REF!</definedName>
    <definedName name="V_ALL_SECTION_KEYWORDS_ISSR_208010809_1316D">#REF!</definedName>
    <definedName name="V_ALL_SECTION_KEYWORDS_ISSR_208010809_1316E">#REF!</definedName>
    <definedName name="V_ALL_SECTION_KEYWORDS_ISSR_208010809_1316S">#REF!</definedName>
    <definedName name="V_ALL_SECTION_KEYWORDS_ISSR_208010809_1316T">#REF!</definedName>
    <definedName name="V_ALL_SECTION_KEYWORDS_ISSR_208010809_1316U">#REF!</definedName>
    <definedName name="V_ALL_SECTION_KEYWORDS_ISSR_208010809_1319">#REF!</definedName>
    <definedName name="V_ALL_SECTION_KEYWORDS_ISSR_208010809_131E">#REF!</definedName>
    <definedName name="V_ALL_SECTION_KEYWORDS_ISSR_208010809_131J">#REF!</definedName>
    <definedName name="V_ALL_SECTION_KEYWORDS_ISSR_208010809_131O">#REF!</definedName>
    <definedName name="V_ALL_SECTION_KEYWORDS_ISSR_208010809_136E">#REF!,#REF!</definedName>
    <definedName name="V_ALL_SECTION_KEYWORDS_ISSR_208010809_136J">#REF!</definedName>
    <definedName name="V_ALL_SECTION_KEYWORDS_ISSR_208010809_13A">#REF!,#REF!</definedName>
    <definedName name="V_ALL_SECTION_KEYWORDS_ISSR_208010809_13U">#REF!</definedName>
    <definedName name="V_ALL_SECTION_KEYWORDS_ISSR_208010809_13V" localSheetId="19">#REF!,#REF!</definedName>
    <definedName name="V_ALL_SECTION_KEYWORDS_ISSR_208010809_13V">#REF!,#REF!</definedName>
    <definedName name="V_ALL_SECTION_KEYWORDS_ISSR_208010809_Reference_Data">#REF!</definedName>
    <definedName name="V_ALL_SECTION_KEYWORDS_ISSR_208010826_136J" localSheetId="5">#REF!,#REF!</definedName>
    <definedName name="V_ALL_SECTION_KEYWORDS_ISSR_208010826_136J">#REF!,#REF!</definedName>
    <definedName name="V_ALL_SECTION_KEYWORDS_ISSR_208011369_13A">#REF!,#REF!</definedName>
    <definedName name="V_ALL_SECTION_KEYWORDS_ISSR_208011369_13V">#REF!,#REF!</definedName>
    <definedName name="V_ALL_SECTION_KEYWORDS_ISSR_208015019_136J">#REF!,#REF!</definedName>
    <definedName name="V_ALL_SECTION_KEYWORDS_ISSR_208015541_136E">#REF!,#REF!</definedName>
    <definedName name="V_ALL_SECTION_KEYWORDS_ISSR_208015541_13A">#REF!,#REF!</definedName>
    <definedName name="V_ALL_SECTION_KEYWORDS_ISSR_208015541_13V">#REF!,#REF!</definedName>
    <definedName name="V_ALL_SECTION_KEYWORDS_ISSR_208015712_136J">#REF!,#REF!</definedName>
    <definedName name="V_ALL_SECTION_KEYWORDS_ISSR_208015712_13V">#REF!,#REF!</definedName>
    <definedName name="V_ALL_SECTION_KEYWORDS_ISSR_208016534_13171">#REF!,#REF!</definedName>
    <definedName name="V_ALL_SECTION_KEYWORDS_ISSR_208016534_13172">#REF!,#REF!</definedName>
    <definedName name="V_ALL_SECTION_KEYWORDS_ISSR_208016534_136J">#REF!,#REF!</definedName>
    <definedName name="V_ALL_SECTION_KEYWORDS_ISSR_208017888_13V">#REF!,#REF!</definedName>
    <definedName name="V_ALL_SECTION_KEYWORDS_ISSR_208019050_1316S">#REF!,#REF!</definedName>
    <definedName name="V_ALL_SECTIONS_EQTY_200014619">#REF!,#REF!,#REF!,#REF!,#REF!,#REF!,#REF!,#REF!,#REF!,#REF!,#REF!,#REF!,#REF!</definedName>
    <definedName name="V_ALL_SECTIONS_ISSR_208005522">#REF!,#REF!,#REF!,#REF!,#REF!,#REF!,#REF!,#REF!,#REF!,#REF!,#REF!,#REF!,#REF!,#REF!,#REF!,#REF!,#REF!,#REF!,#REF!,#REF!,#REF!,#REF!,#REF!,#REF!</definedName>
    <definedName name="V_ALL_SECTIONS_ISSR_208011369">#REF!,#REF!,#REF!,#REF!,#REF!,#REF!,#REF!,#REF!,#REF!,#REF!,#REF!,#REF!,#REF!,#REF!</definedName>
    <definedName name="V_ALL_SUL.AX" localSheetId="19">#REF!</definedName>
    <definedName name="V_ALL_SUL.AX">#REF!</definedName>
    <definedName name="V_ALL_SUL.AX_" localSheetId="1">#REF!</definedName>
    <definedName name="V_ALL_SUL.AX_">#REF!</definedName>
    <definedName name="V_ALL_TPW.AX">#REF!</definedName>
    <definedName name="V_ALL_TWE.AX" localSheetId="5">#REF!</definedName>
    <definedName name="V_ALL_TWE.AX">#REF!</definedName>
    <definedName name="V_ALL_UNI.AX">#REF!</definedName>
    <definedName name="V_CURRENCY_EQTY_200014091_PRI">#REF!</definedName>
    <definedName name="V_CURRENCY_EQTY_200014091_PUB">#REF!</definedName>
    <definedName name="V_CURRENCY_EQTY_200014091_REP">#REF!</definedName>
    <definedName name="V_CURRENCY_ISSR_208010809_REP">#REF!</definedName>
    <definedName name="V_KEYWORD_EQTY_200014091_ANZ_LIST">#REF!</definedName>
    <definedName name="V_KEYWORD_EQTY_200014091_ASSET_SALES_GAIN_LOSS">#REF!</definedName>
    <definedName name="V_KEYWORD_EQTY_200014091_BASE_CASE_VAL_DCF">#REF!</definedName>
    <definedName name="V_KEYWORD_EQTY_200014091_BENEFITS_TAX_LOSSES">#REF!</definedName>
    <definedName name="V_KEYWORD_EQTY_200014091_BETA_ANALYST">#REF!</definedName>
    <definedName name="V_KEYWORD_EQTY_200014091_BVPS">#REF!</definedName>
    <definedName name="V_KEYWORD_EQTY_200014091_BVPS_PUB">#REF!</definedName>
    <definedName name="V_KEYWORD_EQTY_200014091_CATALYST1_DATE">#REF!</definedName>
    <definedName name="V_KEYWORD_EQTY_200014091_CATALYST1_EVENT">#REF!</definedName>
    <definedName name="V_KEYWORD_EQTY_200014091_CATALYST2_DATE">#REF!</definedName>
    <definedName name="V_KEYWORD_EQTY_200014091_CATALYST2_EVENT">#REF!</definedName>
    <definedName name="V_KEYWORD_EQTY_200014091_CATALYST3_DATE">#REF!</definedName>
    <definedName name="V_KEYWORD_EQTY_200014091_CATALYST3_EVENT">#REF!</definedName>
    <definedName name="V_KEYWORD_EQTY_200014091_CATALYST4_DATE">#REF!</definedName>
    <definedName name="V_KEYWORD_EQTY_200014091_CATALYST4_EVENT">#REF!</definedName>
    <definedName name="V_KEYWORD_EQTY_200014091_CATALYST5_DATE">#REF!</definedName>
    <definedName name="V_KEYWORD_EQTY_200014091_CATALYST5_EVENT">#REF!</definedName>
    <definedName name="V_KEYWORD_EQTY_200014091_CF_NI_PRE_PREF">#REF!</definedName>
    <definedName name="V_KEYWORD_EQTY_200014091_CF_OPS_SHARE_NZ">#REF!</definedName>
    <definedName name="V_KEYWORD_EQTY_200014091_COMMON_DIV_PAID">#REF!</definedName>
    <definedName name="V_KEYWORD_EQTY_200014091_CONVERTIBLE_NOTES">#REF!</definedName>
    <definedName name="V_KEYWORD_EQTY_200014091_COST_OF_EQUITY_DCF">#REF!</definedName>
    <definedName name="V_KEYWORD_EQTY_200014091_CUM_PRESENT_VAL_CASH_FLOWS_DCF">#REF!</definedName>
    <definedName name="V_KEYWORD_EQTY_200014091_CURRENCY_ISO">#REF!</definedName>
    <definedName name="V_KEYWORD_EQTY_200014091_DCF_CASH_FLOW">#REF!</definedName>
    <definedName name="V_KEYWORD_EQTY_200014091_DEBT_EQUITY">#REF!</definedName>
    <definedName name="V_KEYWORD_EQTY_200014091_DEBT_RISK_MARGIN_DCF">#REF!</definedName>
    <definedName name="V_KEYWORD_EQTY_200014091_DILUTE_SHARES">#REF!</definedName>
    <definedName name="V_KEYWORD_EQTY_200014091_DISCOUNT_FACTOR_DCF">#REF!</definedName>
    <definedName name="V_KEYWORD_EQTY_200014091_DPS">#REF!</definedName>
    <definedName name="V_KEYWORD_EQTY_200014091_DPS_PUB">#REF!</definedName>
    <definedName name="V_KEYWORD_EQTY_200014091_EBIT_PUB">#REF!</definedName>
    <definedName name="V_KEYWORD_EQTY_200014091_EBITDA_PUB">#REF!</definedName>
    <definedName name="V_KEYWORD_EQTY_200014091_EBITDAF">#REF!</definedName>
    <definedName name="V_KEYWORD_EQTY_200014091_EFPO">#REF!</definedName>
    <definedName name="V_KEYWORD_EQTY_200014091_EFPOWA">#REF!</definedName>
    <definedName name="V_KEYWORD_EQTY_200014091_EPS">#REF!</definedName>
    <definedName name="V_KEYWORD_EQTY_200014091_EPS_CONS_PUB">#REF!</definedName>
    <definedName name="V_KEYWORD_EQTY_200014091_EPS_FUL_DIL">#REF!</definedName>
    <definedName name="V_KEYWORD_EQTY_200014091_EPS_POST_BASIC">#REF!</definedName>
    <definedName name="V_KEYWORD_EQTY_200014091_EPS_PRE_GWILL">#REF!</definedName>
    <definedName name="V_KEYWORD_EQTY_200014091_EPS_PUB">#REF!</definedName>
    <definedName name="V_KEYWORD_EQTY_200014091_EPS_REPORTED">#REF!</definedName>
    <definedName name="V_KEYWORD_EQTY_200014091_EQ_PUB">#REF!</definedName>
    <definedName name="V_KEYWORD_EQTY_200014091_EQUITY_VALUE_DCF">#REF!</definedName>
    <definedName name="V_KEYWORD_EQTY_200014091_EV_ADJ_PUB">#REF!</definedName>
    <definedName name="V_KEYWORD_EQTY_200014091_FIN_INSTRUMENT_HEDGE_POST_TAX">#REF!</definedName>
    <definedName name="V_KEYWORD_EQTY_200014091_FINAL_DIV_AMOUNT">#REF!</definedName>
    <definedName name="V_KEYWORD_EQTY_200014091_FINAL_DIV_EXDATE">#REF!</definedName>
    <definedName name="V_KEYWORD_EQTY_200014091_FINAL_DIV_FRANK">#REF!</definedName>
    <definedName name="V_KEYWORD_EQTY_200014091_FINAL_DIV_TAXRATE">#REF!</definedName>
    <definedName name="V_KEYWORD_EQTY_200014091_FOREIGN_EXCHANGE_GAIN_LOSS">#REF!</definedName>
    <definedName name="V_KEYWORD_EQTY_200014091_FOREIGN_HOLDNG">#REF!</definedName>
    <definedName name="V_KEYWORD_EQTY_200014091_FRANK_TAX_RATE">#REF!</definedName>
    <definedName name="V_KEYWORD_EQTY_200014091_FRANKING">#REF!</definedName>
    <definedName name="V_KEYWORD_EQTY_200014091_FRANKING_ANZPUB">#REF!</definedName>
    <definedName name="V_KEYWORD_EQTY_200014091_FREE_FLOAT">#REF!</definedName>
    <definedName name="V_KEYWORD_EQTY_200014091_FULLY_DIL_EPS">#REF!</definedName>
    <definedName name="V_KEYWORD_EQTY_200014091_GWILL_ASSET_IMP_CHG_POST_TAX">#REF!</definedName>
    <definedName name="V_KEYWORD_EQTY_200014091_IMP_CREDITS_PER_SHARE_DCF">#REF!</definedName>
    <definedName name="V_KEYWORD_EQTY_200014091_INC_MINORITY">#REF!</definedName>
    <definedName name="V_KEYWORD_EQTY_200014091_INCTAX_PL_ON_AB">#REF!</definedName>
    <definedName name="V_KEYWORD_EQTY_200014091_INCTAX_PL_POST_AB">#REF!</definedName>
    <definedName name="V_KEYWORD_EQTY_200014091_INT_DIV_AMOUNT">#REF!</definedName>
    <definedName name="V_KEYWORD_EQTY_200014091_INT_DIV_EXDATE">#REF!</definedName>
    <definedName name="V_KEYWORD_EQTY_200014091_INT_DIV_FRANK">#REF!</definedName>
    <definedName name="V_KEYWORD_EQTY_200014091_INT_DIV_TAXRATE">#REF!</definedName>
    <definedName name="V_KEYWORD_EQTY_200014091_Interim_Type">#REF!</definedName>
    <definedName name="V_KEYWORD_EQTY_200014091_INTRINSIC_PER_SHARE_VALUE_DCF">#REF!</definedName>
    <definedName name="V_KEYWORD_EQTY_200014091_LEGAL_RATING">#REF!</definedName>
    <definedName name="V_KEYWORD_EQTY_200014091_MARGIN_TAX_RATE">#REF!</definedName>
    <definedName name="V_KEYWORD_EQTY_200014091_MARKET_VALUE_OF_INVESTMENTS_DCF">#REF!</definedName>
    <definedName name="V_KEYWORD_EQTY_200014091_MKT_EQ_RISK_PREM">#REF!</definedName>
    <definedName name="V_KEYWORD_EQTY_200014091_NET_DEBT_NET_CASH_DCF">#REF!</definedName>
    <definedName name="V_KEYWORD_EQTY_200014091_NET_DEBT_PUB">#REF!</definedName>
    <definedName name="V_KEYWORD_EQTY_200014091_NET_EARNING">#REF!</definedName>
    <definedName name="V_KEYWORD_EQTY_200014091_NET_INC">#REF!</definedName>
    <definedName name="V_KEYWORD_EQTY_200014091_NET_PROFIT">#REF!</definedName>
    <definedName name="V_KEYWORD_EQTY_200014091_NET_TANGIBLE_ASSETS_ADJUSTED_NZ">#REF!</definedName>
    <definedName name="V_KEYWORD_EQTY_200014091_NI_CONS">#REF!</definedName>
    <definedName name="V_KEYWORD_EQTY_200014091_NI_PRE_PREF">#REF!</definedName>
    <definedName name="V_KEYWORD_EQTY_200014091_NI_PUB">#REF!</definedName>
    <definedName name="V_KEYWORD_EQTY_200014091_NI_REPT_PUB">#REF!</definedName>
    <definedName name="V_KEYWORD_EQTY_200014091_NON_OP_ADD">#REF!</definedName>
    <definedName name="V_KEYWORD_EQTY_200014091_NOPAT">#REF!</definedName>
    <definedName name="V_KEYWORD_EQTY_200014091_NTA_PER_SHARE">#REF!</definedName>
    <definedName name="V_KEYWORD_EQTY_200014091_NUM_SH">#REF!</definedName>
    <definedName name="V_KEYWORD_EQTY_200014091_NZ_FRANKING">#REF!</definedName>
    <definedName name="V_KEYWORD_EQTY_200014091_OPPL_ATAX_POST_AB">#REF!</definedName>
    <definedName name="V_KEYWORD_EQTY_200014091_OPPL_ATAX_PRE_AB">#REF!</definedName>
    <definedName name="V_KEYWORD_EQTY_200014091_OPTIONS">#REF!</definedName>
    <definedName name="V_KEYWORD_EQTY_200014091_OTH_ASSET_IMPAIR_CHG_POST_TAX">#REF!</definedName>
    <definedName name="V_KEYWORD_EQTY_200014091_OTHER_ABNORMAL_ITEMS">#REF!</definedName>
    <definedName name="V_KEYWORD_EQTY_200014091_OTHER_CAPITAL">#REF!</definedName>
    <definedName name="V_KEYWORD_EQTY_200014091_OTHER_IFRS_ADJUST_POST_TAX">#REF!</definedName>
    <definedName name="V_KEYWORD_EQTY_200014091_PARTLY_PAID_SHARES">#REF!</definedName>
    <definedName name="V_KEYWORD_EQTY_200014091_PERPETUITY_GROWTH_RATE_DCF">#REF!</definedName>
    <definedName name="V_KEYWORD_EQTY_200014091_PREF_DIV">#REF!</definedName>
    <definedName name="V_KEYWORD_EQTY_200014091_PREFERENCE_SHARES">#REF!</definedName>
    <definedName name="V_KEYWORD_EQTY_200014091_PRESENT_VALUE_OF_CASH_FLOW_DCF">#REF!</definedName>
    <definedName name="V_KEYWORD_EQTY_200014091_PRI_TARG_METH">#REF!</definedName>
    <definedName name="V_KEYWORD_EQTY_200014091_PRI_TARG_MULT">#REF!</definedName>
    <definedName name="V_KEYWORD_EQTY_200014091_PRICE_CURRENCY_ISO">#REF!</definedName>
    <definedName name="V_KEYWORD_EQTY_200014091_PROF_ADJUST_EPS">#REF!</definedName>
    <definedName name="V_KEYWORD_EQTY_200014091_PROV_INC_TAX">#REF!</definedName>
    <definedName name="V_KEYWORD_EQTY_200014091_PTP_PUB">#REF!</definedName>
    <definedName name="V_KEYWORD_EQTY_200014091_PUB_CURRENCY_ISO">#REF!</definedName>
    <definedName name="V_KEYWORD_EQTY_200014091_RESTRUC_COSTS">#REF!</definedName>
    <definedName name="V_KEYWORD_EQTY_200014091_REVS_PUB">#REF!</definedName>
    <definedName name="V_KEYWORD_EQTY_200014091_RISK_ADJ_OPTION_VALUE_DCF">#REF!</definedName>
    <definedName name="V_KEYWORD_EQTY_200014091_RISK_FR_RATE">#REF!</definedName>
    <definedName name="V_KEYWORD_EQTY_200014091_RISK_TO_EARNINGS">#REF!</definedName>
    <definedName name="V_KEYWORD_EQTY_200014091_ROCE_ANZ">#REF!</definedName>
    <definedName name="V_KEYWORD_EQTY_200014091_Security_Name">#REF!</definedName>
    <definedName name="V_KEYWORD_EQTY_200014091_SH">#REF!</definedName>
    <definedName name="V_KEYWORD_EQTY_200014091_SHOLDERS_EQUITY_MBRS">#REF!</definedName>
    <definedName name="V_KEYWORD_EQTY_200014091_STD_FREE_OP_CASH_FLOW_DCF">#REF!</definedName>
    <definedName name="V_KEYWORD_EQTY_200014091_TARGET_PRICE">#REF!</definedName>
    <definedName name="V_KEYWORD_EQTY_200014091_TAX_EXC">#REF!</definedName>
    <definedName name="V_KEYWORD_EQTY_200014091_TAX_RATE_DCF">#REF!</definedName>
    <definedName name="V_KEYWORD_EQTY_200014091_TERMINAL_YEAR_DCF">#REF!</definedName>
    <definedName name="V_KEYWORD_EQTY_200014091_Ticker">#REF!</definedName>
    <definedName name="V_KEYWORD_EQTY_200014091_TOTAL_CAPITAL">#REF!</definedName>
    <definedName name="V_KEYWORD_EQTY_200014091_TOTAL_IFRS_ADJUST_POST_TAX">#REF!</definedName>
    <definedName name="V_KEYWORD_EQTY_200014091_TP_PERIOD">#REF!</definedName>
    <definedName name="V_KEYWORD_EQTY_200014091_WACC_DCF">#REF!</definedName>
    <definedName name="V_KEYWORD_EQTY_200014091_YEAR_END_CAPITAL_EVA">#REF!</definedName>
    <definedName name="V_KEYWORD_ISSR_208010809_ACC_AMORT">#REF!</definedName>
    <definedName name="V_KEYWORD_ISSR_208010809_ACC_DDA">#REF!</definedName>
    <definedName name="V_KEYWORD_ISSR_208010809_ACC_END_DATE">#REF!</definedName>
    <definedName name="V_KEYWORD_ISSR_208010809_ACC_PAY_GQ">#REF!</definedName>
    <definedName name="V_KEYWORD_ISSR_208010809_ACCESS_CONNECTION">#REF!</definedName>
    <definedName name="V_KEYWORD_ISSR_208010809_ACQ">#REF!</definedName>
    <definedName name="V_KEYWORD_ISSR_208010809_ADJ_UNF_PENS_GOOD">#REF!</definedName>
    <definedName name="V_KEYWORD_ISSR_208010809_AMORT_OF_INTANGIBLES">#REF!</definedName>
    <definedName name="V_KEYWORD_ISSR_208010809_AMORT_OF_INTANGIBLES_ADJ">#REF!</definedName>
    <definedName name="V_KEYWORD_ISSR_208010809_ASSOC_JV_ADDBK">#REF!</definedName>
    <definedName name="V_KEYWORD_ISSR_208010809_ASSOCIATE">#REF!</definedName>
    <definedName name="V_KEYWORD_ISSR_208010809_ASSOCIATE_OP">#REF!</definedName>
    <definedName name="V_KEYWORD_ISSR_208010809_AVG_CAPITAL_EMPLOYED_ADJ">#REF!</definedName>
    <definedName name="V_KEYWORD_ISSR_208010809_BAL_MINO_INT">#REF!</definedName>
    <definedName name="V_KEYWORD_ISSR_208010809_BAL_OF_FRANK_CREDITS">#REF!</definedName>
    <definedName name="V_KEYWORD_ISSR_208010809_BANK_ODRAFT">#REF!</definedName>
    <definedName name="V_KEYWORD_ISSR_208010809_BORROWINGS">#REF!</definedName>
    <definedName name="V_KEYWORD_ISSR_208010809_CAP_LEASES">#REF!</definedName>
    <definedName name="V_KEYWORD_ISSR_208010809_CAPEX">#REF!</definedName>
    <definedName name="V_KEYWORD_ISSR_208010809_CAPEX_EXPANSION">#REF!</definedName>
    <definedName name="V_KEYWORD_ISSR_208010809_CAPEX_MAINTENANCE">#REF!</definedName>
    <definedName name="V_KEYWORD_ISSR_208010809_CASH_EQ">#REF!</definedName>
    <definedName name="V_KEYWORD_ISSR_208010809_CASH_INT_EXP">#REF!</definedName>
    <definedName name="V_KEYWORD_ISSR_208010809_CASH_TAX_EXP">#REF!</definedName>
    <definedName name="V_KEYWORD_ISSR_208010809_CF_FIN">#REF!</definedName>
    <definedName name="V_KEYWORD_ISSR_208010809_CF_FX">#REF!</definedName>
    <definedName name="V_KEYWORD_ISSR_208010809_CF_INC_MINORITY">#REF!</definedName>
    <definedName name="V_KEYWORD_ISSR_208010809_CF_INV">#REF!</definedName>
    <definedName name="V_KEYWORD_ISSR_208010809_CF_INV_MISC">#REF!</definedName>
    <definedName name="V_KEYWORD_ISSR_208010809_CF_OPS">#REF!</definedName>
    <definedName name="V_KEYWORD_ISSR_208010809_CF_OPS_MISC">#REF!</definedName>
    <definedName name="V_KEYWORD_ISSR_208010809_CHG_LT_DEBT">#REF!</definedName>
    <definedName name="V_KEYWORD_ISSR_208010809_CO_BOR_MARGIN">#REF!</definedName>
    <definedName name="V_KEYWORD_ISSR_208010809_COST_GD_SD">#REF!</definedName>
    <definedName name="V_KEYWORD_ISSR_208010809_COST_OF_DEBT_DCF">#REF!</definedName>
    <definedName name="V_KEYWORD_ISSR_208010809_CUR_ASS">#REF!</definedName>
    <definedName name="V_KEYWORD_ISSR_208010809_CUR_ASS_MISC">#REF!</definedName>
    <definedName name="V_KEYWORD_ISSR_208010809_CUR_LIABS_MISC">#REF!</definedName>
    <definedName name="V_KEYWORD_ISSR_208010809_CURRENCY_ISO">#REF!</definedName>
    <definedName name="V_KEYWORD_ISSR_208010809_CUSTOMER_RECEIPTS">#REF!</definedName>
    <definedName name="V_KEYWORD_ISSR_208010809_DEBT_TO_EQUITY_MKT_VALUES_DCF">#REF!</definedName>
    <definedName name="V_KEYWORD_ISSR_208010809_DEBTORS">#REF!</definedName>
    <definedName name="V_KEYWORD_ISSR_208010809_DEF_INC_TAX">#REF!</definedName>
    <definedName name="V_KEYWORD_ISSR_208010809_DEFINED_BENEFIT_OBLIGATION">#REF!</definedName>
    <definedName name="V_KEYWORD_ISSR_208010809_DEFINED_BENEFIT_SURPLUS">#REF!</definedName>
    <definedName name="V_KEYWORD_ISSR_208010809_DEPR_AMORT">#REF!</definedName>
    <definedName name="V_KEYWORD_ISSR_208010809_DEPREC">#REF!</definedName>
    <definedName name="V_KEYWORD_ISSR_208010809_DIV_PAID">#REF!</definedName>
    <definedName name="V_KEYWORD_ISSR_208010809_DIVDS_ASSOC_JV">#REF!</definedName>
    <definedName name="V_KEYWORD_ISSR_208010809_DIVDS_PD_MINORITIES">#REF!</definedName>
    <definedName name="V_KEYWORD_ISSR_208010809_DIVEST">#REF!</definedName>
    <definedName name="V_KEYWORD_ISSR_208010809_DIVIDENDS_RECEIVED">#REF!</definedName>
    <definedName name="V_KEYWORD_ISSR_208010809_EBIT">#REF!</definedName>
    <definedName name="V_KEYWORD_ISSR_208010809_EBIT_CONSOLIDATED">#REF!</definedName>
    <definedName name="V_KEYWORD_ISSR_208010809_EBIT_CONSOLIDATED_PRE_ASSOC">#REF!</definedName>
    <definedName name="V_KEYWORD_ISSR_208010809_EBITDA_CALC">#REF!</definedName>
    <definedName name="V_KEYWORD_ISSR_208010809_EBITDA_CONSOLIDATED">#REF!</definedName>
    <definedName name="V_KEYWORD_ISSR_208010809_EMPLOYEES">#REF!</definedName>
    <definedName name="V_KEYWORD_ISSR_208010809_EQ">#REF!</definedName>
    <definedName name="V_KEYWORD_ISSR_208010809_EXP_ALUMINIUM">#REF!</definedName>
    <definedName name="V_KEYWORD_ISSR_208010809_EXP_BEEF">#REF!</definedName>
    <definedName name="V_KEYWORD_ISSR_208010809_EXP_CHICKEN">#REF!</definedName>
    <definedName name="V_KEYWORD_ISSR_208010809_EXP_COCOA">#REF!</definedName>
    <definedName name="V_KEYWORD_ISSR_208010809_EXP_COFFEE">#REF!</definedName>
    <definedName name="V_KEYWORD_ISSR_208010809_EXP_COPPER">#REF!</definedName>
    <definedName name="V_KEYWORD_ISSR_208010809_EXP_CORN">#REF!</definedName>
    <definedName name="V_KEYWORD_ISSR_208010809_EXP_COTTON">#REF!</definedName>
    <definedName name="V_KEYWORD_ISSR_208010809_EXP_DAIRY">#REF!</definedName>
    <definedName name="V_KEYWORD_ISSR_208010809_EXP_DIAMONDS">#REF!</definedName>
    <definedName name="V_KEYWORD_ISSR_208010809_EXP_GOLD">#REF!</definedName>
    <definedName name="V_KEYWORD_ISSR_208010809_EXP_NUTS">#REF!</definedName>
    <definedName name="V_KEYWORD_ISSR_208010809_EXP_OIL_DERIV_NGLS_PLASTICS">#REF!</definedName>
    <definedName name="V_KEYWORD_ISSR_208010809_EXP_OIL_PETRO_FUEL">#REF!</definedName>
    <definedName name="V_KEYWORD_ISSR_208010809_EXP_OTH_COMMODITY">#REF!</definedName>
    <definedName name="V_KEYWORD_ISSR_208010809_EXP_OTH_COST">#REF!</definedName>
    <definedName name="V_KEYWORD_ISSR_208010809_EXP_PALM_OIL">#REF!</definedName>
    <definedName name="V_KEYWORD_ISSR_208010809_EXP_PAPER_PULP">#REF!</definedName>
    <definedName name="V_KEYWORD_ISSR_208010809_EXP_PLATINUM">#REF!</definedName>
    <definedName name="V_KEYWORD_ISSR_208010809_EXP_PORK">#REF!</definedName>
    <definedName name="V_KEYWORD_ISSR_208010809_EXP_SILVER">#REF!</definedName>
    <definedName name="V_KEYWORD_ISSR_208010809_EXP_SOYBEAN">#REF!</definedName>
    <definedName name="V_KEYWORD_ISSR_208010809_EXP_SUGAR">#REF!</definedName>
    <definedName name="V_KEYWORD_ISSR_208010809_EXP_TOBACCO_LEAF">#REF!</definedName>
    <definedName name="V_KEYWORD_ISSR_208010809_EXP_WATER">#REF!</definedName>
    <definedName name="V_KEYWORD_ISSR_208010809_EXP_WHEAT">#REF!</definedName>
    <definedName name="V_KEYWORD_ISSR_208010809_FIN_INSTR_HEDGE_CURR_LIABILITY">#REF!</definedName>
    <definedName name="V_KEYWORD_ISSR_208010809_FIN_INSTR_HEDGE_CURRENT">#REF!</definedName>
    <definedName name="V_KEYWORD_ISSR_208010809_FIN_INSTR_HEDGE_NON_CURR_LIAB">#REF!</definedName>
    <definedName name="V_KEYWORD_ISSR_208010809_FIN_INSTR_HEDGE_NON_CURRENT">#REF!</definedName>
    <definedName name="V_KEYWORD_ISSR_208010809_FIN_INSTRUMENT_HEDGE_PRE_TAX">#REF!</definedName>
    <definedName name="V_KEYWORD_ISSR_208010809_FIX_ASS_INV">#REF!</definedName>
    <definedName name="V_KEYWORD_ISSR_208010809_GCI_INFL">#REF!</definedName>
    <definedName name="V_KEYWORD_ISSR_208010809_GOODWILL_AMORT">#REF!</definedName>
    <definedName name="V_KEYWORD_ISSR_208010809_GOODWILL_NET_AMNT">#REF!</definedName>
    <definedName name="V_KEYWORD_ISSR_208010809_GR_FIX_ASS">#REF!</definedName>
    <definedName name="V_KEYWORD_ISSR_208010809_GR_INTANG">#REF!</definedName>
    <definedName name="V_KEYWORD_ISSR_208010809_GWILL_ASSET_IMPAIR_CHG_PRE_TAX">#REF!</definedName>
    <definedName name="V_KEYWORD_ISSR_208010809_INT_EXP_IND">#REF!</definedName>
    <definedName name="V_KEYWORD_ISSR_208010809_INT_INC_IND">#REF!</definedName>
    <definedName name="V_KEYWORD_ISSR_208010809_INT_OTHERS_RECEIVED">#REF!</definedName>
    <definedName name="V_KEYWORD_ISSR_208010809_INV_SECUR">#REF!</definedName>
    <definedName name="V_KEYWORD_ISSR_208010809_INVESTMENTS">#REF!</definedName>
    <definedName name="V_KEYWORD_ISSR_208010809_Issuer_Name">#REF!</definedName>
    <definedName name="V_KEYWORD_ISSR_208010809_LABOUR">#REF!</definedName>
    <definedName name="V_KEYWORD_ISSR_208010809_LAND_BUILDINGS">#REF!</definedName>
    <definedName name="V_KEYWORD_ISSR_208010809_LEASE_DEEM_DEPR">#REF!</definedName>
    <definedName name="V_KEYWORD_ISSR_208010809_LEASE_DEEM_INT">#REF!</definedName>
    <definedName name="V_KEYWORD_ISSR_208010809_LEASE_PAY">#REF!</definedName>
    <definedName name="V_KEYWORD_ISSR_208010809_LOAN_REPAID_OTHER_ENTS">#REF!</definedName>
    <definedName name="V_KEYWORD_ISSR_208010809_LOANS_OTHER_ENTITIES">#REF!</definedName>
    <definedName name="V_KEYWORD_ISSR_208010809_LT_DEBT">#REF!</definedName>
    <definedName name="V_KEYWORD_ISSR_208010809_MARKETING_ADVERTISNIG">#REF!</definedName>
    <definedName name="V_KEYWORD_ISSR_208010809_MINORITIES">#REF!</definedName>
    <definedName name="V_KEYWORD_ISSR_208010809_MV_ASSOCIATES">#REF!</definedName>
    <definedName name="V_KEYWORD_ISSR_208010809_MV_CONVERTIBLE_NOTES">#REF!</definedName>
    <definedName name="V_KEYWORD_ISSR_208010809_MV_NET_OTHER_STAKEHOLDERS">#REF!</definedName>
    <definedName name="V_KEYWORD_ISSR_208010809_NCASSET_INVENTORIES">#REF!</definedName>
    <definedName name="V_KEYWORD_ISSR_208010809_NCASSET_INVESTMENT">#REF!</definedName>
    <definedName name="V_KEYWORD_ISSR_208010809_NCASSET_MISC">#REF!</definedName>
    <definedName name="V_KEYWORD_ISSR_208010809_NCASSET_RECEIVABLES">#REF!</definedName>
    <definedName name="V_KEYWORD_ISSR_208010809_NCASSET_TRADE_DEBTORS">#REF!</definedName>
    <definedName name="V_KEYWORD_ISSR_208010809_NCLIAB_MISC">#REF!</definedName>
    <definedName name="V_KEYWORD_ISSR_208010809_NCLIAB_OTHER_CREDITORS">#REF!</definedName>
    <definedName name="V_KEYWORD_ISSR_208010809_NCLIAB_PROVISIONS">#REF!</definedName>
    <definedName name="V_KEYWORD_ISSR_208010809_NCLIAB_TRADE_CREDITORS">#REF!</definedName>
    <definedName name="V_KEYWORD_ISSR_208010809_NET_ASSETS">#REF!</definedName>
    <definedName name="V_KEYWORD_ISSR_208010809_NET_DEBT">#REF!</definedName>
    <definedName name="V_KEYWORD_ISSR_208010809_NET_DEBT_ADJ">#REF!</definedName>
    <definedName name="V_KEYWORD_ISSR_208010809_NET_FIX_ASS">#REF!</definedName>
    <definedName name="V_KEYWORD_ISSR_208010809_NET_INT_CH">#REF!</definedName>
    <definedName name="V_KEYWORD_ISSR_208010809_NET_INT_EXP">#REF!</definedName>
    <definedName name="V_KEYWORD_ISSR_208010809_NET_INTANG">#REF!</definedName>
    <definedName name="V_KEYWORD_ISSR_208010809_NET_TANGIBLE_ASSETS">#REF!</definedName>
    <definedName name="V_KEYWORD_ISSR_208010809_NONPPE_CAPEX">#REF!</definedName>
    <definedName name="V_KEYWORD_ISSR_208010809_OP_COST">#REF!</definedName>
    <definedName name="V_KEYWORD_ISSR_208010809_OPPL_BTAX_EX_ASSOC">#REF!</definedName>
    <definedName name="V_KEYWORD_ISSR_208010809_OPPL_BTAX_POST_AB">#REF!</definedName>
    <definedName name="V_KEYWORD_ISSR_208010809_ORD_SH_FUND">#REF!</definedName>
    <definedName name="V_KEYWORD_ISSR_208010809_ORD_SHARE_CAPITAL">#REF!</definedName>
    <definedName name="V_KEYWORD_ISSR_208010809_OTH_COST_INC">#REF!</definedName>
    <definedName name="V_KEYWORD_ISSR_208010809_OTH_CUR_ASS">#REF!</definedName>
    <definedName name="V_KEYWORD_ISSR_208010809_OTH_CUR_LIABS">#REF!</definedName>
    <definedName name="V_KEYWORD_ISSR_208010809_OTH_DACF_ADJ">#REF!</definedName>
    <definedName name="V_KEYWORD_ISSR_208010809_OTH_FIN_CF">#REF!</definedName>
    <definedName name="V_KEYWORD_ISSR_208010809_OTH_GCI_ADJ">#REF!</definedName>
    <definedName name="V_KEYWORD_ISSR_208010809_OTH_INV_CF">#REF!</definedName>
    <definedName name="V_KEYWORD_ISSR_208010809_OTH_LT_ASS">#REF!</definedName>
    <definedName name="V_KEYWORD_ISSR_208010809_OTH_LT_CRED_GQ">#REF!</definedName>
    <definedName name="V_KEYWORD_ISSR_208010809_OTH_NONCASH_ADJ">#REF!</definedName>
    <definedName name="V_KEYWORD_ISSR_208010809_OTH_OP_CF">#REF!</definedName>
    <definedName name="V_KEYWORD_ISSR_208010809_OTH_OP_INC_EXP">#REF!</definedName>
    <definedName name="V_KEYWORD_ISSR_208010809_OTHER_ASSET_IMPAIR_CHG_PRE_TAX">#REF!</definedName>
    <definedName name="V_KEYWORD_ISSR_208010809_OTHER_CREDITORS">#REF!</definedName>
    <definedName name="V_KEYWORD_ISSR_208010809_OTHER_IFRS_ADJUST_PRE_TAX">#REF!</definedName>
    <definedName name="V_KEYWORD_ISSR_208010809_OTHER_INTANGIBLES_DEPREC">#REF!</definedName>
    <definedName name="V_KEYWORD_ISSR_208010809_OTHER_INTANGIBLES_NON_DEPREC">#REF!</definedName>
    <definedName name="V_KEYWORD_ISSR_208010809_OTHER_RECEIVABLES">#REF!</definedName>
    <definedName name="V_KEYWORD_ISSR_208010809_OTHER_REVENUE">#REF!</definedName>
    <definedName name="V_KEYWORD_ISSR_208010809_PERIOD_MILESTONE">#REF!</definedName>
    <definedName name="V_KEYWORD_ISSR_208010809_PERSONNEL">#REF!</definedName>
    <definedName name="V_KEYWORD_ISSR_208010809_PL_BTAX_ON_AB">#REF!</definedName>
    <definedName name="V_KEYWORD_ISSR_208010809_PL_SALE_ASSETS">#REF!</definedName>
    <definedName name="V_KEYWORD_ISSR_208010809_PLANT_EQUIP">#REF!</definedName>
    <definedName name="V_KEYWORD_ISSR_208010809_PREF_SH">#REF!</definedName>
    <definedName name="V_KEYWORD_ISSR_208010809_PROCEEDS_BORROWINGS">#REF!</definedName>
    <definedName name="V_KEYWORD_ISSR_208010809_PROCEEDS_NCASSET">#REF!</definedName>
    <definedName name="V_KEYWORD_ISSR_208010809_PROCEEDS_PURCH_OPER_BUS">#REF!</definedName>
    <definedName name="V_KEYWORD_ISSR_208010809_PROCEEDS_SALE_EQUITY_INV">#REF!</definedName>
    <definedName name="V_KEYWORD_ISSR_208010809_PROCEEDS_SALE_OPER_BUS">#REF!</definedName>
    <definedName name="V_KEYWORD_ISSR_208010809_PROFIT_DEFBEN_PLAN_POST_TAX">#REF!</definedName>
    <definedName name="V_KEYWORD_ISSR_208010809_PROFIT_DEFBEN_PLAN_PRE_TAX">#REF!</definedName>
    <definedName name="V_KEYWORD_ISSR_208010809_PROFIT_ON_DISP">#REF!</definedName>
    <definedName name="V_KEYWORD_ISSR_208010809_PROVISIONS">#REF!</definedName>
    <definedName name="V_KEYWORD_ISSR_208010809_PT_PROF">#REF!</definedName>
    <definedName name="V_KEYWORD_ISSR_208010809_PURCH_EQUITY_INVESTS">#REF!</definedName>
    <definedName name="V_KEYWORD_ISSR_208010809_R_AND_D_CAP">#REF!</definedName>
    <definedName name="V_KEYWORD_ISSR_208010809_RD_EXP">#REF!</definedName>
    <definedName name="V_KEYWORD_ISSR_208010809_REPAY_BORROWINGS">#REF!</definedName>
    <definedName name="V_KEYWORD_ISSR_208010809_RESERVES">#REF!</definedName>
    <definedName name="V_KEYWORD_ISSR_208010809_RETAIN_PROFIT_LOSS">#REF!</definedName>
    <definedName name="V_KEYWORD_ISSR_208010809_SALE_PROP_PLANT_EQUIP">#REF!</definedName>
    <definedName name="V_KEYWORD_ISSR_208010809_SALES">#REF!</definedName>
    <definedName name="V_KEYWORD_ISSR_208010809_SALES_AUSTRA">#REF!</definedName>
    <definedName name="V_KEYWORD_ISSR_208010809_SALES_BRAZIL">#REF!</definedName>
    <definedName name="V_KEYWORD_ISSR_208010809_SALES_CEE">#REF!</definedName>
    <definedName name="V_KEYWORD_ISSR_208010809_SALES_CEMENT">#REF!</definedName>
    <definedName name="V_KEYWORD_ISSR_208010809_SALES_CHINA">#REF!</definedName>
    <definedName name="V_KEYWORD_ISSR_208010809_SALES_CONS">#REF!</definedName>
    <definedName name="V_KEYWORD_ISSR_208010809_SALES_EU_EX_UK">#REF!</definedName>
    <definedName name="V_KEYWORD_ISSR_208010809_SALES_FINAN">#REF!</definedName>
    <definedName name="V_KEYWORD_ISSR_208010809_SALES_FX_AUD">#REF!</definedName>
    <definedName name="V_KEYWORD_ISSR_208010809_SALES_FX_BRL">#REF!</definedName>
    <definedName name="V_KEYWORD_ISSR_208010809_SALES_FX_CNY">#REF!</definedName>
    <definedName name="V_KEYWORD_ISSR_208010809_SALES_FX_EUR">#REF!</definedName>
    <definedName name="V_KEYWORD_ISSR_208010809_SALES_FX_GPB">#REF!</definedName>
    <definedName name="V_KEYWORD_ISSR_208010809_SALES_FX_INR">#REF!</definedName>
    <definedName name="V_KEYWORD_ISSR_208010809_SALES_FX_NZD">#REF!</definedName>
    <definedName name="V_KEYWORD_ISSR_208010809_SALES_FX_OTH">#REF!</definedName>
    <definedName name="V_KEYWORD_ISSR_208010809_SALES_FX_RUB">#REF!</definedName>
    <definedName name="V_KEYWORD_ISSR_208010809_SALES_FX_USD">#REF!</definedName>
    <definedName name="V_KEYWORD_ISSR_208010809_SALES_FX_YEN">#REF!</definedName>
    <definedName name="V_KEYWORD_ISSR_208010809_SALES_GLASS">#REF!</definedName>
    <definedName name="V_KEYWORD_ISSR_208010809_SALES_GOV">#REF!</definedName>
    <definedName name="V_KEYWORD_ISSR_208010809_SALES_IND">#REF!</definedName>
    <definedName name="V_KEYWORD_ISSR_208010809_SALES_INDIA">#REF!</definedName>
    <definedName name="V_KEYWORD_ISSR_208010809_SALES_JAPAN">#REF!</definedName>
    <definedName name="V_KEYWORD_ISSR_208010809_SALES_LUMBER">#REF!</definedName>
    <definedName name="V_KEYWORD_ISSR_208010809_SALES_ME">#REF!</definedName>
    <definedName name="V_KEYWORD_ISSR_208010809_SALES_NZ">#REF!</definedName>
    <definedName name="V_KEYWORD_ISSR_208010809_SALES_OIL_PETRO_FUEL">#REF!</definedName>
    <definedName name="V_KEYWORD_ISSR_208010809_SALES_OTH_AEJ">#REF!</definedName>
    <definedName name="V_KEYWORD_ISSR_208010809_SALES_OTH_AM">#REF!</definedName>
    <definedName name="V_KEYWORD_ISSR_208010809_SALES_OTH_COMMODITY">#REF!</definedName>
    <definedName name="V_KEYWORD_ISSR_208010809_SALES_OTH_EMEA">#REF!</definedName>
    <definedName name="V_KEYWORD_ISSR_208010809_SALES_OTH_SALES_SOURCES">#REF!</definedName>
    <definedName name="V_KEYWORD_ISSR_208010809_SALES_OTHER">#REF!</definedName>
    <definedName name="V_KEYWORD_ISSR_208010809_SALES_PAPER_PULP">#REF!</definedName>
    <definedName name="V_KEYWORD_ISSR_208010809_SALES_RUSSIA">#REF!</definedName>
    <definedName name="V_KEYWORD_ISSR_208010809_SALES_STEEL">#REF!</definedName>
    <definedName name="V_KEYWORD_ISSR_208010809_SALES_TOBACCO_LEAF">#REF!</definedName>
    <definedName name="V_KEYWORD_ISSR_208010809_SALES_TOT_AFRICA">#REF!</definedName>
    <definedName name="V_KEYWORD_ISSR_208010809_SALES_TOT_AM">#REF!</definedName>
    <definedName name="V_KEYWORD_ISSR_208010809_SALES_TOT_ASIA">#REF!</definedName>
    <definedName name="V_KEYWORD_ISSR_208010809_SALES_TOT_EMEA">#REF!</definedName>
    <definedName name="V_KEYWORD_ISSR_208010809_SALES_UK">#REF!</definedName>
    <definedName name="V_KEYWORD_ISSR_208010809_SALES_US">#REF!</definedName>
    <definedName name="V_KEYWORD_ISSR_208010809_SEL_GL_AD">#REF!</definedName>
    <definedName name="V_KEYWORD_ISSR_208010809_SEL_GL_AD_OTHER">#REF!</definedName>
    <definedName name="V_KEYWORD_ISSR_208010809_SH_REPUR">#REF!</definedName>
    <definedName name="V_KEYWORD_ISSR_208010809_SHARE_BASED_PAYMENTS">#REF!</definedName>
    <definedName name="V_KEYWORD_ISSR_208010809_SHORT_T_DEBT">#REF!</definedName>
    <definedName name="V_KEYWORD_ISSR_208010809_SHORT_TERM_LIABS">#REF!</definedName>
    <definedName name="V_KEYWORD_ISSR_208010809_STOCKS">#REF!</definedName>
    <definedName name="V_KEYWORD_ISSR_208010809_SUPPLIER_EMPLOYEE_PAYS">#REF!</definedName>
    <definedName name="V_KEYWORD_ISSR_208010809_TOT_ASSET">#REF!</definedName>
    <definedName name="V_KEYWORD_ISSR_208010809_TOT_CF">#REF!</definedName>
    <definedName name="V_KEYWORD_ISSR_208010809_TOT_LIAB">#REF!</definedName>
    <definedName name="V_KEYWORD_ISSR_208010809_TOT_LIAB_EQ">#REF!</definedName>
    <definedName name="V_KEYWORD_ISSR_208010809_TOT_LT_LIAB">#REF!</definedName>
    <definedName name="V_KEYWORD_ISSR_208010809_TOT_OPS_EXP">#REF!</definedName>
    <definedName name="V_KEYWORD_ISSR_208010809_TOT_OPS_EXP_DDA">#REF!</definedName>
    <definedName name="V_KEYWORD_ISSR_208010809_TOTAL_CAPITAL_EMPLOYED_ADJ">#REF!</definedName>
    <definedName name="V_KEYWORD_ISSR_208010809_TOTAL_DEPREC_AMORT">#REF!</definedName>
    <definedName name="V_KEYWORD_ISSR_208010809_TOTAL_IFRS_ADJUST_PRE_TAX">#REF!</definedName>
    <definedName name="V_KEYWORD_ISSR_208010809_TOTAL_NONCURR_ASSETS">#REF!</definedName>
    <definedName name="V_KEYWORD_ISSR_208010809_TOTAL_OPR_REVENUE">#REF!</definedName>
    <definedName name="V_KEYWORD_ISSR_208010809_TV_LICENCES_MASTERHEADS">#REF!</definedName>
    <definedName name="V_KEYWORD_ISSR_208010809_UNF_PENS">#REF!</definedName>
    <definedName name="V_KEYWORD_ISSR_208010809_UNF_PENS_LIAB_OTH">#REF!</definedName>
    <definedName name="V_KEYWORD_ISSR_208010809_UNF_PENS_OFF">#REF!</definedName>
    <definedName name="V_KEYWORD_ISSR_208010809_WORK_CAP">#REF!</definedName>
    <definedName name="V_LIVEDATA_EQTY_200014091">#REF!</definedName>
    <definedName name="V_LIVEDATA_ISSR_208010809">#REF!</definedName>
    <definedName name="V_PERIOD_2014">#REF!</definedName>
    <definedName name="V_PERIOD_2015">#REF!</definedName>
    <definedName name="V_PERIOD_2016">#REF!</definedName>
    <definedName name="V_PERIOD_2017">#REF!</definedName>
    <definedName name="V_SECTION_EQTY_200014091_1314">#REF!</definedName>
    <definedName name="V_SECTION_EQTY_200014091_1316A">#REF!</definedName>
    <definedName name="V_SECTION_EQTY_200014091_1316B">#REF!</definedName>
    <definedName name="V_SECTION_EQTY_200014091_1316C">#REF!</definedName>
    <definedName name="V_SECTION_EQTY_200014091_1316D">#REF!</definedName>
    <definedName name="V_SECTION_EQTY_200014091_1316E">#REF!</definedName>
    <definedName name="V_SECTION_EQTY_200014091_131E">#REF!</definedName>
    <definedName name="V_SECTION_EQTY_200014091_131O">#REF!</definedName>
    <definedName name="V_SECTION_EQTY_200014091_13A">#REF!</definedName>
    <definedName name="V_SECTION_EQTY_200014091_13K">#REF!</definedName>
    <definedName name="V_SECTION_EQTY_200014091_13U">#REF!</definedName>
    <definedName name="V_SECTION_EQTY_200014091_13V">#REF!</definedName>
    <definedName name="V_SECTION_EQTY_200014091_Reference_Data">#REF!</definedName>
    <definedName name="V_SECTION_ISSR_208010809_1314">#REF!</definedName>
    <definedName name="V_SECTION_ISSR_208010809_13168">#REF!</definedName>
    <definedName name="V_SECTION_ISSR_208010809_1316B">#REF!</definedName>
    <definedName name="V_SECTION_ISSR_208010809_1316C">#REF!</definedName>
    <definedName name="V_SECTION_ISSR_208010809_1316D">#REF!</definedName>
    <definedName name="V_SECTION_ISSR_208010809_1316E">#REF!</definedName>
    <definedName name="V_SECTION_ISSR_208010809_1316S">#REF!</definedName>
    <definedName name="V_SECTION_ISSR_208010809_1316T">#REF!</definedName>
    <definedName name="V_SECTION_ISSR_208010809_1316U">#REF!</definedName>
    <definedName name="V_SECTION_ISSR_208010809_1319">#REF!</definedName>
    <definedName name="V_SECTION_ISSR_208010809_131E">#REF!</definedName>
    <definedName name="V_SECTION_ISSR_208010809_131J">#REF!</definedName>
    <definedName name="V_SECTION_ISSR_208010809_131O">#REF!</definedName>
    <definedName name="V_SECTION_ISSR_208010809_13U">#REF!</definedName>
    <definedName name="V_SECTION_ISSR_208010809_13V">#REF!</definedName>
    <definedName name="V_SECTION_ISSR_208010809_Reference_Data">#REF!</definedName>
    <definedName name="ValidRecom">#REF!</definedName>
    <definedName name="ValidSTerm">#REF!</definedName>
    <definedName name="Valuation_B">#REF!</definedName>
    <definedName name="vgbh" hidden="1">{#N/A,#N/A,FALSE,"SUMMARY";#N/A,#N/A,FALSE,"DETAIL";#N/A,#N/A,FALSE,"VARIANCE"}</definedName>
    <definedName name="vvvv" hidden="1">{#N/A,#N/A,FALSE,"FAB VENDORS";"BUD SUM",#N/A,FALSE,"BUD SUM WO TEX"}</definedName>
    <definedName name="w3e" hidden="1">{#N/A,#N/A,FALSE,"Carterco"}</definedName>
    <definedName name="WACC" localSheetId="1">#REF!</definedName>
    <definedName name="WACC" localSheetId="12">#REF!</definedName>
    <definedName name="WACC">#REF!</definedName>
    <definedName name="WACC_01" localSheetId="1">#REF!</definedName>
    <definedName name="WACC_01" localSheetId="12">#REF!</definedName>
    <definedName name="WACC_01">#REF!</definedName>
    <definedName name="WACC_Less_1" localSheetId="1">#REF!</definedName>
    <definedName name="WACC_Less_1" localSheetId="12">#REF!</definedName>
    <definedName name="WACC_Less_1">#REF!</definedName>
    <definedName name="WACC_Plus_1" localSheetId="1">#REF!</definedName>
    <definedName name="WACC_Plus_1" localSheetId="12">#REF!</definedName>
    <definedName name="WACC_Plus_1">#REF!</definedName>
    <definedName name="WACC1999">#REF!</definedName>
    <definedName name="WACC2000">#REF!</definedName>
    <definedName name="WACC2001">#REF!</definedName>
    <definedName name="WACC2002">#REF!</definedName>
    <definedName name="WACC2003">#REF!</definedName>
    <definedName name="WHO" hidden="1">{#N/A,#N/A,FALSE,"SUMMARY";#N/A,#N/A,FALSE,"DETAIL";#N/A,#N/A,FALSE,"VARIANCE"}</definedName>
    <definedName name="Working_capital_adjustment" localSheetId="5">#REF!</definedName>
    <definedName name="working_capital_adjustment">MODEL!$109:$109</definedName>
    <definedName name="worksheet_signature" localSheetId="5">#REF!</definedName>
    <definedName name="worksheet_signature">#REF!</definedName>
    <definedName name="write_offs_general">#REF!</definedName>
    <definedName name="write_offs_specific">#REF!</definedName>
    <definedName name="wrn.Accretion." hidden="1">{"Accretion",#N/A,FALSE,"Assum"}</definedName>
    <definedName name="wrn.all." hidden="1">{#N/A,#N/A,FALSE,"Time Warner";#N/A,#N/A,FALSE,"Entertainment Group";#N/A,#N/A,FALSE,"EBITDA";#N/A,#N/A,FALSE,"Notes"}</definedName>
    <definedName name="wrn.AMPJAN96." localSheetId="5" hidden="1">{"Associates",#N/A,FALSE,"FULLESTI";"GPEBIT",#N/A,FALSE,"FULLESTI";"USEBIT",#N/A,FALSE,"FULLESTI";"UKEBIT",#N/A,FALSE,"FULLESTI";"AUSTEBIT",#N/A,FALSE,"FULLESTI"}</definedName>
    <definedName name="wrn.AMPJAN96." hidden="1">{"Associates",#N/A,FALSE,"FULLESTI";"GPEBIT",#N/A,FALSE,"FULLESTI";"USEBIT",#N/A,FALSE,"FULLESTI";"UKEBIT",#N/A,FALSE,"FULLESTI";"AUSTEBIT",#N/A,FALSE,"FULLESTI"}</definedName>
    <definedName name="wrn.Assumptions." hidden="1">{"Assumptions",#N/A,FALSE,"Assum"}</definedName>
    <definedName name="wrn.Barranca." hidden="1">{#N/A,#N/A,FALSE,"Barranca"}</definedName>
    <definedName name="wrn.BEL." hidden="1">{"IS",#N/A,FALSE,"IS";"RPTIS",#N/A,FALSE,"RPTIS";"STATS",#N/A,FALSE,"STATS";"CELL",#N/A,FALSE,"CELL";"BS",#N/A,FALSE,"BS"}</definedName>
    <definedName name="wrn.Book._.Output." hidden="1">{#N/A,#N/A,FALSE,"Title";#N/A,#N/A,FALSE,"Inputs";#N/A,#N/A,FALSE,"Impact";#N/A,#N/A,FALSE,"Sources &amp; Uses";#N/A,#N/A,FALSE,"Capitalization Impact";#N/A,#N/A,FALSE,"NEWCO Projections"}</definedName>
    <definedName name="wrn.BUDGET." hidden="1">{#N/A,#N/A,FALSE,"Total";#N/A,#N/A,FALSE,"Sew";#N/A,#N/A,FALSE,"Finish";#N/A,#N/A,FALSE,"CUT";#N/A,#N/A,FALSE,"Mill 5";#N/A,#N/A,FALSE,"Mill 6";#N/A,#N/A,FALSE,"Mill 8";#N/A,#N/A,FALSE,"Mill 9";#N/A,#N/A,FALSE,"Mill 10";#N/A,#N/A,FALSE,"Mill 12";#N/A,#N/A,FALSE,"Mill 15";#N/A,#N/A,FALSE,"Mill 17"}</definedName>
    <definedName name="wrn.Budget._.Analysis." hidden="1">{#N/A,#N/A,FALSE,"Mill 5"}</definedName>
    <definedName name="wrn.Carterco." hidden="1">{#N/A,#N/A,FALSE,"Carterco"}</definedName>
    <definedName name="wrn.Client." localSheetId="5" hidden="1">{"Full_Year",#N/A,FALSE,"PE1_S";#N/A,#N/A,FALSE,"DIVIS_S"}</definedName>
    <definedName name="wrn.Client." hidden="1">{"Full_Year",#N/A,FALSE,"PE1_S";#N/A,#N/A,FALSE,"DIVIS_S"}</definedName>
    <definedName name="wrn.Client_Detailed." localSheetId="5" hidden="1">{"Full_Year",#N/A,FALSE,"PE1_S";"Full_Year",#N/A,FALSE,"Cashflow_EPS";"Full_Year",#N/A,FALSE,"EBIT_DIV"}</definedName>
    <definedName name="wrn.Client_Detailed." hidden="1">{"Full_Year",#N/A,FALSE,"PE1_S";"Full_Year",#N/A,FALSE,"Cashflow_EPS";"Full_Year",#N/A,FALSE,"EBIT_DIV"}</definedName>
    <definedName name="WRN.CM" hidden="1">{#N/A,#N/A,FALSE,"FAB VENDORS";"BUD SUM",#N/A,FALSE,"BUD SUM WO TEX"}</definedName>
    <definedName name="WRN.CM1" hidden="1">{#N/A,#N/A,FALSE,"FAB VENDORS";"BUD SUM",#N/A,FALSE,"BUD SUM WO TEX"}</definedName>
    <definedName name="wrn.CUPID." hidden="1">{"Guide",#N/A,FALSE,"Guidant";"Boston Sci",#N/A,FALSE,"Boston Scientific";"Medtro",#N/A,FALSE,"Medtronic";"St. Jude",#N/A,FALSE,"St. Jude";"Pfi",#N/A,FALSE,"Pfizer";"Bard",#N/A,FALSE,"Bard";"Johns",#N/A,FALSE,"Johnson"}</definedName>
    <definedName name="wrn.CW." hidden="1">{#N/A,#N/A,FALSE,"FAB VENDORS";"BUD SUM",#N/A,FALSE,"BUD SUM WO TEX"}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FCB." hidden="1">{"FCB_ALL",#N/A,FALSE,"FCB"}</definedName>
    <definedName name="wrn.fcb2" hidden="1">{"FCB_ALL",#N/A,FALSE,"FCB"}</definedName>
    <definedName name="wrn.Full_Client." localSheetId="5" hidden="1">{"Full_Year",#N/A,FALSE,"PE1_S";"Automotive",#N/A,FALSE,"Auto_EBIT";#N/A,#N/A,FALSE,"Industrial_EBIT";#N/A,#N/A,FALSE,"Webforge_EBIT"}</definedName>
    <definedName name="wrn.Full_Client." hidden="1">{"Full_Year",#N/A,FALSE,"PE1_S";"Automotive",#N/A,FALSE,"Auto_EBIT";#N/A,#N/A,FALSE,"Industrial_EBIT";#N/A,#N/A,FALSE,"Webforge_EBIT"}</definedName>
    <definedName name="wrn.MONTH_END." hidden="1">{#N/A,#N/A,FALSE,"SUMMARY";#N/A,#N/A,FALSE,"DETAIL";#N/A,#N/A,FALSE,"VARIANCE"}</definedName>
    <definedName name="wrn.MONTHLY._.INVENTORY._.SCHEDULE." hidden="1">{#N/A,#N/A,FALSE,"Sheet1";#N/A,#N/A,FALSE,"Sheet2";#N/A,#N/A,FALSE,"Sheet3";#N/A,#N/A,FALSE,"Sheet4";#N/A,#N/A,FALSE,"Sheet5";#N/A,#N/A,FALSE,"Sheet6"}</definedName>
    <definedName name="wrn.Output." hidden="1">{#N/A,#N/A,TRUE,"Title";#N/A,#N/A,TRUE,"Inputs";#N/A,#N/A,TRUE,"Impact";#N/A,#N/A,TRUE,"Sources &amp; Uses";#N/A,#N/A,TRUE,"Capitalization Impact";#N/A,#N/A,TRUE,"NEWCO Projections";#N/A,#N/A,TRUE,"Summary - ITT";#N/A,#N/A,TRUE,"Summary - Forte";#N/A,#N/A,TRUE,"Balance Sheet Adj.";#N/A,#N/A,TRUE,"Calculation Verification"}</definedName>
    <definedName name="wrn.Print." localSheetId="5" hidden="1">{"Cashflow",#N/A,FALSE,"CASHFLOW";"DCF",#N/A,FALSE,"CASHFLOW"}</definedName>
    <definedName name="wrn.Print." hidden="1">{"Cashflow",#N/A,FALSE,"CASHFLOW";"DCF",#N/A,FALSE,"CASHFLOW"}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hidden="1">{"inputs raw data",#N/A,TRUE,"INPUT"}</definedName>
    <definedName name="wrn.print._.summary._.sheets." hidden="1">{"summary1",#N/A,TRUE,"Comps";"summary2",#N/A,TRUE,"Comps";"summary3",#N/A,TRUE,"Comps"}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all." hidden="1">{"output","fiftysix",FALSE,"mergerplans";"inputs",#N/A,FALSE,"mergerplans";"output","sixtyfive",FALSE,"mergerplans";"output","seventy",FALSE,"mergerplans"}</definedName>
    <definedName name="wrn.Report." localSheetId="5" hidden="1">{"Cashflow",#N/A,FALSE,"CASHFLOW";"DCF",#N/A,FALSE,"CASHFLOW"}</definedName>
    <definedName name="wrn.Report." hidden="1">{"Cashflow",#N/A,FALSE,"CASHFLOW";"DCF",#N/A,FALSE,"CASHFLOW"}</definedName>
    <definedName name="wrn.RESERVE._.SCHEDULE." hidden="1">{#N/A,#N/A,FALSE,"Sheet8";#N/A,#N/A,FALSE,"Sheet7"}</definedName>
    <definedName name="wrn.Riverwood_comp_model." hidden="1">{#N/A,#N/A,FALSE,"Che-Ga";#N/A,#N/A,FALSE,"Iv-Sm";#N/A,#N/A,FALSE,"So-We";#N/A,#N/A,FALSE,"Me-Po";#N/A,#N/A,FALSE,"Be-Bo";#N/A,#N/A,FALSE,"Cha-Ki";#N/A,#N/A,FALSE,"In";#N/A,#N/A,FALSE,"Schedule 23";#N/A,#N/A,FALSE,"Schedule 22";#N/A,#N/A,FALSE,"WACC"}</definedName>
    <definedName name="wrn.San._.Pedro." hidden="1">{#N/A,#N/A,FALSE,"San Pedro"}</definedName>
    <definedName name="wrn.STAND_ALONE_BOTH." hidden="1">{"FCB_ALL",#N/A,FALSE,"FCB";"GREY_ALL",#N/A,FALSE,"GREY"}</definedName>
    <definedName name="wrn.Summary._.Output." hidden="1">{#N/A,#N/A,FALSE,"Title";#N/A,#N/A,FALSE,"Inputs";#N/A,#N/A,FALSE,"Impact"}</definedName>
    <definedName name="wrn.Summary._.Projections." hidden="1">{#N/A,#N/A,FALSE,"Summary - Forte";#N/A,#N/A,FALSE,"Summary - ITT"}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Test." localSheetId="5" hidden="1">{"Detail",#N/A,FALSE,"FULLESTI";#N/A,#N/A,FALSE,"USMEDCOY"}</definedName>
    <definedName name="wrn.Test." hidden="1">{"Detail",#N/A,FALSE,"FULLESTI";#N/A,#N/A,FALSE,"USMEDCOY"}</definedName>
    <definedName name="wrn.USW." hidden="1">{"IS",#N/A,FALSE,"IS";"RPTIS",#N/A,FALSE,"RPTIS";"STATS",#N/A,FALSE,"STATS";"BS",#N/A,FALSE,"BS"}</definedName>
    <definedName name="wsed" hidden="1">{#N/A,#N/A,FALSE,"Total";#N/A,#N/A,FALSE,"Sew";#N/A,#N/A,FALSE,"Finish";#N/A,#N/A,FALSE,"CUT";#N/A,#N/A,FALSE,"Mill 5";#N/A,#N/A,FALSE,"Mill 6";#N/A,#N/A,FALSE,"Mill 8";#N/A,#N/A,FALSE,"Mill 9";#N/A,#N/A,FALSE,"Mill 10";#N/A,#N/A,FALSE,"Mill 12";#N/A,#N/A,FALSE,"Mill 15";#N/A,#N/A,FALSE,"Mill 17"}</definedName>
    <definedName name="wsedr" hidden="1">{#N/A,#N/A,FALSE,"Total";#N/A,#N/A,FALSE,"Sew";#N/A,#N/A,FALSE,"Finish";#N/A,#N/A,FALSE,"CUT";#N/A,#N/A,FALSE,"Mill 5";#N/A,#N/A,FALSE,"Mill 6";#N/A,#N/A,FALSE,"Mill 8";#N/A,#N/A,FALSE,"Mill 9";#N/A,#N/A,FALSE,"Mill 10";#N/A,#N/A,FALSE,"Mill 12";#N/A,#N/A,FALSE,"Mill 15";#N/A,#N/A,FALSE,"Mill 17"}</definedName>
    <definedName name="wvu.Half._.year._.forecast." localSheetId="6" hidden="1">{TRUE,TRUE,-2.75,-17,772.5,494.25,FALSE,TRUE,TRUE,TRUE,0,1,17,1,4,15,3,4,TRUE,TRUE,3,TRUE,1,TRUE,70,"Swvu.Half._.year._.forecast.","ACwvu.Half._.year._.forecast.",#N/A,FALSE,FALSE,0,0,0,0,1,"&amp;R&amp;""Times,Bold""&amp;12J B Were &amp;&amp; Son","&amp;L&amp;""Helvetica,Regular""&amp;12Updated: &amp;D&amp;C&amp;""Helvetica,Regular""&amp;12Analyst: Lou Capparelli Ph: (03) 9679 1298&amp;R&amp;""Helvetica,Regular""&amp;12&amp;P",TRUE,FALSE,FALSE,FALSE,1,72,#N/A,#N/A,"=C1:C36","=C1:C2,R1:R3","Rwvu.Half._.year._.forecast.","Cwvu.Half._.year._.forecast.",TRUE,FALSE,TRUE,9,4294967292,4294967292,FALSE,FALSE,TRUE,TRUE,TRUE}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Printout." localSheetId="6" hidden="1">{TRUE,TRUE,-2.75,-17,772.5,494.25,FALSE,TRUE,TRUE,TRUE,0,1,17,1,4,15,3,4,TRUE,TRUE,3,TRUE,1,TRUE,70,"Swvu.Printout.","ACwvu.Printout.",#N/A,FALSE,FALSE,0,0,0,0,1,"&amp;R&amp;""Times,Bold""&amp;12J B Were &amp;&amp; Son","&amp;L&amp;""Helvetica,Regular""&amp;12Updated: &amp;D&amp;C&amp;""Helvetica,Regular""&amp;12Analyst: Lou Capparelli Ph: (03) 9679 1298&amp;R&amp;""Helvetica,Regular""&amp;12&amp;P",TRUE,FALSE,FALSE,FALSE,1,75,#N/A,#N/A,"=C1:C39","=C1:C2,R1:R2","Rwvu.Printout.","Cwvu.Printout.",TRUE,FALSE,TRUE,9,4294967292,4294967292,FALSE,FALSE,TRUE,TRUE,TRUE}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www">#REF!</definedName>
    <definedName name="wwwwwwwwwwwwww">#REF!</definedName>
    <definedName name="xx" hidden="1">{#N/A,#N/A,FALSE,"Title";#N/A,#N/A,FALSE,"Inputs";#N/A,#N/A,FALSE,"Impact";#N/A,#N/A,FALSE,"Sources &amp; Uses";#N/A,#N/A,FALSE,"Capitalization Impact";#N/A,#N/A,FALSE,"NEWCO Projections"}</definedName>
    <definedName name="xxxx" hidden="1">{#N/A,#N/A,FALSE,"Sheet1";#N/A,#N/A,FALSE,"Sheet2";#N/A,#N/A,FALSE,"Sheet3";#N/A,#N/A,FALSE,"Sheet4";#N/A,#N/A,FALSE,"Sheet5";#N/A,#N/A,FALSE,"Sheet6"}</definedName>
    <definedName name="Y_01">#REF!</definedName>
    <definedName name="Year_Value">#REF!</definedName>
    <definedName name="YEAR2">#REF!</definedName>
    <definedName name="years_row">#REF!</definedName>
    <definedName name="yx">#REF!</definedName>
    <definedName name="yyyy" hidden="1">{#N/A,#N/A,FALSE,"Sheet1";#N/A,#N/A,FALSE,"Sheet2";#N/A,#N/A,FALSE,"Sheet3";#N/A,#N/A,FALSE,"Sheet4";#N/A,#N/A,FALSE,"Sheet5";#N/A,#N/A,FALSE,"Sheet6"}</definedName>
    <definedName name="z" hidden="1">{#N/A,#N/A,FALSE,"Sheet1";#N/A,#N/A,FALSE,"Sheet2";#N/A,#N/A,FALSE,"Sheet3";#N/A,#N/A,FALSE,"Sheet4";#N/A,#N/A,FALSE,"Sheet5";#N/A,#N/A,FALSE,"Sheet6"}</definedName>
    <definedName name="Z_22FD3661_1E78_11D1_AB32_00805F1DF0BB_.wvu.Cols" localSheetId="6" hidden="1">MODEL!#REF!,MODEL!#REF!,MODEL!#REF!,MODEL!#REF!</definedName>
    <definedName name="Z_22FD3661_1E78_11D1_AB32_00805F1DF0BB_.wvu.Rows" localSheetId="6" hidden="1">MODEL!#REF!,MODEL!#REF!,MODEL!#REF!,MODEL!#REF!,MODEL!#REF!,MODEL!#REF!,MODEL!#REF!,MODEL!#REF!,MODEL!#REF!,MODEL!#REF!,MODEL!#REF!,MODEL!#REF!</definedName>
    <definedName name="Z_22FD3662_1E78_11D1_AB32_00805F1DF0BB_.wvu.Cols" localSheetId="6" hidden="1">MODEL!#REF!,MODEL!#REF!,MODEL!#REF!,MODEL!#REF!,MODEL!#REF!,MODEL!#REF!</definedName>
    <definedName name="Z_22FD3662_1E78_11D1_AB32_00805F1DF0BB_.wvu.Rows" localSheetId="6" hidden="1">MODEL!#REF!,MODEL!#REF!,MODEL!#REF!,MODEL!#REF!,MODEL!#REF!,MODEL!#REF!,MODEL!#REF!,MODEL!#REF!,MODEL!#REF!,MODEL!#REF!,MODEL!#REF!,MODEL!#REF!,MODEL!#REF!,MODEL!#REF!,MODEL!#REF!,MODEL!#REF!</definedName>
    <definedName name="Z_68BC1116_1AB6_11D1_AB2D_00805F1DF0BB_.wvu.Cols" localSheetId="6" hidden="1">MODEL!#REF!,MODEL!#REF!,MODEL!#REF!,MODEL!#REF!</definedName>
    <definedName name="Z_68BC1116_1AB6_11D1_AB2D_00805F1DF0BB_.wvu.Rows" localSheetId="6" hidden="1">MODEL!#REF!,MODEL!#REF!,MODEL!#REF!,MODEL!#REF!,MODEL!#REF!,MODEL!#REF!,MODEL!#REF!,MODEL!#REF!,MODEL!#REF!,MODEL!#REF!,MODEL!#REF!,MODEL!#REF!</definedName>
    <definedName name="Z_68BC1117_1AB6_11D1_AB2D_00805F1DF0BB_.wvu.Cols" localSheetId="6" hidden="1">MODEL!#REF!,MODEL!#REF!,MODEL!#REF!,MODEL!#REF!,MODEL!#REF!,MODEL!#REF!</definedName>
    <definedName name="Z_68BC1117_1AB6_11D1_AB2D_00805F1DF0BB_.wvu.Rows" localSheetId="6" hidden="1">MODEL!#REF!,MODEL!#REF!,MODEL!#REF!,MODEL!#REF!,MODEL!#REF!,MODEL!#REF!,MODEL!#REF!,MODEL!#REF!,MODEL!#REF!,MODEL!#REF!,MODEL!#REF!,MODEL!#REF!,MODEL!#REF!,MODEL!#REF!,MODEL!#REF!,MODEL!#REF!</definedName>
    <definedName name="Z_8B70F845_1AC0_11D1_AB2E_00805F1DF0BB_.wvu.Cols" localSheetId="6" hidden="1">MODEL!#REF!,MODEL!#REF!,MODEL!#REF!,MODEL!#REF!</definedName>
    <definedName name="Z_8B70F845_1AC0_11D1_AB2E_00805F1DF0BB_.wvu.Rows" localSheetId="6" hidden="1">MODEL!#REF!,MODEL!#REF!,MODEL!#REF!,MODEL!#REF!,MODEL!#REF!,MODEL!#REF!,MODEL!#REF!,MODEL!#REF!,MODEL!#REF!,MODEL!#REF!,MODEL!#REF!,MODEL!#REF!</definedName>
    <definedName name="Z_8B70F846_1AC0_11D1_AB2E_00805F1DF0BB_.wvu.Cols" localSheetId="6" hidden="1">MODEL!#REF!,MODEL!#REF!,MODEL!#REF!,MODEL!#REF!,MODEL!#REF!,MODEL!#REF!</definedName>
    <definedName name="Z_8B70F846_1AC0_11D1_AB2E_00805F1DF0BB_.wvu.Rows" localSheetId="6" hidden="1">MODEL!#REF!,MODEL!#REF!,MODEL!#REF!,MODEL!#REF!,MODEL!#REF!,MODEL!#REF!,MODEL!#REF!,MODEL!#REF!,MODEL!#REF!,MODEL!#REF!,MODEL!#REF!,MODEL!#REF!,MODEL!#REF!,MODEL!#REF!,MODEL!#REF!,MODEL!#REF!</definedName>
    <definedName name="zAbn_asset_sales" localSheetId="12">#REF!</definedName>
    <definedName name="zAbn_asset_sales">#REF!</definedName>
    <definedName name="zAbn_exchange" localSheetId="1">#REF!</definedName>
    <definedName name="zAbn_exchange" localSheetId="12">#REF!</definedName>
    <definedName name="zAbn_exchange">#REF!</definedName>
    <definedName name="zAbn_writedown" localSheetId="1">#REF!</definedName>
    <definedName name="zAbn_writedown" localSheetId="12">#REF!</definedName>
    <definedName name="zAbn_writedown">#REF!</definedName>
    <definedName name="zAbn_written_back" localSheetId="1">#REF!</definedName>
    <definedName name="zAbn_written_back" localSheetId="12">#REF!</definedName>
    <definedName name="zAbn_written_back">#REF!</definedName>
    <definedName name="zAcc_Gwill_written_off" localSheetId="1">#REF!</definedName>
    <definedName name="zAcc_Gwill_written_off" localSheetId="12">#REF!</definedName>
    <definedName name="zAcc_Gwill_written_off">#REF!</definedName>
    <definedName name="zAcc_prov_DD" localSheetId="1">#REF!</definedName>
    <definedName name="zAcc_prov_DD" localSheetId="12">#REF!</definedName>
    <definedName name="zAcc_prov_DD">#REF!</definedName>
    <definedName name="zAcquisitions" localSheetId="1">#REF!</definedName>
    <definedName name="zAcquisitions" localSheetId="12">#REF!</definedName>
    <definedName name="zAcquisitions">#REF!</definedName>
    <definedName name="zAssetRevalueARR" localSheetId="1">#REF!</definedName>
    <definedName name="zAssetRevalueARR">#REF!</definedName>
    <definedName name="zAVA_P1" localSheetId="1">#REF!</definedName>
    <definedName name="zAVA_P1">#REF!</definedName>
    <definedName name="zAve_Cap_employed" localSheetId="1">#REF!</definedName>
    <definedName name="zAve_Cap_employed" localSheetId="12">#REF!</definedName>
    <definedName name="zAve_Cap_employed">#REF!</definedName>
    <definedName name="zB" localSheetId="1">#REF!</definedName>
    <definedName name="zB" localSheetId="12">#REF!</definedName>
    <definedName name="zB">#REF!</definedName>
    <definedName name="zBV_Equity" localSheetId="1">#REF!</definedName>
    <definedName name="zBV_Equity" localSheetId="12">#REF!</definedName>
    <definedName name="zBV_Equity">#REF!</definedName>
    <definedName name="zCap_Employed" localSheetId="1">#REF!</definedName>
    <definedName name="zCap_Employed" localSheetId="12">#REF!</definedName>
    <definedName name="zCap_Employed">#REF!</definedName>
    <definedName name="zCAPEX_exp" localSheetId="1">#REF!</definedName>
    <definedName name="zCAPEX_exp" localSheetId="12">#REF!</definedName>
    <definedName name="zCAPEX_exp">#REF!</definedName>
    <definedName name="zCAPEX_Main" localSheetId="1">#REF!</definedName>
    <definedName name="zCAPEX_Main" localSheetId="12">#REF!</definedName>
    <definedName name="zCAPEX_Main">#REF!</definedName>
    <definedName name="zCF_pre_adjust" localSheetId="1">#REF!</definedName>
    <definedName name="zCF_pre_adjust" localSheetId="12">#REF!</definedName>
    <definedName name="zCF_pre_adjust">#REF!</definedName>
    <definedName name="zCumAdjAbsExt" localSheetId="1">#REF!</definedName>
    <definedName name="zCumAdjAbsExt">#REF!</definedName>
    <definedName name="zDCF" localSheetId="1">#REF!</definedName>
    <definedName name="zDCF" localSheetId="12">#REF!</definedName>
    <definedName name="zDCF">#REF!</definedName>
    <definedName name="zDD_Exp" localSheetId="1">#REF!</definedName>
    <definedName name="zDD_Exp" localSheetId="12">#REF!</definedName>
    <definedName name="zDD_Exp">#REF!</definedName>
    <definedName name="zDDE" localSheetId="1">#REF!</definedName>
    <definedName name="zDDE" localSheetId="12">#REF!</definedName>
    <definedName name="zDDE">#REF!</definedName>
    <definedName name="zDE" localSheetId="1">#REF!</definedName>
    <definedName name="zDE" localSheetId="12">#REF!</definedName>
    <definedName name="zDE">#REF!</definedName>
    <definedName name="zDebt" localSheetId="1">#REF!</definedName>
    <definedName name="zDebt" localSheetId="12">#REF!</definedName>
    <definedName name="zDebt">#REF!</definedName>
    <definedName name="zDebt_EVA" localSheetId="1">#REF!</definedName>
    <definedName name="zDebt_EVA" localSheetId="12">#REF!</definedName>
    <definedName name="zDebt_EVA">#REF!</definedName>
    <definedName name="zDeferred_tax_res" localSheetId="1">#REF!</definedName>
    <definedName name="zDeferred_tax_res" localSheetId="12">#REF!</definedName>
    <definedName name="zDeferred_tax_res">#REF!</definedName>
    <definedName name="zDeprec" localSheetId="1">#REF!</definedName>
    <definedName name="zDeprec" localSheetId="12">#REF!</definedName>
    <definedName name="zDeprec">#REF!</definedName>
    <definedName name="zDf" localSheetId="1">#REF!</definedName>
    <definedName name="zDf" localSheetId="12">#REF!</definedName>
    <definedName name="zDf">#REF!</definedName>
    <definedName name="zDirValvsGrossIntang" localSheetId="1">#REF!</definedName>
    <definedName name="zDirValvsGrossIntang">#REF!</definedName>
    <definedName name="zDirValvsGrossLBI" localSheetId="1">#REF!</definedName>
    <definedName name="zDirValvsGrossLBI">#REF!</definedName>
    <definedName name="zDirValvsGrossPELA" localSheetId="1">#REF!</definedName>
    <definedName name="zDirValvsGrossPELA">#REF!</definedName>
    <definedName name="zDiv_invest" localSheetId="1">#REF!</definedName>
    <definedName name="zDiv_invest" localSheetId="12">#REF!</definedName>
    <definedName name="zDiv_invest">#REF!</definedName>
    <definedName name="zDivPayable" localSheetId="1">#REF!</definedName>
    <definedName name="zDivPayable">#REF!</definedName>
    <definedName name="zDPS" localSheetId="1">#REF!</definedName>
    <definedName name="zDPS" localSheetId="12">#REF!</definedName>
    <definedName name="zDPS">#REF!</definedName>
    <definedName name="zEBIT" localSheetId="1">#REF!</definedName>
    <definedName name="zEBIT" localSheetId="12">#REF!</definedName>
    <definedName name="zEBIT">#REF!</definedName>
    <definedName name="zEBIT_adj" localSheetId="1">#REF!</definedName>
    <definedName name="zEBIT_adj" localSheetId="12">#REF!</definedName>
    <definedName name="zEBIT_adj">#REF!</definedName>
    <definedName name="zEBITDA" localSheetId="1">#REF!</definedName>
    <definedName name="zEBITDA" localSheetId="12">#REF!</definedName>
    <definedName name="zEBITDA">#REF!</definedName>
    <definedName name="zEDE" localSheetId="1">#REF!</definedName>
    <definedName name="zEDE" localSheetId="12">#REF!</definedName>
    <definedName name="zEDE">#REF!</definedName>
    <definedName name="zEquityValue" localSheetId="1">#REF!</definedName>
    <definedName name="zEquityValue" localSheetId="12">#REF!</definedName>
    <definedName name="zEquityValue">#REF!</definedName>
    <definedName name="zEVA_Spread" localSheetId="1">#REF!</definedName>
    <definedName name="zEVA_Spread" localSheetId="12">#REF!</definedName>
    <definedName name="zEVA_Spread">#REF!</definedName>
    <definedName name="zFCF" localSheetId="1">#REF!</definedName>
    <definedName name="zFCF" localSheetId="12">#REF!</definedName>
    <definedName name="zFCF">#REF!</definedName>
    <definedName name="zFITB" localSheetId="1">#REF!</definedName>
    <definedName name="zFITB" localSheetId="12">#REF!</definedName>
    <definedName name="zFITB">#REF!</definedName>
    <definedName name="zFITB_ava" localSheetId="1">#REF!</definedName>
    <definedName name="zFITB_ava">#REF!</definedName>
    <definedName name="zForecast_Less_10" localSheetId="1">#REF!</definedName>
    <definedName name="zForecast_Less_10" localSheetId="12">#REF!</definedName>
    <definedName name="zForecast_Less_10">#REF!</definedName>
    <definedName name="zForecast_Plus_10" localSheetId="1">#REF!</definedName>
    <definedName name="zForecast_Plus_10" localSheetId="12">#REF!</definedName>
    <definedName name="zForecast_Plus_10">#REF!</definedName>
    <definedName name="zFrank" localSheetId="1">#REF!</definedName>
    <definedName name="zFrank" localSheetId="12">#REF!</definedName>
    <definedName name="zFrank">#REF!</definedName>
    <definedName name="zGrossGoodwill" localSheetId="1">#REF!</definedName>
    <definedName name="zGrossGoodwill">#REF!</definedName>
    <definedName name="zGrossLandBuildImprove" localSheetId="1">#REF!</definedName>
    <definedName name="zGrossLandBuildImprove">#REF!</definedName>
    <definedName name="zGrossOtherIntang" localSheetId="1">#REF!</definedName>
    <definedName name="zGrossOtherIntang">#REF!</definedName>
    <definedName name="zGrossPlantEquipLeaseAsset" localSheetId="1">#REF!</definedName>
    <definedName name="zGrossPlantEquipLeaseAsset">#REF!</definedName>
    <definedName name="zGrowth_Less_1" localSheetId="1">#REF!</definedName>
    <definedName name="zGrowth_Less_1" localSheetId="12">#REF!</definedName>
    <definedName name="zGrowth_Less_1">#REF!</definedName>
    <definedName name="zGrowth_Plus_1" localSheetId="1">#REF!</definedName>
    <definedName name="zGrowth_Plus_1" localSheetId="12">#REF!</definedName>
    <definedName name="zGrowth_Plus_1">#REF!</definedName>
    <definedName name="zGwill_exp" localSheetId="1">#REF!</definedName>
    <definedName name="zGwill_exp" localSheetId="12">#REF!</definedName>
    <definedName name="zGwill_exp">#REF!</definedName>
    <definedName name="zI" localSheetId="1">#REF!</definedName>
    <definedName name="zI" localSheetId="12">#REF!</definedName>
    <definedName name="zI">#REF!</definedName>
    <definedName name="zImp_attached" localSheetId="1">#REF!</definedName>
    <definedName name="zImp_attached" localSheetId="12">#REF!</definedName>
    <definedName name="zImp_attached">#REF!</definedName>
    <definedName name="zImp_valued" localSheetId="1">#REF!</definedName>
    <definedName name="zImp_valued" localSheetId="12">#REF!</definedName>
    <definedName name="zImp_valued">#REF!</definedName>
    <definedName name="zInf" localSheetId="1">#REF!</definedName>
    <definedName name="zInf" localSheetId="12">#REF!</definedName>
    <definedName name="zInf">#REF!</definedName>
    <definedName name="zInvest_excluded" localSheetId="1">#REF!</definedName>
    <definedName name="zInvest_excluded" localSheetId="12">#REF!</definedName>
    <definedName name="zInvest_excluded">#REF!</definedName>
    <definedName name="zIRRM" localSheetId="1">#REF!</definedName>
    <definedName name="zIRRM" localSheetId="12">#REF!</definedName>
    <definedName name="zIRRM">#REF!</definedName>
    <definedName name="zIssued_Shares" localSheetId="1">#REF!</definedName>
    <definedName name="zIssued_Shares" localSheetId="12">#REF!</definedName>
    <definedName name="zIssued_Shares">#REF!</definedName>
    <definedName name="zKd" localSheetId="1">#REF!</definedName>
    <definedName name="zKd" localSheetId="12">#REF!</definedName>
    <definedName name="zKd">#REF!</definedName>
    <definedName name="zKe" localSheetId="1">#REF!</definedName>
    <definedName name="zKe" localSheetId="12">#REF!</definedName>
    <definedName name="zKe">#REF!</definedName>
    <definedName name="zMinorities" localSheetId="1">#REF!</definedName>
    <definedName name="zMinorities" localSheetId="12">#REF!</definedName>
    <definedName name="zMinorities">#REF!</definedName>
    <definedName name="zMktValue_investments" localSheetId="1">#REF!</definedName>
    <definedName name="zMktValue_investments" localSheetId="12">#REF!</definedName>
    <definedName name="zMktValue_investments">#REF!</definedName>
    <definedName name="zMRP" localSheetId="1">#REF!</definedName>
    <definedName name="zMRP" localSheetId="12">#REF!</definedName>
    <definedName name="zMRP">#REF!</definedName>
    <definedName name="zNet_Int" localSheetId="1">#REF!</definedName>
    <definedName name="zNet_Int" localSheetId="12">#REF!</definedName>
    <definedName name="zNet_Int">#REF!</definedName>
    <definedName name="zNetAdjAssIntangPreTax" localSheetId="1">#REF!</definedName>
    <definedName name="zNetAdjAssIntangPreTax">#REF!</definedName>
    <definedName name="zNetAdjSholdersFunds" localSheetId="1">#REF!</definedName>
    <definedName name="zNetAdjSholdersFunds">#REF!</definedName>
    <definedName name="zNetGoodwill" localSheetId="1">#REF!</definedName>
    <definedName name="zNetGoodwill">#REF!</definedName>
    <definedName name="zNOPAT" localSheetId="1">#REF!</definedName>
    <definedName name="zNOPAT" localSheetId="12">#REF!</definedName>
    <definedName name="zNOPAT">#REF!</definedName>
    <definedName name="zNOPBT" localSheetId="1">#REF!</definedName>
    <definedName name="zNOPBT" localSheetId="12">#REF!</definedName>
    <definedName name="zNOPBT">#REF!</definedName>
    <definedName name="zPDIT" localSheetId="1">#REF!</definedName>
    <definedName name="zPDIT" localSheetId="12">#REF!</definedName>
    <definedName name="zPDIT">#REF!</definedName>
    <definedName name="zPDIT_ava" localSheetId="1">#REF!</definedName>
    <definedName name="zPDIT_ava">#REF!</definedName>
    <definedName name="zPre_Tax_Profit" localSheetId="1">#REF!</definedName>
    <definedName name="zPre_Tax_Profit" localSheetId="12">#REF!</definedName>
    <definedName name="zPre_Tax_Profit">#REF!</definedName>
    <definedName name="zProceeds_asset_sales" localSheetId="1">#REF!</definedName>
    <definedName name="zProceeds_asset_sales" localSheetId="12">#REF!</definedName>
    <definedName name="zProceeds_asset_sales">#REF!</definedName>
    <definedName name="zProf_loss_asset_sale" localSheetId="1">#REF!</definedName>
    <definedName name="zProf_loss_asset_sale" localSheetId="12">#REF!</definedName>
    <definedName name="zProf_loss_asset_sale">#REF!</definedName>
    <definedName name="zPVCF" localSheetId="1">#REF!</definedName>
    <definedName name="zPVCF" localSheetId="12">#REF!</definedName>
    <definedName name="zPVCF">#REF!</definedName>
    <definedName name="zPVCF_sum" localSheetId="1">#REF!</definedName>
    <definedName name="zPVCF_sum" localSheetId="12">#REF!</definedName>
    <definedName name="zPVCF_sum">#REF!</definedName>
    <definedName name="zPVImp" localSheetId="1">#REF!</definedName>
    <definedName name="zPVImp" localSheetId="12">#REF!</definedName>
    <definedName name="zPVImp">#REF!</definedName>
    <definedName name="zPVImp_Sum" localSheetId="1">#REF!</definedName>
    <definedName name="zPVImp_Sum" localSheetId="12">#REF!</definedName>
    <definedName name="zPVImp_Sum">#REF!</definedName>
    <definedName name="zRD_written_off" localSheetId="1">#REF!</definedName>
    <definedName name="zRD_written_off" localSheetId="12">#REF!</definedName>
    <definedName name="zRD_written_off">#REF!</definedName>
    <definedName name="zRf" localSheetId="1">#REF!</definedName>
    <definedName name="zRf" localSheetId="12">#REF!</definedName>
    <definedName name="zRf">#REF!</definedName>
    <definedName name="zROCE" localSheetId="1">#REF!</definedName>
    <definedName name="zROCE" localSheetId="12">#REF!</definedName>
    <definedName name="zROCE">#REF!</definedName>
    <definedName name="zSales" localSheetId="1">#REF!</definedName>
    <definedName name="zSales" localSheetId="12">#REF!</definedName>
    <definedName name="zSales">#REF!</definedName>
    <definedName name="zStockCode" localSheetId="1">#REF!</definedName>
    <definedName name="zStockCode" localSheetId="12">#REF!</definedName>
    <definedName name="zStockCode">#REF!</definedName>
    <definedName name="zTax_Abn" localSheetId="1">#REF!</definedName>
    <definedName name="zTax_Abn" localSheetId="12">#REF!</definedName>
    <definedName name="zTax_Abn">#REF!</definedName>
    <definedName name="zTax_asset_sale" localSheetId="1">#REF!</definedName>
    <definedName name="zTax_asset_sale" localSheetId="12">#REF!</definedName>
    <definedName name="zTax_asset_sale">#REF!</definedName>
    <definedName name="zTax_effective" localSheetId="1">#REF!</definedName>
    <definedName name="zTax_effective" localSheetId="12">#REF!</definedName>
    <definedName name="zTax_effective">#REF!</definedName>
    <definedName name="zTax_FX" localSheetId="1">#REF!</definedName>
    <definedName name="zTax_FX" localSheetId="12">#REF!</definedName>
    <definedName name="zTax_FX">#REF!</definedName>
    <definedName name="zTax_minorities" localSheetId="1">#REF!</definedName>
    <definedName name="zTax_minorities" localSheetId="12">#REF!</definedName>
    <definedName name="zTax_minorities">#REF!</definedName>
    <definedName name="zTax_net_int" localSheetId="1">#REF!</definedName>
    <definedName name="zTax_net_int" localSheetId="12">#REF!</definedName>
    <definedName name="zTax_net_int">#REF!</definedName>
    <definedName name="zTax_notional_cash" localSheetId="1">#REF!</definedName>
    <definedName name="zTax_notional_cash" localSheetId="12">#REF!</definedName>
    <definedName name="zTax_notional_cash">#REF!</definedName>
    <definedName name="zTax_pl" localSheetId="1">#REF!</definedName>
    <definedName name="zTax_pl" localSheetId="12">#REF!</definedName>
    <definedName name="zTax_pl">#REF!</definedName>
    <definedName name="zTc" localSheetId="1">#REF!</definedName>
    <definedName name="zTc" localSheetId="12">#REF!</definedName>
    <definedName name="zTc">#REF!</definedName>
    <definedName name="zTotal_Adjustments" localSheetId="1">#REF!</definedName>
    <definedName name="zTotal_Adjustments" localSheetId="12">#REF!</definedName>
    <definedName name="zTotal_Adjustments">#REF!</definedName>
    <definedName name="zTotalDepAmortLBI" localSheetId="1">#REF!</definedName>
    <definedName name="zTotalDepAmortLBI">#REF!</definedName>
    <definedName name="zTotalDepAmortPELA" localSheetId="1">#REF!</definedName>
    <definedName name="zTotalDepAmortPELA">#REF!</definedName>
    <definedName name="zTotalDepAmortPPE" localSheetId="1">#REF!</definedName>
    <definedName name="zTotalDepAmortPPE">#REF!</definedName>
    <definedName name="zTotalDirIndValIntang" localSheetId="1">#REF!</definedName>
    <definedName name="zTotalDirIndValIntang">#REF!</definedName>
    <definedName name="zTotalDirIndValLBI" localSheetId="1">#REF!</definedName>
    <definedName name="zTotalDirIndValLBI">#REF!</definedName>
    <definedName name="zTotalDirIndValPELA" localSheetId="1">#REF!</definedName>
    <definedName name="zTotalDirIndValPELA">#REF!</definedName>
    <definedName name="zTotalDirIndValPPE" localSheetId="1">#REF!</definedName>
    <definedName name="zTotalDirIndValPPE">#REF!</definedName>
    <definedName name="zTotalDirVal" localSheetId="1">#REF!</definedName>
    <definedName name="zTotalDirVal">#REF!</definedName>
    <definedName name="zTotalDirValvsARR" localSheetId="1">#REF!</definedName>
    <definedName name="zTotalDirValvsARR">#REF!</definedName>
    <definedName name="zTotalGoodwillAmort" localSheetId="1">#REF!</definedName>
    <definedName name="zTotalGoodwillAmort">#REF!</definedName>
    <definedName name="zTotalGrossIntang" localSheetId="1">#REF!</definedName>
    <definedName name="zTotalGrossIntang">#REF!</definedName>
    <definedName name="zTotalGrossPPE" localSheetId="1">#REF!</definedName>
    <definedName name="zTotalGrossPPE">#REF!</definedName>
    <definedName name="zTotalIntangAmort" localSheetId="1">#REF!</definedName>
    <definedName name="zTotalIntangAmort">#REF!</definedName>
    <definedName name="zTotalNetIntang" localSheetId="1">#REF!</definedName>
    <definedName name="zTotalNetIntang">#REF!</definedName>
    <definedName name="zTotalNetLBI" localSheetId="1">#REF!</definedName>
    <definedName name="zTotalNetLBI">#REF!</definedName>
    <definedName name="zTotalNetOtherIntang" localSheetId="1">#REF!</definedName>
    <definedName name="zTotalNetOtherIntang">#REF!</definedName>
    <definedName name="zTotalNetPELA" localSheetId="1">#REF!</definedName>
    <definedName name="zTotalNetPELA">#REF!</definedName>
    <definedName name="zTotalNetPPE" localSheetId="1">#REF!</definedName>
    <definedName name="zTotalNetPPE">#REF!</definedName>
    <definedName name="zTotalOtherIntangAmort" localSheetId="1">#REF!</definedName>
    <definedName name="zTotalOtherIntangAmort">#REF!</definedName>
    <definedName name="zTransRetProfARR" localSheetId="1">#REF!</definedName>
    <definedName name="zTransRetProfARR">#REF!</definedName>
    <definedName name="zWACC" localSheetId="1">#REF!</definedName>
    <definedName name="zWACC" localSheetId="12">#REF!</definedName>
    <definedName name="zWACC">#REF!</definedName>
    <definedName name="zWACC_EVA" localSheetId="1">#REF!</definedName>
    <definedName name="zWACC_EVA" localSheetId="12">#REF!</definedName>
    <definedName name="zWACC_EVA">#REF!</definedName>
    <definedName name="zWACC_Less_1" localSheetId="1">#REF!</definedName>
    <definedName name="zWACC_Less_1" localSheetId="12">#REF!</definedName>
    <definedName name="zWACC_Less_1">#REF!</definedName>
    <definedName name="zWACC_Plus_1" localSheetId="1">#REF!</definedName>
    <definedName name="zWACC_Plus_1" localSheetId="12">#REF!</definedName>
    <definedName name="zWACC_Plus_1">#REF!</definedName>
    <definedName name="zWorking_Cap" localSheetId="1">#REF!</definedName>
    <definedName name="zWorking_Cap" localSheetId="12">#REF!</definedName>
    <definedName name="zWorking_Cap">#REF!</definedName>
    <definedName name="zYrEndBalARR" localSheetId="1">#REF!</definedName>
    <definedName name="zYrEndBalARR">#REF!</definedName>
  </definedNames>
  <calcPr calcId="191029"/>
  <customWorkbookViews>
    <customWorkbookView name="Half year forecast (MODEL)" guid="{22FD3661-1E78-11D1-AB32-00805F1DF0BB}" maximized="1" windowWidth="1020" windowHeight="630" tabRatio="394" activeSheetId="4"/>
    <customWorkbookView name="Printout (MODEL)" guid="{22FD3662-1E78-11D1-AB32-00805F1DF0BB}" maximized="1" windowWidth="1020" windowHeight="630" tabRatio="394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63" i="63733" l="1"/>
  <c r="AQ163" i="63733" s="1"/>
  <c r="AT163" i="63733" s="1"/>
  <c r="AW163" i="63733" s="1"/>
  <c r="AZ163" i="63733" s="1"/>
  <c r="BC163" i="63733" s="1"/>
  <c r="BF163" i="63733" s="1"/>
  <c r="BI163" i="63733" s="1"/>
  <c r="AM163" i="63733"/>
  <c r="AP163" i="63733" s="1"/>
  <c r="AS163" i="63733" s="1"/>
  <c r="AV163" i="63733" s="1"/>
  <c r="AY163" i="63733" s="1"/>
  <c r="BB163" i="63733" s="1"/>
  <c r="BE163" i="63733" s="1"/>
  <c r="BH163" i="63733" s="1"/>
  <c r="BI70" i="63733" l="1"/>
  <c r="BH70" i="63733"/>
  <c r="BF70" i="63733"/>
  <c r="BE70" i="63733"/>
  <c r="BC70" i="63733"/>
  <c r="BB70" i="63733"/>
  <c r="AZ70" i="63733"/>
  <c r="AY70" i="63733"/>
  <c r="AW70" i="63733"/>
  <c r="AV70" i="63733"/>
  <c r="AT70" i="63733"/>
  <c r="AS70" i="63733"/>
  <c r="AQ70" i="63733"/>
  <c r="AP70" i="63733"/>
  <c r="AN70" i="63733"/>
  <c r="AM70" i="63733"/>
  <c r="AK70" i="63733"/>
  <c r="AJ70" i="63733"/>
  <c r="BI23" i="1336" l="1"/>
  <c r="BH23" i="1336"/>
  <c r="BF23" i="1336"/>
  <c r="BE23" i="1336"/>
  <c r="BC23" i="1336"/>
  <c r="BB23" i="1336"/>
  <c r="AZ23" i="1336"/>
  <c r="AY23" i="1336"/>
  <c r="AW23" i="1336"/>
  <c r="AV23" i="1336"/>
  <c r="AT23" i="1336"/>
  <c r="AS23" i="1336"/>
  <c r="AQ23" i="1336"/>
  <c r="AP23" i="1336"/>
  <c r="AN23" i="1336"/>
  <c r="AM23" i="1336"/>
  <c r="AN76" i="63733"/>
  <c r="AQ76" i="63733" s="1"/>
  <c r="AT76" i="63733" s="1"/>
  <c r="AW76" i="63733" s="1"/>
  <c r="AZ76" i="63733" s="1"/>
  <c r="BC76" i="63733" s="1"/>
  <c r="BF76" i="63733" s="1"/>
  <c r="BI76" i="63733" s="1"/>
  <c r="AM76" i="63733"/>
  <c r="AP76" i="63733" s="1"/>
  <c r="AS76" i="63733" s="1"/>
  <c r="AV76" i="63733" s="1"/>
  <c r="AY76" i="63733" s="1"/>
  <c r="BB76" i="63733" s="1"/>
  <c r="BE76" i="63733" s="1"/>
  <c r="BH76" i="63733" s="1"/>
  <c r="AF153" i="1336"/>
  <c r="AQ361" i="63733"/>
  <c r="AT361" i="63733" s="1"/>
  <c r="AW361" i="63733" s="1"/>
  <c r="AZ361" i="63733" s="1"/>
  <c r="BC361" i="63733" s="1"/>
  <c r="BF361" i="63733" s="1"/>
  <c r="BI361" i="63733" s="1"/>
  <c r="AP361" i="63733"/>
  <c r="AS361" i="63733" s="1"/>
  <c r="AV361" i="63733" s="1"/>
  <c r="AY361" i="63733" s="1"/>
  <c r="BB361" i="63733" s="1"/>
  <c r="BE361" i="63733" s="1"/>
  <c r="BH361" i="63733" s="1"/>
  <c r="AN358" i="63733"/>
  <c r="AQ358" i="63733" s="1"/>
  <c r="AT358" i="63733" s="1"/>
  <c r="AW358" i="63733" s="1"/>
  <c r="AZ358" i="63733" s="1"/>
  <c r="BC358" i="63733" s="1"/>
  <c r="BF358" i="63733" s="1"/>
  <c r="BI358" i="63733" s="1"/>
  <c r="AM358" i="63733"/>
  <c r="AP358" i="63733" s="1"/>
  <c r="AS358" i="63733" s="1"/>
  <c r="AV358" i="63733" s="1"/>
  <c r="AY358" i="63733" s="1"/>
  <c r="BB358" i="63733" s="1"/>
  <c r="BE358" i="63733" s="1"/>
  <c r="BH358" i="63733" s="1"/>
  <c r="AI203" i="1336"/>
  <c r="AL203" i="1336" s="1"/>
  <c r="AO203" i="1336" s="1"/>
  <c r="AR203" i="1336" s="1"/>
  <c r="AU203" i="1336" s="1"/>
  <c r="AX203" i="1336" s="1"/>
  <c r="BA203" i="1336" s="1"/>
  <c r="BD203" i="1336" s="1"/>
  <c r="BG203" i="1336" s="1"/>
  <c r="BJ203" i="1336" s="1"/>
  <c r="AD186" i="1336"/>
  <c r="AT224" i="63733"/>
  <c r="AW224" i="63733" s="1"/>
  <c r="AZ224" i="63733" s="1"/>
  <c r="BC224" i="63733" s="1"/>
  <c r="BF224" i="63733" s="1"/>
  <c r="BI224" i="63733" s="1"/>
  <c r="AS224" i="63733"/>
  <c r="AV224" i="63733" s="1"/>
  <c r="AY224" i="63733" s="1"/>
  <c r="BB224" i="63733" s="1"/>
  <c r="BE224" i="63733" s="1"/>
  <c r="BH224" i="63733" s="1"/>
  <c r="AI439" i="63733"/>
  <c r="AI207" i="1336"/>
  <c r="AF438" i="63733"/>
  <c r="AF37" i="63733" s="1"/>
  <c r="AC11" i="63733"/>
  <c r="AC46" i="63829"/>
  <c r="AC25" i="63829"/>
  <c r="AB3" i="63830"/>
  <c r="AB79" i="63829"/>
  <c r="AB64" i="63829"/>
  <c r="AB3" i="63829"/>
  <c r="AB368" i="63733"/>
  <c r="AB423" i="63733" s="1"/>
  <c r="AB343" i="63733"/>
  <c r="AB340" i="63733"/>
  <c r="AB350" i="63733" s="1"/>
  <c r="AB235" i="63733"/>
  <c r="AB232" i="63733"/>
  <c r="AB223" i="63733"/>
  <c r="AB205" i="63733"/>
  <c r="AB177" i="63733"/>
  <c r="AB169" i="63733"/>
  <c r="AB152" i="63733"/>
  <c r="AB95" i="63733"/>
  <c r="AB86" i="63733"/>
  <c r="AB66" i="63733"/>
  <c r="AB63" i="63733"/>
  <c r="AB52" i="63733"/>
  <c r="AB3" i="63733"/>
  <c r="AB218" i="1336"/>
  <c r="AB188" i="1336"/>
  <c r="AB186" i="1336"/>
  <c r="AB179" i="1336"/>
  <c r="AB178" i="1336"/>
  <c r="AB171" i="1336"/>
  <c r="AB170" i="1336"/>
  <c r="AB169" i="1336"/>
  <c r="AB157" i="1336"/>
  <c r="AB153" i="1336"/>
  <c r="AB152" i="1336"/>
  <c r="AB151" i="1336"/>
  <c r="AB135" i="1336"/>
  <c r="AB134" i="1336"/>
  <c r="AB125" i="1336"/>
  <c r="AB123" i="1336"/>
  <c r="AB117" i="1336"/>
  <c r="AB116" i="1336"/>
  <c r="AB115" i="1336"/>
  <c r="AB92" i="1336"/>
  <c r="AB93" i="1336" s="1"/>
  <c r="AB88" i="1336"/>
  <c r="AB71" i="1336"/>
  <c r="AB41" i="1336"/>
  <c r="AB20" i="1336"/>
  <c r="AB18" i="1336"/>
  <c r="AB16" i="1336"/>
  <c r="AB14" i="1336"/>
  <c r="AB9" i="1336"/>
  <c r="AC203" i="1336"/>
  <c r="AC199" i="1336"/>
  <c r="AC172" i="1336"/>
  <c r="AB172" i="1336" s="1"/>
  <c r="AC126" i="1336"/>
  <c r="AC111" i="1336"/>
  <c r="AC101" i="1336"/>
  <c r="AB239" i="63733" l="1"/>
  <c r="AB9" i="63733"/>
  <c r="AB237" i="63733"/>
  <c r="AB88" i="63733"/>
  <c r="AB56" i="1336"/>
  <c r="AB224" i="63733"/>
  <c r="AB74" i="63829"/>
  <c r="AB195" i="1336"/>
  <c r="AB104" i="63733"/>
  <c r="AB8" i="63733"/>
  <c r="AB170" i="63733"/>
  <c r="AB370" i="63733"/>
  <c r="AB424" i="63733"/>
  <c r="AB97" i="63733"/>
  <c r="AC91" i="1336"/>
  <c r="AC73" i="1336"/>
  <c r="AC48" i="1336"/>
  <c r="AC49" i="1336" s="1"/>
  <c r="AC37" i="1336"/>
  <c r="AC31" i="1336"/>
  <c r="AC25" i="1336"/>
  <c r="AC13" i="63830"/>
  <c r="AC74" i="63829"/>
  <c r="AC39" i="63829"/>
  <c r="AC45" i="63829" s="1"/>
  <c r="AF45" i="63829" s="1"/>
  <c r="AC38" i="63829"/>
  <c r="AC32" i="63829"/>
  <c r="AC12" i="63829"/>
  <c r="AC378" i="63733"/>
  <c r="AC244" i="63733"/>
  <c r="AC236" i="63733"/>
  <c r="AC224" i="63733"/>
  <c r="AC181" i="63733"/>
  <c r="AC170" i="63733"/>
  <c r="AF170" i="63733" s="1"/>
  <c r="AI170" i="63733" s="1"/>
  <c r="AL170" i="63733" s="1"/>
  <c r="AO170" i="63733" s="1"/>
  <c r="AR170" i="63733" s="1"/>
  <c r="AU170" i="63733" s="1"/>
  <c r="AX170" i="63733" s="1"/>
  <c r="BA170" i="63733" s="1"/>
  <c r="BD170" i="63733" s="1"/>
  <c r="BG170" i="63733" s="1"/>
  <c r="BJ170" i="63733" s="1"/>
  <c r="AC97" i="63733"/>
  <c r="AC96" i="63733"/>
  <c r="AC88" i="63733"/>
  <c r="AC192" i="63733"/>
  <c r="AC109" i="63733"/>
  <c r="AC139" i="1336" l="1"/>
  <c r="AC56" i="1336"/>
  <c r="AA56" i="1336"/>
  <c r="C9" i="63842"/>
  <c r="C8" i="63842"/>
  <c r="C7" i="63842"/>
  <c r="C6" i="63842"/>
  <c r="B68" i="63836"/>
  <c r="R68" i="63836" s="1" a="1"/>
  <c r="R68" i="63836" s="1"/>
  <c r="BI84" i="1336"/>
  <c r="BH84" i="1336"/>
  <c r="BF84" i="1336"/>
  <c r="BE84" i="1336"/>
  <c r="BC84" i="1336"/>
  <c r="BB84" i="1336"/>
  <c r="AZ84" i="1336"/>
  <c r="AY84" i="1336"/>
  <c r="AW84" i="1336"/>
  <c r="AV84" i="1336"/>
  <c r="AT84" i="1336"/>
  <c r="AS84" i="1336"/>
  <c r="AQ84" i="1336"/>
  <c r="AP84" i="1336"/>
  <c r="AN84" i="1336"/>
  <c r="AM84" i="1336"/>
  <c r="AI50" i="63829"/>
  <c r="AL50" i="63829" s="1"/>
  <c r="AO50" i="63829" s="1"/>
  <c r="AR50" i="63829" s="1"/>
  <c r="AU50" i="63829" s="1"/>
  <c r="AX50" i="63829" s="1"/>
  <c r="BA50" i="63829" s="1"/>
  <c r="BD50" i="63829" s="1"/>
  <c r="BG50" i="63829" s="1"/>
  <c r="BJ50" i="63829" s="1"/>
  <c r="Q111" i="1336"/>
  <c r="Z111" i="1336"/>
  <c r="BI215" i="1336"/>
  <c r="BH215" i="1336"/>
  <c r="BF215" i="1336"/>
  <c r="BE215" i="1336"/>
  <c r="BC215" i="1336"/>
  <c r="BB215" i="1336"/>
  <c r="AZ215" i="1336"/>
  <c r="AY215" i="1336"/>
  <c r="AW215" i="1336"/>
  <c r="AV215" i="1336"/>
  <c r="AT215" i="1336"/>
  <c r="AS215" i="1336"/>
  <c r="AQ215" i="1336"/>
  <c r="AP215" i="1336"/>
  <c r="AN215" i="1336"/>
  <c r="AM215" i="1336"/>
  <c r="AK215" i="1336"/>
  <c r="AJ215" i="1336"/>
  <c r="W25" i="1336"/>
  <c r="Z25" i="1336"/>
  <c r="W31" i="1336"/>
  <c r="W49" i="1336"/>
  <c r="Z20" i="1336"/>
  <c r="Z49" i="1336"/>
  <c r="R7" i="63836"/>
  <c r="B67" i="63836"/>
  <c r="BI288" i="1336"/>
  <c r="BH288" i="1336"/>
  <c r="BF288" i="1336"/>
  <c r="BE288" i="1336"/>
  <c r="BC288" i="1336"/>
  <c r="BB288" i="1336"/>
  <c r="AZ288" i="1336"/>
  <c r="AY288" i="1336"/>
  <c r="AW288" i="1336"/>
  <c r="AV288" i="1336"/>
  <c r="AT288" i="1336"/>
  <c r="AS288" i="1336"/>
  <c r="AQ288" i="1336"/>
  <c r="AP288" i="1336"/>
  <c r="AN288" i="1336"/>
  <c r="AM288" i="1336"/>
  <c r="AK288" i="1336"/>
  <c r="AJ288" i="1336"/>
  <c r="BI286" i="1336"/>
  <c r="BH286" i="1336"/>
  <c r="BF286" i="1336"/>
  <c r="BE286" i="1336"/>
  <c r="BC286" i="1336"/>
  <c r="BB286" i="1336"/>
  <c r="AZ286" i="1336"/>
  <c r="AY286" i="1336"/>
  <c r="AW286" i="1336"/>
  <c r="AV286" i="1336"/>
  <c r="AT286" i="1336"/>
  <c r="AS286" i="1336"/>
  <c r="AQ286" i="1336"/>
  <c r="AP286" i="1336"/>
  <c r="AN286" i="1336"/>
  <c r="AM286" i="1336"/>
  <c r="AK286" i="1336"/>
  <c r="AJ286" i="1336"/>
  <c r="P68" i="63836" l="1" a="1"/>
  <c r="P68" i="63836" s="1"/>
  <c r="Q68" i="63836" a="1"/>
  <c r="Q68" i="63836" s="1"/>
  <c r="BI287" i="1336"/>
  <c r="BI289" i="1336" s="1"/>
  <c r="AT287" i="1336"/>
  <c r="AT289" i="1336" s="1"/>
  <c r="BC287" i="1336"/>
  <c r="BC289" i="1336" s="1"/>
  <c r="AV287" i="1336"/>
  <c r="AV289" i="1336" s="1"/>
  <c r="AM287" i="1336"/>
  <c r="AM289" i="1336" s="1"/>
  <c r="BE287" i="1336"/>
  <c r="BE289" i="1336" s="1"/>
  <c r="AN287" i="1336"/>
  <c r="AN289" i="1336" s="1"/>
  <c r="AP287" i="1336"/>
  <c r="AP289" i="1336" s="1"/>
  <c r="AY287" i="1336"/>
  <c r="AY289" i="1336" s="1"/>
  <c r="BH287" i="1336"/>
  <c r="BH289" i="1336" s="1"/>
  <c r="AW287" i="1336"/>
  <c r="AW289" i="1336" s="1"/>
  <c r="AS287" i="1336"/>
  <c r="AS289" i="1336" s="1"/>
  <c r="BB287" i="1336"/>
  <c r="BB289" i="1336" s="1"/>
  <c r="AQ287" i="1336"/>
  <c r="AQ289" i="1336" s="1"/>
  <c r="AZ287" i="1336"/>
  <c r="AZ289" i="1336" s="1"/>
  <c r="BF287" i="1336"/>
  <c r="BF289" i="1336" s="1"/>
  <c r="BI81" i="1336"/>
  <c r="BH81" i="1336"/>
  <c r="BF81" i="1336"/>
  <c r="BE81" i="1336"/>
  <c r="BC81" i="1336"/>
  <c r="BB81" i="1336"/>
  <c r="AZ81" i="1336"/>
  <c r="AY81" i="1336"/>
  <c r="AW81" i="1336"/>
  <c r="AV81" i="1336"/>
  <c r="AT81" i="1336"/>
  <c r="AS81" i="1336"/>
  <c r="AQ81" i="1336"/>
  <c r="AP81" i="1336"/>
  <c r="AN81" i="1336"/>
  <c r="AM81" i="1336"/>
  <c r="B56" i="63836"/>
  <c r="BI45" i="1336"/>
  <c r="BH45" i="1336"/>
  <c r="BF45" i="1336"/>
  <c r="BE45" i="1336"/>
  <c r="BC45" i="1336"/>
  <c r="BB45" i="1336"/>
  <c r="AZ45" i="1336"/>
  <c r="AY45" i="1336"/>
  <c r="AW45" i="1336"/>
  <c r="AV45" i="1336"/>
  <c r="AT45" i="1336"/>
  <c r="AS45" i="1336"/>
  <c r="AQ45" i="1336"/>
  <c r="AP45" i="1336"/>
  <c r="AN45" i="1336"/>
  <c r="AM45" i="1336"/>
  <c r="AK45" i="1336"/>
  <c r="AJ45" i="1336"/>
  <c r="B66" i="63836"/>
  <c r="AI199" i="1336"/>
  <c r="AL199" i="1336" s="1"/>
  <c r="AO199" i="1336" s="1"/>
  <c r="AR199" i="1336" s="1"/>
  <c r="AU199" i="1336" s="1"/>
  <c r="AX199" i="1336" s="1"/>
  <c r="BA199" i="1336" s="1"/>
  <c r="BD199" i="1336" s="1"/>
  <c r="BG199" i="1336" s="1"/>
  <c r="BJ199" i="1336" s="1"/>
  <c r="Y71" i="1336"/>
  <c r="AB73" i="1336" s="1"/>
  <c r="AK439" i="63733"/>
  <c r="AN439" i="63733" s="1"/>
  <c r="AQ439" i="63733" s="1"/>
  <c r="AT439" i="63733" s="1"/>
  <c r="AW439" i="63733" s="1"/>
  <c r="AZ439" i="63733" s="1"/>
  <c r="BC439" i="63733" s="1"/>
  <c r="BF439" i="63733" s="1"/>
  <c r="BI439" i="63733" s="1"/>
  <c r="AJ439" i="63733"/>
  <c r="AM439" i="63733" s="1"/>
  <c r="AP439" i="63733" s="1"/>
  <c r="AS439" i="63733" s="1"/>
  <c r="AV439" i="63733" s="1"/>
  <c r="AY439" i="63733" s="1"/>
  <c r="BB439" i="63733" s="1"/>
  <c r="BE439" i="63733" s="1"/>
  <c r="BH439" i="63733" s="1"/>
  <c r="AN50" i="63829"/>
  <c r="AQ50" i="63829" s="1"/>
  <c r="AM50" i="63829"/>
  <c r="AP50" i="63829" s="1"/>
  <c r="BI213" i="1336"/>
  <c r="BI214" i="1336" s="1"/>
  <c r="BH213" i="1336"/>
  <c r="BH214" i="1336" s="1"/>
  <c r="BF213" i="1336"/>
  <c r="BF214" i="1336" s="1"/>
  <c r="BE213" i="1336"/>
  <c r="BE214" i="1336" s="1"/>
  <c r="BC213" i="1336"/>
  <c r="BC214" i="1336" s="1"/>
  <c r="BB213" i="1336"/>
  <c r="BB214" i="1336" s="1"/>
  <c r="AZ213" i="1336"/>
  <c r="AZ214" i="1336" s="1"/>
  <c r="AY213" i="1336"/>
  <c r="AY214" i="1336" s="1"/>
  <c r="AW213" i="1336"/>
  <c r="AW214" i="1336" s="1"/>
  <c r="AV213" i="1336"/>
  <c r="AV214" i="1336" s="1"/>
  <c r="AT213" i="1336"/>
  <c r="AT214" i="1336" s="1"/>
  <c r="AS213" i="1336"/>
  <c r="AS214" i="1336" s="1"/>
  <c r="AQ213" i="1336"/>
  <c r="AQ214" i="1336" s="1"/>
  <c r="AP213" i="1336"/>
  <c r="AP214" i="1336" s="1"/>
  <c r="AN213" i="1336"/>
  <c r="AN214" i="1336" s="1"/>
  <c r="AM213" i="1336"/>
  <c r="AM214" i="1336" s="1"/>
  <c r="AK213" i="1336"/>
  <c r="AK214" i="1336" s="1"/>
  <c r="AJ213" i="1336"/>
  <c r="AJ214" i="1336" s="1"/>
  <c r="K213" i="1336"/>
  <c r="H213" i="1336"/>
  <c r="F213" i="1336"/>
  <c r="E213" i="1336"/>
  <c r="AS50" i="63829" l="1"/>
  <c r="AV50" i="63829" s="1"/>
  <c r="AY50" i="63829" s="1"/>
  <c r="BB50" i="63829" s="1"/>
  <c r="BE50" i="63829" s="1"/>
  <c r="BH50" i="63829" s="1"/>
  <c r="AT50" i="63829"/>
  <c r="AW50" i="63829" s="1"/>
  <c r="AZ50" i="63829" s="1"/>
  <c r="BC50" i="63829" s="1"/>
  <c r="BF50" i="63829" s="1"/>
  <c r="BI50" i="63829" s="1"/>
  <c r="AI438" i="63733"/>
  <c r="AL439" i="63733"/>
  <c r="AO439" i="63733" s="1"/>
  <c r="AR439" i="63733" s="1"/>
  <c r="AU439" i="63733" s="1"/>
  <c r="AX439" i="63733" s="1"/>
  <c r="BA439" i="63733" s="1"/>
  <c r="BD439" i="63733" s="1"/>
  <c r="BG439" i="63733" s="1"/>
  <c r="BJ439" i="63733" s="1"/>
  <c r="BI174" i="63733" l="1"/>
  <c r="BH174" i="63733"/>
  <c r="BF174" i="63733"/>
  <c r="BE174" i="63733"/>
  <c r="BC174" i="63733"/>
  <c r="BB174" i="63733"/>
  <c r="AZ174" i="63733"/>
  <c r="AY174" i="63733"/>
  <c r="AW174" i="63733"/>
  <c r="AV174" i="63733"/>
  <c r="AT174" i="63733"/>
  <c r="AS174" i="63733"/>
  <c r="AQ174" i="63733"/>
  <c r="AP174" i="63733"/>
  <c r="AN174" i="63733"/>
  <c r="AM174" i="63733"/>
  <c r="Z174" i="63733"/>
  <c r="O174" i="63733"/>
  <c r="L174" i="63733"/>
  <c r="K174" i="63733"/>
  <c r="M158" i="63733"/>
  <c r="L159" i="63733"/>
  <c r="M212" i="63733"/>
  <c r="O213" i="63733"/>
  <c r="O358" i="63733"/>
  <c r="R358" i="63733" s="1"/>
  <c r="AA50" i="63733"/>
  <c r="AA49" i="63733"/>
  <c r="AA31" i="1336"/>
  <c r="AB31" i="1336" s="1"/>
  <c r="AA25" i="1336"/>
  <c r="AB25" i="1336" s="1"/>
  <c r="AA11" i="63733"/>
  <c r="AB11" i="63733" s="1"/>
  <c r="AT43" i="63829"/>
  <c r="AW43" i="63829" s="1"/>
  <c r="AZ43" i="63829" s="1"/>
  <c r="AS43" i="63829"/>
  <c r="AV43" i="63829" s="1"/>
  <c r="AY43" i="63829" s="1"/>
  <c r="AR43" i="63829"/>
  <c r="AU43" i="63829" s="1"/>
  <c r="AX43" i="63829" s="1"/>
  <c r="BA43" i="63829" s="1"/>
  <c r="BD43" i="63829" s="1"/>
  <c r="BG43" i="63829" s="1"/>
  <c r="BJ43" i="63829" s="1"/>
  <c r="BI75" i="63829"/>
  <c r="BH75" i="63829"/>
  <c r="BF75" i="63829"/>
  <c r="BE75" i="63829"/>
  <c r="BC75" i="63829"/>
  <c r="BB75" i="63829"/>
  <c r="AZ75" i="63829"/>
  <c r="AY75" i="63829"/>
  <c r="AW75" i="63829"/>
  <c r="AV75" i="63829"/>
  <c r="AT75" i="63829"/>
  <c r="AS75" i="63829"/>
  <c r="AQ75" i="63829"/>
  <c r="AP75" i="63829"/>
  <c r="AN75" i="63829"/>
  <c r="AM75" i="63829"/>
  <c r="AK75" i="63829"/>
  <c r="AJ75" i="63829"/>
  <c r="BI6" i="63829"/>
  <c r="BH6" i="63829"/>
  <c r="BF6" i="63829"/>
  <c r="BE6" i="63829"/>
  <c r="BC6" i="63829"/>
  <c r="BB6" i="63829"/>
  <c r="AZ6" i="63829"/>
  <c r="AY6" i="63829"/>
  <c r="AW6" i="63829"/>
  <c r="AV6" i="63829"/>
  <c r="AT6" i="63829"/>
  <c r="AS6" i="63829"/>
  <c r="AQ6" i="63829"/>
  <c r="AP6" i="63829"/>
  <c r="AN6" i="63829"/>
  <c r="AM6" i="63829"/>
  <c r="AK6" i="63829"/>
  <c r="AJ6" i="63829"/>
  <c r="BI18" i="63829"/>
  <c r="BH18" i="63829"/>
  <c r="BF18" i="63829"/>
  <c r="BE18" i="63829"/>
  <c r="BC18" i="63829"/>
  <c r="BB18" i="63829"/>
  <c r="AZ18" i="63829"/>
  <c r="AY18" i="63829"/>
  <c r="AW18" i="63829"/>
  <c r="AV18" i="63829"/>
  <c r="AT18" i="63829"/>
  <c r="AS18" i="63829"/>
  <c r="AQ18" i="63829"/>
  <c r="AP18" i="63829"/>
  <c r="AN18" i="63829"/>
  <c r="AM18" i="63829"/>
  <c r="AK18" i="63829"/>
  <c r="AJ18" i="63829"/>
  <c r="AH18" i="63829"/>
  <c r="AE18" i="63829"/>
  <c r="AA64" i="63829"/>
  <c r="Y64" i="63829"/>
  <c r="X64" i="63829"/>
  <c r="V64" i="63829"/>
  <c r="S64" i="63829"/>
  <c r="P64" i="63829"/>
  <c r="O64" i="63829"/>
  <c r="BI64" i="63829"/>
  <c r="BH64" i="63829"/>
  <c r="BF64" i="63829"/>
  <c r="BE64" i="63829"/>
  <c r="BC64" i="63829"/>
  <c r="BB64" i="63829"/>
  <c r="AZ64" i="63829"/>
  <c r="AY64" i="63829"/>
  <c r="AW64" i="63829"/>
  <c r="AV64" i="63829"/>
  <c r="AT64" i="63829"/>
  <c r="AS64" i="63829"/>
  <c r="AQ64" i="63829"/>
  <c r="AP64" i="63829"/>
  <c r="AN64" i="63829"/>
  <c r="AM64" i="63829"/>
  <c r="AK64" i="63829"/>
  <c r="AH64" i="63829"/>
  <c r="AE64" i="63829"/>
  <c r="Z56" i="63829"/>
  <c r="Z13" i="63830"/>
  <c r="W13" i="63830"/>
  <c r="T13" i="63830"/>
  <c r="AD71" i="1336"/>
  <c r="AG71" i="1336" s="1"/>
  <c r="AJ71" i="1336" s="1"/>
  <c r="AM71" i="1336" s="1"/>
  <c r="AP71" i="1336" s="1"/>
  <c r="AS71" i="1336" s="1"/>
  <c r="AV71" i="1336" s="1"/>
  <c r="AY71" i="1336" s="1"/>
  <c r="BB71" i="1336" s="1"/>
  <c r="BE71" i="1336" s="1"/>
  <c r="BH71" i="1336" s="1"/>
  <c r="AA73" i="1336"/>
  <c r="Z73" i="1336"/>
  <c r="X73" i="1336"/>
  <c r="W73" i="1336"/>
  <c r="V73" i="1336"/>
  <c r="U73" i="1336"/>
  <c r="T73" i="1336"/>
  <c r="S73" i="1336"/>
  <c r="R73" i="1336"/>
  <c r="Q73" i="1336"/>
  <c r="P73" i="1336"/>
  <c r="O73" i="1336"/>
  <c r="N73" i="1336"/>
  <c r="M73" i="1336"/>
  <c r="L73" i="1336"/>
  <c r="K73" i="1336"/>
  <c r="J73" i="1336"/>
  <c r="I73" i="1336"/>
  <c r="H73" i="1336"/>
  <c r="L226" i="1336"/>
  <c r="N226" i="1336"/>
  <c r="M226" i="1336" s="1"/>
  <c r="O226" i="1336"/>
  <c r="Q226" i="1336"/>
  <c r="P226" i="1336" s="1"/>
  <c r="R226" i="1336"/>
  <c r="K244" i="1336"/>
  <c r="L244" i="1336"/>
  <c r="M241" i="1336" s="1"/>
  <c r="N244" i="1336"/>
  <c r="Q241" i="1336" s="1"/>
  <c r="O244" i="1336"/>
  <c r="P241" i="1336" s="1"/>
  <c r="Q244" i="1336"/>
  <c r="R244" i="1336"/>
  <c r="S241" i="1336" s="1"/>
  <c r="L248" i="1336"/>
  <c r="N248" i="1336"/>
  <c r="O248" i="1336"/>
  <c r="Q248" i="1336"/>
  <c r="R248" i="1336"/>
  <c r="T248" i="1336"/>
  <c r="U248" i="1336"/>
  <c r="W248" i="1336"/>
  <c r="X248" i="1336"/>
  <c r="AA248" i="1336"/>
  <c r="K250" i="1336"/>
  <c r="L247" i="1336" s="1"/>
  <c r="L250" i="1336"/>
  <c r="M247" i="1336" s="1"/>
  <c r="N250" i="1336"/>
  <c r="O247" i="1336" s="1"/>
  <c r="O250" i="1336"/>
  <c r="P247" i="1336" s="1"/>
  <c r="Q250" i="1336"/>
  <c r="R247" i="1336" s="1"/>
  <c r="R250" i="1336"/>
  <c r="S247" i="1336" s="1"/>
  <c r="T250" i="1336"/>
  <c r="U250" i="1336"/>
  <c r="V247" i="1336" s="1"/>
  <c r="X250" i="1336"/>
  <c r="Y247" i="1336" s="1"/>
  <c r="AA250" i="1336"/>
  <c r="AB247" i="1336" s="1"/>
  <c r="AF258" i="1336"/>
  <c r="W81" i="63829"/>
  <c r="W37" i="1336" s="1"/>
  <c r="Z37" i="1336"/>
  <c r="Z31" i="1336"/>
  <c r="Z11" i="63733"/>
  <c r="W11" i="63733"/>
  <c r="Z39" i="1336" l="1"/>
  <c r="AF71" i="1336"/>
  <c r="AI71" i="1336" s="1"/>
  <c r="AL71" i="1336" s="1"/>
  <c r="AO71" i="1336" s="1"/>
  <c r="AR71" i="1336" s="1"/>
  <c r="AU71" i="1336" s="1"/>
  <c r="AX71" i="1336" s="1"/>
  <c r="BA71" i="1336" s="1"/>
  <c r="BD71" i="1336" s="1"/>
  <c r="BG71" i="1336" s="1"/>
  <c r="BJ71" i="1336" s="1"/>
  <c r="V248" i="1336"/>
  <c r="M248" i="1336"/>
  <c r="O241" i="1336"/>
  <c r="R249" i="1336"/>
  <c r="S248" i="1336"/>
  <c r="P248" i="1336"/>
  <c r="O249" i="1336"/>
  <c r="L249" i="1336"/>
  <c r="AI258" i="1336"/>
  <c r="L241" i="1336"/>
  <c r="N241" i="1336"/>
  <c r="R241" i="1336"/>
  <c r="T241" i="1336"/>
  <c r="W247" i="1336"/>
  <c r="S250" i="1336"/>
  <c r="U247" i="1336"/>
  <c r="U249" i="1336" s="1"/>
  <c r="T247" i="1336"/>
  <c r="T249" i="1336" s="1"/>
  <c r="I161" i="63733"/>
  <c r="Z109" i="63733"/>
  <c r="W100" i="63733"/>
  <c r="BI52" i="63733"/>
  <c r="BH52" i="63733"/>
  <c r="BF52" i="63733"/>
  <c r="BE52" i="63733"/>
  <c r="BC52" i="63733"/>
  <c r="BB52" i="63733"/>
  <c r="AZ52" i="63733"/>
  <c r="AY52" i="63733"/>
  <c r="AW52" i="63733"/>
  <c r="AV52" i="63733"/>
  <c r="AT52" i="63733"/>
  <c r="AS52" i="63733"/>
  <c r="AQ52" i="63733"/>
  <c r="AP52" i="63733"/>
  <c r="AN52" i="63733"/>
  <c r="AM52" i="63733"/>
  <c r="AK52" i="63733"/>
  <c r="AJ52" i="63733"/>
  <c r="Q358" i="63733"/>
  <c r="T358" i="63733" s="1"/>
  <c r="B63" i="63836"/>
  <c r="B62" i="63836"/>
  <c r="B61" i="63836"/>
  <c r="B60" i="63836"/>
  <c r="B59" i="63836"/>
  <c r="B55" i="63836"/>
  <c r="B54" i="63836"/>
  <c r="B53" i="63836"/>
  <c r="B50" i="63836"/>
  <c r="B49" i="63836"/>
  <c r="B48" i="63836"/>
  <c r="B47" i="63836"/>
  <c r="B46" i="63836"/>
  <c r="B43" i="63836"/>
  <c r="B40" i="63836"/>
  <c r="B41" i="63836"/>
  <c r="B42" i="63836"/>
  <c r="B39" i="63836"/>
  <c r="B35" i="63836"/>
  <c r="B36" i="63836"/>
  <c r="B32" i="63836"/>
  <c r="B33" i="63836"/>
  <c r="B34" i="63836"/>
  <c r="B31" i="63836"/>
  <c r="W358" i="63733" l="1"/>
  <c r="Z358" i="63733" s="1"/>
  <c r="AC358" i="63733" s="1"/>
  <c r="AF358" i="63733" s="1"/>
  <c r="S249" i="1336"/>
  <c r="AL258" i="1336"/>
  <c r="N12" i="63836"/>
  <c r="AI358" i="63733" l="1"/>
  <c r="AL358" i="63733" s="1"/>
  <c r="AO358" i="63733" s="1"/>
  <c r="AR358" i="63733" s="1"/>
  <c r="AU358" i="63733" s="1"/>
  <c r="AX358" i="63733" s="1"/>
  <c r="BA358" i="63733" s="1"/>
  <c r="BD358" i="63733" s="1"/>
  <c r="BG358" i="63733" s="1"/>
  <c r="BJ358" i="63733" s="1"/>
  <c r="AO258" i="1336"/>
  <c r="A66" i="63836"/>
  <c r="A68" i="63836"/>
  <c r="A67" i="63836"/>
  <c r="A64" i="63836"/>
  <c r="A63" i="63836"/>
  <c r="A62" i="63836"/>
  <c r="A56" i="63836"/>
  <c r="A61" i="63836"/>
  <c r="A59" i="63836"/>
  <c r="A58" i="63836"/>
  <c r="A57" i="63836"/>
  <c r="A55" i="63836"/>
  <c r="A54" i="63836"/>
  <c r="A52" i="63836"/>
  <c r="A51" i="63836"/>
  <c r="F51" i="63836" s="1" a="1"/>
  <c r="F51" i="63836" s="1"/>
  <c r="A50" i="63836"/>
  <c r="A49" i="63836"/>
  <c r="A48" i="63836"/>
  <c r="F48" i="63836" s="1" a="1"/>
  <c r="F48" i="63836" s="1"/>
  <c r="A47" i="63836"/>
  <c r="A46" i="63836"/>
  <c r="A45" i="63836"/>
  <c r="A44" i="63836"/>
  <c r="A43" i="63836"/>
  <c r="A20" i="63836"/>
  <c r="A19" i="63836"/>
  <c r="A17" i="63836"/>
  <c r="A16" i="63836"/>
  <c r="A14" i="63836"/>
  <c r="A13" i="63836"/>
  <c r="A11" i="63836"/>
  <c r="A10" i="63836"/>
  <c r="A9" i="63836"/>
  <c r="A8" i="63836"/>
  <c r="A7" i="63836"/>
  <c r="A38" i="63836"/>
  <c r="A37" i="63836"/>
  <c r="A35" i="63836"/>
  <c r="A34" i="63836"/>
  <c r="A33" i="63836"/>
  <c r="F33" i="63836" s="1" a="1"/>
  <c r="F33" i="63836" s="1"/>
  <c r="A32" i="63836"/>
  <c r="A31" i="63836"/>
  <c r="A30" i="63836"/>
  <c r="J30" i="63836" s="1" a="1"/>
  <c r="J30" i="63836" s="1"/>
  <c r="A29" i="63836"/>
  <c r="A28" i="63836"/>
  <c r="A27" i="63836"/>
  <c r="A26" i="63836"/>
  <c r="A25" i="63836"/>
  <c r="A24" i="63836"/>
  <c r="A23" i="63836"/>
  <c r="AR258" i="1336" l="1"/>
  <c r="G33" i="63836" a="1"/>
  <c r="G33" i="63836" s="1"/>
  <c r="H33" i="63836" a="1"/>
  <c r="H33" i="63836" s="1"/>
  <c r="H30" i="63836" a="1"/>
  <c r="H30" i="63836" s="1"/>
  <c r="I30" i="63836" a="1"/>
  <c r="I30" i="63836" s="1"/>
  <c r="F64" i="63836" a="1"/>
  <c r="F64" i="63836" s="1"/>
  <c r="I33" i="63836" a="1"/>
  <c r="I33" i="63836" s="1"/>
  <c r="F45" i="63836" a="1"/>
  <c r="F45" i="63836" s="1"/>
  <c r="J33" i="63836" a="1"/>
  <c r="J33" i="63836" s="1"/>
  <c r="F44" i="63836" a="1"/>
  <c r="F44" i="63836" s="1"/>
  <c r="F34" i="63836" a="1"/>
  <c r="F34" i="63836" s="1"/>
  <c r="F59" i="63836" a="1"/>
  <c r="F59" i="63836" s="1"/>
  <c r="F58" i="63836" a="1"/>
  <c r="F58" i="63836" s="1"/>
  <c r="F57" i="63836" a="1"/>
  <c r="F57" i="63836" s="1"/>
  <c r="F30" i="63836" a="1"/>
  <c r="F30" i="63836" s="1"/>
  <c r="G30" i="63836" a="1"/>
  <c r="G30" i="63836" s="1"/>
  <c r="F16" i="63836" a="1"/>
  <c r="F16" i="63836" s="1"/>
  <c r="F7" i="63836" a="1"/>
  <c r="F7" i="63836" s="1"/>
  <c r="A6" i="63836"/>
  <c r="L18" i="63836"/>
  <c r="AU258" i="1336" l="1"/>
  <c r="U358" i="63733"/>
  <c r="X358" i="63733" s="1"/>
  <c r="AA358" i="63733" s="1"/>
  <c r="AD358" i="63733" l="1"/>
  <c r="AG358" i="63733" s="1"/>
  <c r="AX258" i="1336"/>
  <c r="E357" i="63733"/>
  <c r="E26" i="63733" s="1"/>
  <c r="I14" i="63808"/>
  <c r="BA258" i="1336" l="1"/>
  <c r="T24" i="63807"/>
  <c r="AH218" i="1336"/>
  <c r="AG218" i="1336"/>
  <c r="AH188" i="1336"/>
  <c r="AG168" i="1336"/>
  <c r="AH126" i="1336"/>
  <c r="AH123" i="1336"/>
  <c r="AG122" i="1336"/>
  <c r="AH117" i="1336"/>
  <c r="AH116" i="1336"/>
  <c r="AH115" i="1336"/>
  <c r="AH101" i="1336"/>
  <c r="AH100" i="1336"/>
  <c r="AH3" i="63830"/>
  <c r="AG3" i="63830"/>
  <c r="AH78" i="63829"/>
  <c r="AH45" i="63829"/>
  <c r="AH3" i="63829"/>
  <c r="AG3" i="63829"/>
  <c r="AG343" i="63733"/>
  <c r="AH334" i="63733"/>
  <c r="AG334" i="63733"/>
  <c r="AH232" i="63733"/>
  <c r="AG200" i="63733"/>
  <c r="AG199" i="63733" s="1"/>
  <c r="AG181" i="63733"/>
  <c r="AH177" i="63733"/>
  <c r="AG150" i="63733"/>
  <c r="AH66" i="63733"/>
  <c r="AG57" i="63733"/>
  <c r="AH52" i="63733"/>
  <c r="AG52" i="63733"/>
  <c r="AH3" i="63733"/>
  <c r="AG3" i="63733"/>
  <c r="BJ3" i="63830"/>
  <c r="BJ3" i="63829"/>
  <c r="BJ334" i="63733"/>
  <c r="BJ199" i="63733"/>
  <c r="BJ148" i="63733"/>
  <c r="BJ57" i="63733"/>
  <c r="BJ3" i="63733"/>
  <c r="BJ218" i="1336"/>
  <c r="BJ168" i="1336"/>
  <c r="BJ122" i="1336"/>
  <c r="AF88" i="63733"/>
  <c r="AI88" i="63733" s="1"/>
  <c r="AL88" i="63733" s="1"/>
  <c r="AO88" i="63733" s="1"/>
  <c r="AR88" i="63733" s="1"/>
  <c r="AU88" i="63733" s="1"/>
  <c r="AX88" i="63733" s="1"/>
  <c r="BA88" i="63733" s="1"/>
  <c r="BD88" i="63733" s="1"/>
  <c r="BG88" i="63733" s="1"/>
  <c r="BJ88" i="63733" s="1"/>
  <c r="BD258" i="1336" l="1"/>
  <c r="AH343" i="63733"/>
  <c r="BG258" i="1336" l="1"/>
  <c r="BJ258" i="1336" l="1"/>
  <c r="AA52" i="63829"/>
  <c r="AA40" i="63829"/>
  <c r="AA39" i="63829"/>
  <c r="AA24" i="63829"/>
  <c r="AA14" i="63829"/>
  <c r="AA12" i="63829"/>
  <c r="AA7" i="63829" l="1"/>
  <c r="AA13" i="63829" s="1"/>
  <c r="AA10" i="63829"/>
  <c r="AA203" i="1336"/>
  <c r="AA199" i="1336"/>
  <c r="AA195" i="1336"/>
  <c r="AA185" i="1336"/>
  <c r="AD185" i="1336" s="1"/>
  <c r="AA126" i="1336"/>
  <c r="AB126" i="1336" s="1"/>
  <c r="AA111" i="1336"/>
  <c r="AB111" i="1336" s="1"/>
  <c r="AA101" i="1336"/>
  <c r="AB101" i="1336" s="1"/>
  <c r="AA50" i="1336"/>
  <c r="AA29" i="1336"/>
  <c r="AC49" i="63733"/>
  <c r="Z439" i="63733"/>
  <c r="AA438" i="63733"/>
  <c r="AA383" i="63733"/>
  <c r="AA382" i="63733"/>
  <c r="AA378" i="63733"/>
  <c r="AA244" i="63733"/>
  <c r="AA224" i="63733"/>
  <c r="X224" i="63733"/>
  <c r="AA192" i="63733"/>
  <c r="AA172" i="63733"/>
  <c r="AA170" i="63733"/>
  <c r="AD170" i="63733" s="1"/>
  <c r="AG170" i="63733" s="1"/>
  <c r="AJ170" i="63733" s="1"/>
  <c r="AM170" i="63733" s="1"/>
  <c r="AP170" i="63733" s="1"/>
  <c r="AS170" i="63733" s="1"/>
  <c r="AV170" i="63733" s="1"/>
  <c r="AY170" i="63733" s="1"/>
  <c r="BB170" i="63733" s="1"/>
  <c r="BE170" i="63733" s="1"/>
  <c r="BH170" i="63733" s="1"/>
  <c r="AA153" i="63733"/>
  <c r="AA109" i="63733"/>
  <c r="AA90" i="63733"/>
  <c r="AD224" i="63733" l="1"/>
  <c r="AG224" i="63733" s="1"/>
  <c r="X37" i="1336"/>
  <c r="X31" i="1336"/>
  <c r="Q17" i="1336"/>
  <c r="X172" i="63733"/>
  <c r="AF13" i="63830"/>
  <c r="AA174" i="63733" l="1"/>
  <c r="X174" i="63733"/>
  <c r="P52" i="63733" l="1"/>
  <c r="O52" i="63733"/>
  <c r="AE52" i="63733"/>
  <c r="Z46" i="63829"/>
  <c r="F11" i="63836" a="1"/>
  <c r="F11" i="63836" s="1"/>
  <c r="F9" i="63836" a="1"/>
  <c r="F9" i="63836" s="1"/>
  <c r="F13" i="63836" a="1"/>
  <c r="F13" i="63836" s="1"/>
  <c r="V45" i="63829"/>
  <c r="A26" i="63807" a="1"/>
  <c r="A26" i="63807" s="1"/>
  <c r="AE45" i="63829"/>
  <c r="AI13" i="63830" l="1"/>
  <c r="AL13" i="63830" s="1"/>
  <c r="AO13" i="63830" s="1"/>
  <c r="AR13" i="63830" s="1"/>
  <c r="AU13" i="63830" s="1"/>
  <c r="AX13" i="63830" s="1"/>
  <c r="BA13" i="63830" s="1"/>
  <c r="BD13" i="63830" s="1"/>
  <c r="BG13" i="63830" s="1"/>
  <c r="BJ13" i="63830" s="1"/>
  <c r="BJ79" i="63829" s="1"/>
  <c r="AE17" i="63830"/>
  <c r="AD17" i="63830"/>
  <c r="X38" i="63733"/>
  <c r="X11" i="63733"/>
  <c r="Z203" i="1336"/>
  <c r="Z199" i="1336"/>
  <c r="Z195" i="1336"/>
  <c r="Z139" i="1336"/>
  <c r="Z126" i="1336"/>
  <c r="F27" i="63836" a="1"/>
  <c r="F27" i="63836" s="1"/>
  <c r="Z107" i="1336"/>
  <c r="F26" i="63836" s="1" a="1"/>
  <c r="F26" i="63836" s="1"/>
  <c r="Z101" i="1336"/>
  <c r="AC102" i="1336" s="1"/>
  <c r="Z92" i="1336"/>
  <c r="W91" i="1336"/>
  <c r="Z86" i="1336"/>
  <c r="Z26" i="1336"/>
  <c r="N60" i="63836" s="1" a="1"/>
  <c r="N60" i="63836" s="1"/>
  <c r="Z21" i="1336"/>
  <c r="Z19" i="1336"/>
  <c r="Z17" i="1336"/>
  <c r="Z15" i="1336"/>
  <c r="Z74" i="63829"/>
  <c r="Z68" i="63829"/>
  <c r="Z69" i="63829" s="1"/>
  <c r="Z62" i="63829"/>
  <c r="Z61" i="63829"/>
  <c r="Z38" i="63829"/>
  <c r="Z39" i="63829"/>
  <c r="Z45" i="63829" s="1"/>
  <c r="Z32" i="63829"/>
  <c r="Z25" i="63829"/>
  <c r="Z12" i="63829"/>
  <c r="W12" i="63829"/>
  <c r="Z49" i="63733"/>
  <c r="Z384" i="63733"/>
  <c r="Z383" i="63733"/>
  <c r="Z382" i="63733"/>
  <c r="Z378" i="63733"/>
  <c r="Z372" i="63733"/>
  <c r="Z369" i="63733"/>
  <c r="Z365" i="63733"/>
  <c r="Z244" i="63733"/>
  <c r="Z239" i="63733"/>
  <c r="Z237" i="63733"/>
  <c r="Z236" i="63733"/>
  <c r="Z227" i="63733"/>
  <c r="Z224" i="63733"/>
  <c r="Z192" i="63733"/>
  <c r="Z182" i="63733"/>
  <c r="Z181" i="63733"/>
  <c r="Z170" i="63733"/>
  <c r="Z104" i="63733"/>
  <c r="Z97" i="63733"/>
  <c r="Z96" i="63733"/>
  <c r="Z88" i="63733"/>
  <c r="Z87" i="63733"/>
  <c r="Z64" i="63733"/>
  <c r="Z73" i="63733" s="1"/>
  <c r="W199" i="1336"/>
  <c r="Y11" i="63733" l="1"/>
  <c r="AF11" i="63733"/>
  <c r="Z63" i="63829"/>
  <c r="Z228" i="63733"/>
  <c r="M11" i="63832" a="1"/>
  <c r="M3" i="63832" a="1"/>
  <c r="M8" i="63832" a="1"/>
  <c r="M10" i="63832" a="1"/>
  <c r="J14" i="63832" a="1"/>
  <c r="M14" i="63832" a="1"/>
  <c r="J10" i="63832" a="1"/>
  <c r="M5" i="63832" a="1"/>
  <c r="J11" i="63832" a="1"/>
  <c r="M9" i="63832" a="1"/>
  <c r="M6" i="63832" a="1"/>
  <c r="J9" i="63832" a="1"/>
  <c r="J13" i="63832" a="1"/>
  <c r="M13" i="63832" a="1"/>
  <c r="M7" i="63832" a="1"/>
  <c r="J8" i="63832" a="1"/>
  <c r="J7" i="63832" a="1"/>
  <c r="Z71" i="63829" l="1"/>
  <c r="AI11" i="63733"/>
  <c r="AD11" i="63733"/>
  <c r="AE11" i="63733" s="1"/>
  <c r="J7" i="63832"/>
  <c r="M11" i="63832"/>
  <c r="J9" i="63832"/>
  <c r="M8" i="63832"/>
  <c r="J10" i="63832"/>
  <c r="J14" i="63832"/>
  <c r="M6" i="63832"/>
  <c r="M13" i="63832"/>
  <c r="J13" i="63832"/>
  <c r="M9" i="63832"/>
  <c r="J11" i="63832"/>
  <c r="M14" i="63832"/>
  <c r="M5" i="63832"/>
  <c r="J8" i="63832"/>
  <c r="M3" i="63832"/>
  <c r="M7" i="63832"/>
  <c r="M10" i="63832"/>
  <c r="J3" i="63832" a="1"/>
  <c r="D14" i="63832" a="1"/>
  <c r="D5" i="63832" a="1"/>
  <c r="D11" i="63832" a="1"/>
  <c r="D4" i="63832" a="1"/>
  <c r="G10" i="63832" a="1"/>
  <c r="G8" i="63832" a="1"/>
  <c r="D13" i="63832" a="1"/>
  <c r="G6" i="63832" a="1"/>
  <c r="J5" i="63832" a="1"/>
  <c r="D6" i="63832" a="1"/>
  <c r="D7" i="63832" a="1"/>
  <c r="G5" i="63832" a="1"/>
  <c r="D8" i="63832" a="1"/>
  <c r="J6" i="63832" a="1"/>
  <c r="G4" i="63832" a="1"/>
  <c r="D3" i="63832" a="1"/>
  <c r="D9" i="63832" a="1"/>
  <c r="G11" i="63832" a="1"/>
  <c r="G14" i="63832" a="1"/>
  <c r="D16" i="63832" a="1"/>
  <c r="G9" i="63832" a="1"/>
  <c r="G3" i="63832" a="1"/>
  <c r="D10" i="63832" a="1"/>
  <c r="G7" i="63832" a="1"/>
  <c r="G13" i="63832" a="1"/>
  <c r="AI45" i="63829" l="1"/>
  <c r="AL45" i="63829" s="1"/>
  <c r="AO45" i="63829" s="1"/>
  <c r="AL11" i="63733"/>
  <c r="AO11" i="63733" s="1"/>
  <c r="AR11" i="63733" s="1"/>
  <c r="AU11" i="63733" s="1"/>
  <c r="AX11" i="63733" s="1"/>
  <c r="BA11" i="63733" s="1"/>
  <c r="BD11" i="63733" s="1"/>
  <c r="BG11" i="63733" s="1"/>
  <c r="BJ11" i="63733" s="1"/>
  <c r="AG11" i="63733"/>
  <c r="AH11" i="63733" s="1"/>
  <c r="D8" i="63832"/>
  <c r="D16" i="63832"/>
  <c r="D4" i="63832"/>
  <c r="D7" i="63832"/>
  <c r="G10" i="63832"/>
  <c r="G8" i="63832"/>
  <c r="G11" i="63832"/>
  <c r="D5" i="63832"/>
  <c r="J3" i="63832"/>
  <c r="D11" i="63832"/>
  <c r="D6" i="63832"/>
  <c r="D9" i="63832"/>
  <c r="G3" i="63832"/>
  <c r="G6" i="63832"/>
  <c r="G9" i="63832"/>
  <c r="J5" i="63832"/>
  <c r="D3" i="63832"/>
  <c r="D13" i="63832"/>
  <c r="G13" i="63832"/>
  <c r="G5" i="63832"/>
  <c r="D10" i="63832"/>
  <c r="D14" i="63832"/>
  <c r="G4" i="63832"/>
  <c r="G7" i="63832"/>
  <c r="G14" i="63832"/>
  <c r="J6" i="63832"/>
  <c r="AR45" i="63829" l="1"/>
  <c r="AU45" i="63829" s="1"/>
  <c r="AX45" i="63829" s="1"/>
  <c r="BA45" i="63829" s="1"/>
  <c r="BD45" i="63829" s="1"/>
  <c r="BG45" i="63829" s="1"/>
  <c r="BJ45" i="63829" s="1"/>
  <c r="P7" i="63832"/>
  <c r="BG3" i="63830" l="1"/>
  <c r="BD3" i="63830"/>
  <c r="BA3" i="63830"/>
  <c r="AX3" i="63830"/>
  <c r="AU3" i="63830"/>
  <c r="AR3" i="63830"/>
  <c r="AO3" i="63830"/>
  <c r="AL3" i="63830"/>
  <c r="AI3" i="63830"/>
  <c r="AF3" i="63830"/>
  <c r="AE3" i="63830"/>
  <c r="AD3" i="63830"/>
  <c r="AC3" i="63830"/>
  <c r="AA3" i="63830"/>
  <c r="Z3" i="63830"/>
  <c r="Y3" i="63830"/>
  <c r="X3" i="63830"/>
  <c r="W3" i="63830"/>
  <c r="V3" i="63830"/>
  <c r="U3" i="63830"/>
  <c r="T3" i="63830"/>
  <c r="S3" i="63830"/>
  <c r="R3" i="63830"/>
  <c r="Q3" i="63830"/>
  <c r="P3" i="63830"/>
  <c r="O3" i="63830"/>
  <c r="N3" i="63830"/>
  <c r="M3" i="63830"/>
  <c r="L3" i="63830"/>
  <c r="K3" i="63830"/>
  <c r="J3" i="63830"/>
  <c r="I3" i="63830"/>
  <c r="H3" i="63830"/>
  <c r="G3" i="63830"/>
  <c r="F3" i="63830"/>
  <c r="E3" i="63830"/>
  <c r="BG3" i="63829"/>
  <c r="BD3" i="63829"/>
  <c r="BA3" i="63829"/>
  <c r="AX3" i="63829"/>
  <c r="AU3" i="63829"/>
  <c r="AR3" i="63829"/>
  <c r="AO3" i="63829"/>
  <c r="AL3" i="63829"/>
  <c r="AI3" i="63829"/>
  <c r="AF3" i="63829"/>
  <c r="AE3" i="63829"/>
  <c r="AD3" i="63829"/>
  <c r="AC3" i="63829"/>
  <c r="AA3" i="63829"/>
  <c r="Z3" i="63829"/>
  <c r="Y3" i="63829"/>
  <c r="X3" i="63829"/>
  <c r="W3" i="63829"/>
  <c r="V3" i="63829"/>
  <c r="U3" i="63829"/>
  <c r="T3" i="63829"/>
  <c r="S3" i="63829"/>
  <c r="R3" i="63829"/>
  <c r="Q3" i="63829"/>
  <c r="P3" i="63829"/>
  <c r="O3" i="63829"/>
  <c r="N3" i="63829"/>
  <c r="M3" i="63829"/>
  <c r="L3" i="63829"/>
  <c r="K3" i="63829"/>
  <c r="J3" i="63829"/>
  <c r="I3" i="63829"/>
  <c r="H3" i="63829"/>
  <c r="G3" i="63829"/>
  <c r="F3" i="63829"/>
  <c r="E3" i="63829"/>
  <c r="BG3" i="63733"/>
  <c r="BD3" i="63733"/>
  <c r="BA3" i="63733"/>
  <c r="AX3" i="63733"/>
  <c r="AU3" i="63733"/>
  <c r="AR3" i="63733"/>
  <c r="AO3" i="63733"/>
  <c r="AL3" i="63733"/>
  <c r="AI3" i="63733"/>
  <c r="AF3" i="63733"/>
  <c r="AE3" i="63733"/>
  <c r="AD3" i="63733"/>
  <c r="AC3" i="63733"/>
  <c r="AA3" i="63733"/>
  <c r="Z3" i="63733"/>
  <c r="Y3" i="63733"/>
  <c r="X3" i="63733"/>
  <c r="W3" i="63733"/>
  <c r="V3" i="63733"/>
  <c r="U3" i="63733"/>
  <c r="T3" i="63733"/>
  <c r="S3" i="63733"/>
  <c r="R3" i="63733"/>
  <c r="Q3" i="63733"/>
  <c r="P3" i="63733"/>
  <c r="O3" i="63733"/>
  <c r="N3" i="63733"/>
  <c r="M3" i="63733"/>
  <c r="L3" i="63733"/>
  <c r="K3" i="63733"/>
  <c r="J3" i="63733"/>
  <c r="I3" i="63733"/>
  <c r="H3" i="63733"/>
  <c r="G3" i="63733"/>
  <c r="F3" i="63733"/>
  <c r="E3" i="63733"/>
  <c r="AE218" i="1336"/>
  <c r="AD218" i="1336"/>
  <c r="AE188" i="1336"/>
  <c r="AD168" i="1336"/>
  <c r="AE126" i="1336"/>
  <c r="AE123" i="1336"/>
  <c r="AD122" i="1336"/>
  <c r="AE117" i="1336"/>
  <c r="AE116" i="1336"/>
  <c r="AE115" i="1336"/>
  <c r="AE101" i="1336"/>
  <c r="AE100" i="1336"/>
  <c r="AE334" i="63733"/>
  <c r="AD334" i="63733"/>
  <c r="AE232" i="63733"/>
  <c r="AD181" i="63733"/>
  <c r="AE177" i="63733"/>
  <c r="AD148" i="63733"/>
  <c r="AE66" i="63733"/>
  <c r="AD57" i="63733"/>
  <c r="AE78" i="63829"/>
  <c r="S24" i="63807"/>
  <c r="BG334" i="63733"/>
  <c r="BG199" i="63733"/>
  <c r="BG148" i="63733"/>
  <c r="BG57" i="63733"/>
  <c r="BG218" i="1336"/>
  <c r="BG168" i="1336"/>
  <c r="BG122" i="1336"/>
  <c r="AD199" i="63733" l="1"/>
  <c r="AE343" i="63733"/>
  <c r="G19" i="63832" l="1"/>
  <c r="R7" i="63832"/>
  <c r="X40" i="63829" l="1"/>
  <c r="X39" i="63829"/>
  <c r="X45" i="63829" s="1"/>
  <c r="X33" i="63829"/>
  <c r="X203" i="1336"/>
  <c r="X199" i="1336"/>
  <c r="X195" i="1336"/>
  <c r="AA196" i="1336" s="1"/>
  <c r="X172" i="1336"/>
  <c r="X136" i="1336"/>
  <c r="X78" i="63829"/>
  <c r="X126" i="1336"/>
  <c r="X111" i="1336"/>
  <c r="X101" i="1336"/>
  <c r="X56" i="1336"/>
  <c r="Z91" i="1336"/>
  <c r="Z55" i="1336" s="1"/>
  <c r="X29" i="1336"/>
  <c r="X383" i="63733"/>
  <c r="X382" i="63733"/>
  <c r="X378" i="63733"/>
  <c r="X372" i="63733"/>
  <c r="X369" i="63733"/>
  <c r="X365" i="63733"/>
  <c r="U350" i="63733"/>
  <c r="C214" i="63818"/>
  <c r="E215" i="63818" s="1"/>
  <c r="M185" i="63818"/>
  <c r="N176" i="63818"/>
  <c r="M176" i="63818"/>
  <c r="M178" i="63818"/>
  <c r="N181" i="63818"/>
  <c r="M181" i="63818"/>
  <c r="G211" i="63818"/>
  <c r="X239" i="63733"/>
  <c r="X237" i="63733"/>
  <c r="X236" i="63733"/>
  <c r="X227" i="63733"/>
  <c r="X207" i="63733"/>
  <c r="X192" i="63733"/>
  <c r="X187" i="63733"/>
  <c r="X182" i="63733"/>
  <c r="X181" i="63733"/>
  <c r="X173" i="63733"/>
  <c r="X170" i="63733"/>
  <c r="X167" i="63733"/>
  <c r="X109" i="63733"/>
  <c r="X104" i="63733"/>
  <c r="X97" i="63733"/>
  <c r="X96" i="63733"/>
  <c r="X88" i="63733"/>
  <c r="X87" i="63733"/>
  <c r="X84" i="63733"/>
  <c r="X83" i="63733"/>
  <c r="X64" i="63733"/>
  <c r="X73" i="63733" s="1"/>
  <c r="D145" i="63818"/>
  <c r="D130" i="63818"/>
  <c r="D123" i="63818"/>
  <c r="I123" i="63818" s="1"/>
  <c r="D122" i="63818"/>
  <c r="D113" i="63818"/>
  <c r="I113" i="63818" s="1"/>
  <c r="I128" i="63818"/>
  <c r="I106" i="63818"/>
  <c r="H136" i="63818"/>
  <c r="I134" i="63818"/>
  <c r="I133" i="63818"/>
  <c r="I132" i="63818"/>
  <c r="I112" i="63818"/>
  <c r="I111" i="63818"/>
  <c r="I110" i="63818"/>
  <c r="I109" i="63818"/>
  <c r="I108" i="63818"/>
  <c r="I107" i="63818"/>
  <c r="I105" i="63818"/>
  <c r="I104" i="63818"/>
  <c r="I103" i="63818"/>
  <c r="I102" i="63818"/>
  <c r="G133" i="63818"/>
  <c r="G132" i="63818"/>
  <c r="G128" i="63818"/>
  <c r="G124" i="63818"/>
  <c r="G112" i="63818"/>
  <c r="G111" i="63818"/>
  <c r="G110" i="63818"/>
  <c r="G109" i="63818"/>
  <c r="G108" i="63818"/>
  <c r="G106" i="63818"/>
  <c r="G105" i="63818"/>
  <c r="G104" i="63818"/>
  <c r="G103" i="63818"/>
  <c r="G102" i="63818"/>
  <c r="E132" i="63818"/>
  <c r="E131" i="63818"/>
  <c r="E127" i="63818"/>
  <c r="E107" i="63818"/>
  <c r="D137" i="63818"/>
  <c r="G137" i="63818" s="1"/>
  <c r="D118" i="63818"/>
  <c r="G118" i="63818" s="1"/>
  <c r="D117" i="63818"/>
  <c r="D116" i="63818"/>
  <c r="D115" i="63818"/>
  <c r="G115" i="63818" s="1"/>
  <c r="Z93" i="1336" l="1"/>
  <c r="X106" i="1336"/>
  <c r="X142" i="1336"/>
  <c r="X143" i="1336" s="1"/>
  <c r="M175" i="63818"/>
  <c r="L185" i="63818" s="1"/>
  <c r="M182" i="63818"/>
  <c r="G113" i="63818"/>
  <c r="D136" i="63818"/>
  <c r="I136" i="63818" s="1"/>
  <c r="D135" i="63818"/>
  <c r="G135" i="63818" s="1"/>
  <c r="G122" i="63818"/>
  <c r="X228" i="63733"/>
  <c r="G130" i="63818"/>
  <c r="G123" i="63818"/>
  <c r="G117" i="63818"/>
  <c r="G116" i="63818"/>
  <c r="H126" i="63818"/>
  <c r="H119" i="63818"/>
  <c r="H122" i="63818"/>
  <c r="I122" i="63818" s="1"/>
  <c r="H137" i="63818"/>
  <c r="I137" i="63818" s="1"/>
  <c r="D126" i="63818"/>
  <c r="D125" i="63818" s="1"/>
  <c r="D119" i="63818"/>
  <c r="G136" i="63818" l="1"/>
  <c r="G125" i="63818"/>
  <c r="G126" i="63818"/>
  <c r="I126" i="63818"/>
  <c r="G119" i="63818"/>
  <c r="I119" i="63818"/>
  <c r="AF334" i="63733" l="1"/>
  <c r="AI334" i="63733"/>
  <c r="AL334" i="63733"/>
  <c r="AO334" i="63733"/>
  <c r="AR334" i="63733"/>
  <c r="AU334" i="63733"/>
  <c r="AX334" i="63733"/>
  <c r="BA334" i="63733"/>
  <c r="BD334" i="63733"/>
  <c r="V50" i="1336"/>
  <c r="AF57" i="1336"/>
  <c r="AI57" i="1336" l="1"/>
  <c r="AL57" i="1336" l="1"/>
  <c r="V79" i="63829"/>
  <c r="V78" i="63829"/>
  <c r="T398" i="63733"/>
  <c r="W398" i="63733"/>
  <c r="AF398" i="63733" s="1"/>
  <c r="AO57" i="1336" l="1"/>
  <c r="AR57" i="1336" s="1"/>
  <c r="AU57" i="1336" s="1"/>
  <c r="AX57" i="1336" s="1"/>
  <c r="BA57" i="1336" s="1"/>
  <c r="BD57" i="1336" s="1"/>
  <c r="BG57" i="1336" s="1"/>
  <c r="BJ57" i="1336" s="1"/>
  <c r="W399" i="63733"/>
  <c r="Q398" i="63733"/>
  <c r="T399" i="63733" s="1"/>
  <c r="AE203" i="1336"/>
  <c r="AH203" i="1336" s="1"/>
  <c r="AK203" i="1336" s="1"/>
  <c r="AN203" i="1336" s="1"/>
  <c r="AQ203" i="1336" s="1"/>
  <c r="AT203" i="1336" s="1"/>
  <c r="AW203" i="1336" s="1"/>
  <c r="AZ203" i="1336" s="1"/>
  <c r="BC203" i="1336" s="1"/>
  <c r="BF203" i="1336" s="1"/>
  <c r="BI203" i="1336" s="1"/>
  <c r="W21" i="1336"/>
  <c r="U21" i="1336"/>
  <c r="T21" i="1336"/>
  <c r="R21" i="1336"/>
  <c r="Q21" i="1336"/>
  <c r="O21" i="1336"/>
  <c r="N21" i="1336"/>
  <c r="L21" i="1336"/>
  <c r="K21" i="1336"/>
  <c r="I21" i="1336"/>
  <c r="H21" i="1336"/>
  <c r="F21" i="1336"/>
  <c r="W19" i="1336"/>
  <c r="U19" i="1336"/>
  <c r="T19" i="1336"/>
  <c r="R19" i="1336"/>
  <c r="Q19" i="1336"/>
  <c r="O19" i="1336"/>
  <c r="N19" i="1336"/>
  <c r="L19" i="1336"/>
  <c r="K19" i="1336"/>
  <c r="I19" i="1336"/>
  <c r="H19" i="1336"/>
  <c r="F19" i="1336"/>
  <c r="W17" i="1336"/>
  <c r="U17" i="1336"/>
  <c r="T17" i="1336"/>
  <c r="R17" i="1336"/>
  <c r="O17" i="1336"/>
  <c r="N17" i="1336"/>
  <c r="L17" i="1336"/>
  <c r="K17" i="1336"/>
  <c r="I17" i="1336"/>
  <c r="H17" i="1336"/>
  <c r="F17" i="1336"/>
  <c r="W15" i="1336"/>
  <c r="U15" i="1336"/>
  <c r="T15" i="1336"/>
  <c r="R15" i="1336"/>
  <c r="Q15" i="1336"/>
  <c r="O15" i="1336"/>
  <c r="N15" i="1336"/>
  <c r="L15" i="1336"/>
  <c r="K15" i="1336"/>
  <c r="I15" i="1336"/>
  <c r="H15" i="1336"/>
  <c r="F15" i="1336"/>
  <c r="AE199" i="1336" l="1"/>
  <c r="AH199" i="1336" s="1"/>
  <c r="AK199" i="1336" s="1"/>
  <c r="W396" i="63733"/>
  <c r="W393" i="63733"/>
  <c r="T393" i="63733"/>
  <c r="AA181" i="63733"/>
  <c r="AA218" i="1336"/>
  <c r="AA168" i="1336"/>
  <c r="AA122" i="1336"/>
  <c r="W32" i="63829"/>
  <c r="W203" i="1336"/>
  <c r="W195" i="1336"/>
  <c r="Z196" i="1336" s="1"/>
  <c r="W186" i="1336"/>
  <c r="W159" i="1336"/>
  <c r="W126" i="1336"/>
  <c r="W114" i="1336"/>
  <c r="W111" i="1336"/>
  <c r="W101" i="1336"/>
  <c r="Z102" i="1336" s="1"/>
  <c r="V92" i="1336"/>
  <c r="W92" i="1336" s="1"/>
  <c r="T91" i="1336"/>
  <c r="W88" i="1336"/>
  <c r="W29" i="1336"/>
  <c r="T78" i="63829"/>
  <c r="W58" i="63829"/>
  <c r="W39" i="63829"/>
  <c r="W37" i="63829"/>
  <c r="W25" i="63829"/>
  <c r="W13" i="63829"/>
  <c r="T12" i="63829"/>
  <c r="W378" i="63733"/>
  <c r="W244" i="63733"/>
  <c r="W236" i="63733"/>
  <c r="W224" i="63733"/>
  <c r="W192" i="63733"/>
  <c r="W170" i="63733"/>
  <c r="W109" i="63733"/>
  <c r="W96" i="63733"/>
  <c r="W88" i="63733"/>
  <c r="W50" i="63733"/>
  <c r="W49" i="63733"/>
  <c r="W38" i="63733"/>
  <c r="W9" i="63733"/>
  <c r="W8" i="63733"/>
  <c r="W7" i="63733"/>
  <c r="M106" i="63818"/>
  <c r="N106" i="63818" s="1"/>
  <c r="F145" i="63818"/>
  <c r="N146" i="63818"/>
  <c r="L122" i="63818"/>
  <c r="L136" i="63818"/>
  <c r="L125" i="63818"/>
  <c r="N130" i="63818"/>
  <c r="L129" i="63818"/>
  <c r="L108" i="63818"/>
  <c r="N134" i="63818"/>
  <c r="N131" i="63818"/>
  <c r="N127" i="63818"/>
  <c r="N125" i="63818"/>
  <c r="N121" i="63818"/>
  <c r="N120" i="63818"/>
  <c r="N112" i="63818"/>
  <c r="N111" i="63818"/>
  <c r="N110" i="63818"/>
  <c r="N109" i="63818"/>
  <c r="N108" i="63818"/>
  <c r="N105" i="63818"/>
  <c r="N104" i="63818"/>
  <c r="N103" i="63818"/>
  <c r="N102" i="63818"/>
  <c r="L132" i="63818"/>
  <c r="L128" i="63818"/>
  <c r="L124" i="63818"/>
  <c r="L112" i="63818"/>
  <c r="L111" i="63818"/>
  <c r="L110" i="63818"/>
  <c r="L109" i="63818"/>
  <c r="L107" i="63818"/>
  <c r="L105" i="63818"/>
  <c r="L104" i="63818"/>
  <c r="L103" i="63818"/>
  <c r="L102" i="63818"/>
  <c r="J107" i="63818"/>
  <c r="AN199" i="1336" l="1"/>
  <c r="AK205" i="1336"/>
  <c r="AH205" i="1336"/>
  <c r="AE205" i="1336"/>
  <c r="U39" i="63829"/>
  <c r="W45" i="63829"/>
  <c r="W106" i="1336"/>
  <c r="L135" i="63818"/>
  <c r="W72" i="63829"/>
  <c r="N115" i="63818"/>
  <c r="L115" i="63818"/>
  <c r="L137" i="63818"/>
  <c r="L106" i="63818"/>
  <c r="L119" i="63818"/>
  <c r="L118" i="63818"/>
  <c r="N118" i="63818"/>
  <c r="L117" i="63818"/>
  <c r="N117" i="63818"/>
  <c r="L116" i="63818"/>
  <c r="N116" i="63818"/>
  <c r="N129" i="63818"/>
  <c r="L123" i="63818"/>
  <c r="L130" i="63818"/>
  <c r="L113" i="63818"/>
  <c r="AQ199" i="1336" l="1"/>
  <c r="AN205" i="1336"/>
  <c r="L126" i="63818"/>
  <c r="AT199" i="1336" l="1"/>
  <c r="AQ205" i="1336"/>
  <c r="C129" i="63818"/>
  <c r="E129" i="63818" s="1"/>
  <c r="C128" i="63818"/>
  <c r="E128" i="63818" s="1"/>
  <c r="C124" i="63818"/>
  <c r="E124" i="63818" s="1"/>
  <c r="AW199" i="1336" l="1"/>
  <c r="AT205" i="1336"/>
  <c r="J124" i="63818"/>
  <c r="J129" i="63818"/>
  <c r="J128" i="63818"/>
  <c r="AZ199" i="1336" l="1"/>
  <c r="AW205" i="1336"/>
  <c r="M139" i="63818"/>
  <c r="M132" i="63818"/>
  <c r="N132" i="63818" s="1"/>
  <c r="M128" i="63818"/>
  <c r="M113" i="63818"/>
  <c r="C76" i="63818"/>
  <c r="R24" i="63807"/>
  <c r="Q24" i="63807"/>
  <c r="BD218" i="1336"/>
  <c r="BD168" i="1336"/>
  <c r="BD122" i="1336"/>
  <c r="BA218" i="1336"/>
  <c r="BA168" i="1336"/>
  <c r="BA122" i="1336"/>
  <c r="BD199" i="63733"/>
  <c r="BD148" i="63733"/>
  <c r="BD57" i="63733"/>
  <c r="BA199" i="63733"/>
  <c r="BA148" i="63733"/>
  <c r="BA57" i="63733"/>
  <c r="BC199" i="1336" l="1"/>
  <c r="AZ205" i="1336"/>
  <c r="M126" i="63818"/>
  <c r="N126" i="63818" s="1"/>
  <c r="N113" i="63818"/>
  <c r="N128" i="63818"/>
  <c r="O128" i="63818"/>
  <c r="M133" i="63818"/>
  <c r="M124" i="63818"/>
  <c r="N124" i="63818" s="1"/>
  <c r="BF199" i="1336" l="1"/>
  <c r="BC205" i="1336"/>
  <c r="Y73" i="1336"/>
  <c r="M122" i="63818"/>
  <c r="N122" i="63818" s="1"/>
  <c r="BI199" i="1336" l="1"/>
  <c r="BI205" i="1336" s="1"/>
  <c r="BF205" i="1336"/>
  <c r="AE71" i="1336"/>
  <c r="AH71" i="1336" s="1"/>
  <c r="AK71" i="1336" s="1"/>
  <c r="AN71" i="1336" s="1"/>
  <c r="AQ71" i="1336" s="1"/>
  <c r="AT71" i="1336" s="1"/>
  <c r="AW71" i="1336" s="1"/>
  <c r="AZ71" i="1336" s="1"/>
  <c r="BC71" i="1336" s="1"/>
  <c r="BF71" i="1336" s="1"/>
  <c r="BI71" i="1336" s="1"/>
  <c r="T49" i="63829"/>
  <c r="G15" i="63832" l="1"/>
  <c r="J15" i="63832"/>
  <c r="U24" i="1336"/>
  <c r="T44" i="1336"/>
  <c r="U29" i="1336" l="1"/>
  <c r="R29" i="1336"/>
  <c r="C125" i="63818" l="1"/>
  <c r="E125" i="63818" s="1"/>
  <c r="J125" i="63818"/>
  <c r="U62" i="63829"/>
  <c r="U52" i="63829"/>
  <c r="U14" i="63829"/>
  <c r="U12" i="63829"/>
  <c r="R12" i="63829"/>
  <c r="R13" i="63829" s="1"/>
  <c r="U270" i="1336"/>
  <c r="U275" i="1336" s="1"/>
  <c r="U203" i="1336"/>
  <c r="U199" i="1336"/>
  <c r="U195" i="1336"/>
  <c r="X196" i="1336" s="1"/>
  <c r="U172" i="1336"/>
  <c r="U159" i="1336"/>
  <c r="U126" i="1336"/>
  <c r="U113" i="1336"/>
  <c r="U111" i="1336"/>
  <c r="U101" i="1336"/>
  <c r="X102" i="1336" s="1"/>
  <c r="U11" i="63733"/>
  <c r="V11" i="63733" s="1"/>
  <c r="U383" i="63733"/>
  <c r="U382" i="63733"/>
  <c r="U236" i="63733"/>
  <c r="U224" i="63733"/>
  <c r="U181" i="63733"/>
  <c r="U170" i="63733"/>
  <c r="U96" i="63733"/>
  <c r="U88" i="63733"/>
  <c r="U34" i="63733"/>
  <c r="U9" i="63733"/>
  <c r="U8" i="63733"/>
  <c r="U7" i="63733"/>
  <c r="U118" i="1336" l="1"/>
  <c r="C109" i="63818"/>
  <c r="E109" i="63818" s="1"/>
  <c r="C103" i="63818"/>
  <c r="E103" i="63818" s="1"/>
  <c r="C104" i="63818"/>
  <c r="C102" i="63818"/>
  <c r="J103" i="63818"/>
  <c r="U13" i="63829"/>
  <c r="U44" i="63733"/>
  <c r="T111" i="1336"/>
  <c r="C116" i="63818" l="1"/>
  <c r="E116" i="63818" s="1"/>
  <c r="J102" i="63818"/>
  <c r="E102" i="63818"/>
  <c r="J104" i="63818"/>
  <c r="E104" i="63818"/>
  <c r="J109" i="63818"/>
  <c r="M119" i="63818"/>
  <c r="M137" i="63818"/>
  <c r="M136" i="63818"/>
  <c r="N107" i="63818"/>
  <c r="D77" i="63818"/>
  <c r="D71" i="63818"/>
  <c r="D70" i="63818"/>
  <c r="D69" i="63818"/>
  <c r="B133" i="63818"/>
  <c r="I227" i="63733"/>
  <c r="I215" i="63733" s="1"/>
  <c r="K227" i="63733"/>
  <c r="T227" i="63733"/>
  <c r="U207" i="63733"/>
  <c r="J116" i="63818" l="1"/>
  <c r="J227" i="63733"/>
  <c r="U370" i="63733"/>
  <c r="U10" i="63733"/>
  <c r="U12" i="63733" l="1"/>
  <c r="C105" i="63818"/>
  <c r="E105" i="63818" s="1"/>
  <c r="D72" i="63818"/>
  <c r="U90" i="63733"/>
  <c r="U33" i="63733" s="1"/>
  <c r="U64" i="63733"/>
  <c r="U73" i="63733" l="1"/>
  <c r="J105" i="63818"/>
  <c r="U43" i="63733"/>
  <c r="C108" i="63818"/>
  <c r="E108" i="63818" s="1"/>
  <c r="C122" i="63818"/>
  <c r="E122" i="63818" s="1"/>
  <c r="C106" i="63818"/>
  <c r="E106" i="63818" s="1"/>
  <c r="D73" i="63818"/>
  <c r="D76" i="63818"/>
  <c r="J122" i="63818" l="1"/>
  <c r="C137" i="63818"/>
  <c r="E137" i="63818" s="1"/>
  <c r="C115" i="63818"/>
  <c r="E115" i="63818" s="1"/>
  <c r="R199" i="1336"/>
  <c r="G73" i="63818"/>
  <c r="G74" i="63818"/>
  <c r="F81" i="63818"/>
  <c r="G81" i="63818" s="1"/>
  <c r="I80" i="63818"/>
  <c r="J80" i="63818" s="1"/>
  <c r="C80" i="63818"/>
  <c r="C95" i="63818"/>
  <c r="E95" i="63818" s="1"/>
  <c r="F94" i="63818"/>
  <c r="C94" i="63818"/>
  <c r="E94" i="63818" s="1"/>
  <c r="I92" i="63818"/>
  <c r="C92" i="63818"/>
  <c r="F92" i="63818" s="1"/>
  <c r="B92" i="63818"/>
  <c r="I91" i="63818"/>
  <c r="F91" i="63818"/>
  <c r="C91" i="63818"/>
  <c r="E91" i="63818" s="1"/>
  <c r="F89" i="63818"/>
  <c r="G89" i="63818" s="1"/>
  <c r="F88" i="63818"/>
  <c r="I87" i="63818"/>
  <c r="F87" i="63818"/>
  <c r="C87" i="63818"/>
  <c r="E87" i="63818" s="1"/>
  <c r="C85" i="63818"/>
  <c r="I79" i="63818"/>
  <c r="G79" i="63818"/>
  <c r="C79" i="63818"/>
  <c r="I78" i="63818"/>
  <c r="J78" i="63818" s="1"/>
  <c r="G78" i="63818"/>
  <c r="C78" i="63818"/>
  <c r="I77" i="63818"/>
  <c r="G77" i="63818"/>
  <c r="C77" i="63818"/>
  <c r="I76" i="63818"/>
  <c r="I81" i="63818" s="1"/>
  <c r="G76" i="63818"/>
  <c r="J72" i="63818"/>
  <c r="I71" i="63818"/>
  <c r="J71" i="63818" s="1"/>
  <c r="I70" i="63818"/>
  <c r="I69" i="63818"/>
  <c r="I73" i="63818" s="1"/>
  <c r="J73" i="63818" s="1"/>
  <c r="J108" i="63818" l="1"/>
  <c r="J106" i="63818"/>
  <c r="J92" i="63818"/>
  <c r="J69" i="63818"/>
  <c r="J87" i="63818"/>
  <c r="G80" i="63818"/>
  <c r="J79" i="63818"/>
  <c r="J91" i="63818"/>
  <c r="J81" i="63818"/>
  <c r="J77" i="63818"/>
  <c r="E92" i="63818"/>
  <c r="J76" i="63818"/>
  <c r="G87" i="63818"/>
  <c r="C81" i="63818"/>
  <c r="E81" i="63818" s="1"/>
  <c r="J70" i="63818"/>
  <c r="G91" i="63818"/>
  <c r="G92" i="63818"/>
  <c r="G94" i="63818"/>
  <c r="J137" i="63818" l="1"/>
  <c r="J115" i="63818"/>
  <c r="C7" i="63818"/>
  <c r="C8" i="63818"/>
  <c r="E8" i="63818" s="1"/>
  <c r="D18" i="63832" l="1"/>
  <c r="V99" i="63821" l="1"/>
  <c r="V98" i="63821"/>
  <c r="V97" i="63821"/>
  <c r="V96" i="63821"/>
  <c r="V95" i="63821"/>
  <c r="P95" i="63821"/>
  <c r="Q95" i="63821" s="1"/>
  <c r="S95" i="63821"/>
  <c r="T103" i="63821"/>
  <c r="T77" i="1336" l="1"/>
  <c r="T244" i="63733" l="1"/>
  <c r="D25" i="63808" l="1"/>
  <c r="AL224" i="63733"/>
  <c r="AO224" i="63733" s="1"/>
  <c r="AR224" i="63733" s="1"/>
  <c r="AU224" i="63733" s="1"/>
  <c r="AX224" i="63733" s="1"/>
  <c r="BA224" i="63733" s="1"/>
  <c r="BD224" i="63733" s="1"/>
  <c r="BG224" i="63733" s="1"/>
  <c r="BJ224" i="63733" s="1"/>
  <c r="T74" i="63829"/>
  <c r="A55" i="63829"/>
  <c r="T170" i="63733"/>
  <c r="T378" i="63733"/>
  <c r="T343" i="63733"/>
  <c r="A54" i="63829" s="1"/>
  <c r="R343" i="63733"/>
  <c r="T66" i="63733"/>
  <c r="A53" i="63829" s="1"/>
  <c r="P110" i="1336"/>
  <c r="P108" i="1336"/>
  <c r="O111" i="1336"/>
  <c r="S110" i="1336"/>
  <c r="S108" i="1336"/>
  <c r="R111" i="1336"/>
  <c r="S35" i="1336"/>
  <c r="K437" i="63733"/>
  <c r="Q437" i="63733"/>
  <c r="O437" i="63733"/>
  <c r="N437" i="63733"/>
  <c r="L437" i="63733"/>
  <c r="M11" i="63733"/>
  <c r="M437" i="63733" s="1"/>
  <c r="S11" i="63733"/>
  <c r="R437" i="63733"/>
  <c r="R88" i="63733"/>
  <c r="T88" i="63733"/>
  <c r="T224" i="63733"/>
  <c r="P111" i="1336" l="1"/>
  <c r="S111" i="1336"/>
  <c r="R139" i="63818" s="1"/>
  <c r="AA37" i="63733" l="1"/>
  <c r="AD438" i="63733" l="1"/>
  <c r="Q195" i="1336"/>
  <c r="AI37" i="63733" l="1"/>
  <c r="AG438" i="63733"/>
  <c r="AE438" i="63733"/>
  <c r="AE37" i="63733" s="1"/>
  <c r="AD37" i="63733"/>
  <c r="AL438" i="63733"/>
  <c r="AL37" i="63733" s="1"/>
  <c r="T39" i="1336"/>
  <c r="T41" i="1336" s="1"/>
  <c r="T107" i="1336" s="1"/>
  <c r="R6" i="63830"/>
  <c r="T11" i="63830"/>
  <c r="R11" i="63830"/>
  <c r="T10" i="63830"/>
  <c r="R10" i="63830"/>
  <c r="Q11" i="63830"/>
  <c r="O11" i="63830"/>
  <c r="Q10" i="63830"/>
  <c r="O10" i="63830"/>
  <c r="Q78" i="63829"/>
  <c r="T68" i="63829"/>
  <c r="T62" i="63829"/>
  <c r="T61" i="63829"/>
  <c r="T56" i="63829"/>
  <c r="A56" i="63829" s="1"/>
  <c r="T37" i="63829"/>
  <c r="T39" i="63829"/>
  <c r="T45" i="63829" s="1"/>
  <c r="T25" i="63829"/>
  <c r="T14" i="63829"/>
  <c r="S268" i="1336"/>
  <c r="S267" i="1336"/>
  <c r="S266" i="1336"/>
  <c r="S265" i="1336"/>
  <c r="S264" i="1336"/>
  <c r="S263" i="1336"/>
  <c r="S262" i="1336"/>
  <c r="S274" i="1336"/>
  <c r="S273" i="1336"/>
  <c r="S272" i="1336"/>
  <c r="S271" i="1336"/>
  <c r="T223" i="1336"/>
  <c r="T222" i="1336"/>
  <c r="T203" i="1336"/>
  <c r="T199" i="1336"/>
  <c r="T195" i="1336"/>
  <c r="T161" i="1336"/>
  <c r="T159" i="1336"/>
  <c r="T114" i="1336"/>
  <c r="T101" i="1336"/>
  <c r="W102" i="1336" s="1"/>
  <c r="T99" i="1336"/>
  <c r="Q99" i="1336"/>
  <c r="Q145" i="1336" s="1"/>
  <c r="T92" i="1336"/>
  <c r="S50" i="1336"/>
  <c r="T29" i="1336"/>
  <c r="Q29" i="1336"/>
  <c r="Q106" i="1336" s="1"/>
  <c r="T192" i="63733"/>
  <c r="T109" i="63733"/>
  <c r="Q90" i="63733"/>
  <c r="D9" i="63808" l="1"/>
  <c r="AH438" i="63733"/>
  <c r="AH37" i="63733" s="1"/>
  <c r="AG37" i="63733"/>
  <c r="R129" i="63818"/>
  <c r="T196" i="1336"/>
  <c r="W196" i="1336"/>
  <c r="T105" i="1336"/>
  <c r="Q8" i="63830"/>
  <c r="T5" i="63830" s="1"/>
  <c r="O8" i="63830"/>
  <c r="R5" i="63830" s="1"/>
  <c r="T103" i="1336"/>
  <c r="R8" i="63830"/>
  <c r="X161" i="1336"/>
  <c r="T8" i="63830"/>
  <c r="T106" i="1336"/>
  <c r="T100" i="1336"/>
  <c r="T72" i="63829"/>
  <c r="T13" i="63829"/>
  <c r="U7" i="63829" s="1"/>
  <c r="AO438" i="63733"/>
  <c r="AO37" i="63733" s="1"/>
  <c r="T109" i="1336" l="1"/>
  <c r="R7" i="63830"/>
  <c r="AR438" i="63733"/>
  <c r="AR37" i="63733" s="1"/>
  <c r="AD161" i="1336" l="1"/>
  <c r="G51" i="63836" a="1"/>
  <c r="G51" i="63836" s="1"/>
  <c r="AF161" i="1336"/>
  <c r="H51" i="63836" s="1" a="1"/>
  <c r="H51" i="63836" s="1"/>
  <c r="AU438" i="63733"/>
  <c r="AU37" i="63733" s="1"/>
  <c r="AI161" i="1336" l="1"/>
  <c r="I51" i="63836" s="1" a="1"/>
  <c r="I51" i="63836" s="1"/>
  <c r="AG161" i="1336"/>
  <c r="AX438" i="63733"/>
  <c r="AX37" i="63733" s="1"/>
  <c r="Y126" i="1336"/>
  <c r="Y123" i="1336"/>
  <c r="Y117" i="1336"/>
  <c r="Y116" i="1336"/>
  <c r="Y115" i="1336"/>
  <c r="V126" i="1336"/>
  <c r="V123" i="1336"/>
  <c r="V117" i="1336"/>
  <c r="V116" i="1336"/>
  <c r="V115" i="1336"/>
  <c r="S134" i="1336"/>
  <c r="S124" i="1336"/>
  <c r="S123" i="1336"/>
  <c r="S117" i="1336"/>
  <c r="S116" i="1336"/>
  <c r="S115" i="1336"/>
  <c r="S114" i="1336"/>
  <c r="P134" i="1336"/>
  <c r="P126" i="1336"/>
  <c r="P125" i="1336"/>
  <c r="P124" i="1336"/>
  <c r="P123" i="1336"/>
  <c r="P122" i="1336"/>
  <c r="P117" i="1336"/>
  <c r="P116" i="1336"/>
  <c r="P115" i="1336"/>
  <c r="P113" i="1336"/>
  <c r="M126" i="1336"/>
  <c r="M125" i="1336"/>
  <c r="M124" i="1336"/>
  <c r="M123" i="1336"/>
  <c r="M117" i="1336"/>
  <c r="M116" i="1336"/>
  <c r="M115" i="1336"/>
  <c r="M114" i="1336"/>
  <c r="J125" i="1336"/>
  <c r="J124" i="1336"/>
  <c r="J123" i="1336"/>
  <c r="J117" i="1336"/>
  <c r="J116" i="1336"/>
  <c r="J115" i="1336"/>
  <c r="G125" i="1336"/>
  <c r="G124" i="1336"/>
  <c r="G123" i="1336"/>
  <c r="G117" i="1336"/>
  <c r="G116" i="1336"/>
  <c r="Y101" i="1336"/>
  <c r="V110" i="1336"/>
  <c r="V101" i="1336"/>
  <c r="M110" i="1336"/>
  <c r="J110" i="1336"/>
  <c r="D117" i="1336"/>
  <c r="D116" i="1336"/>
  <c r="D115" i="1336"/>
  <c r="D113" i="1336"/>
  <c r="D126" i="1336"/>
  <c r="D125" i="1336"/>
  <c r="D124" i="1336"/>
  <c r="D123" i="1336"/>
  <c r="D131" i="1336"/>
  <c r="D135" i="1336"/>
  <c r="D134" i="1336"/>
  <c r="Y188" i="1336"/>
  <c r="V188" i="1336"/>
  <c r="S188" i="1336"/>
  <c r="S186" i="1336"/>
  <c r="S185" i="1336"/>
  <c r="S179" i="1336"/>
  <c r="S172" i="1336"/>
  <c r="S169" i="1336"/>
  <c r="S168" i="1336"/>
  <c r="S161" i="1336"/>
  <c r="S158" i="1336"/>
  <c r="S153" i="1336"/>
  <c r="P188" i="1336"/>
  <c r="P187" i="1336"/>
  <c r="P186" i="1336"/>
  <c r="P185" i="1336"/>
  <c r="P179" i="1336"/>
  <c r="P178" i="1336"/>
  <c r="P177" i="1336"/>
  <c r="P176" i="1336"/>
  <c r="P172" i="1336"/>
  <c r="P171" i="1336"/>
  <c r="P170" i="1336"/>
  <c r="P169" i="1336"/>
  <c r="P168" i="1336"/>
  <c r="P10" i="63830" s="1"/>
  <c r="P162" i="1336"/>
  <c r="P161" i="1336"/>
  <c r="P159" i="1336"/>
  <c r="P158" i="1336"/>
  <c r="P157" i="1336"/>
  <c r="P153" i="1336"/>
  <c r="P152" i="1336"/>
  <c r="P151" i="1336"/>
  <c r="M188" i="1336"/>
  <c r="M187" i="1336"/>
  <c r="M186" i="1336"/>
  <c r="M185" i="1336"/>
  <c r="M179" i="1336"/>
  <c r="M178" i="1336"/>
  <c r="M177" i="1336"/>
  <c r="M176" i="1336"/>
  <c r="M171" i="1336"/>
  <c r="M170" i="1336"/>
  <c r="M169" i="1336"/>
  <c r="M168" i="1336"/>
  <c r="M162" i="1336"/>
  <c r="M161" i="1336"/>
  <c r="M159" i="1336"/>
  <c r="M158" i="1336"/>
  <c r="M157" i="1336"/>
  <c r="M153" i="1336"/>
  <c r="M152" i="1336"/>
  <c r="M151" i="1336"/>
  <c r="J188" i="1336"/>
  <c r="J187" i="1336"/>
  <c r="J186" i="1336"/>
  <c r="J185" i="1336"/>
  <c r="J178" i="1336"/>
  <c r="J177" i="1336"/>
  <c r="J176" i="1336"/>
  <c r="J172" i="1336"/>
  <c r="J171" i="1336"/>
  <c r="J170" i="1336"/>
  <c r="J169" i="1336"/>
  <c r="J168" i="1336"/>
  <c r="J162" i="1336"/>
  <c r="J161" i="1336"/>
  <c r="J159" i="1336"/>
  <c r="J158" i="1336"/>
  <c r="J157" i="1336"/>
  <c r="J152" i="1336"/>
  <c r="J151" i="1336"/>
  <c r="J150" i="1336"/>
  <c r="G188" i="1336"/>
  <c r="G186" i="1336"/>
  <c r="G185" i="1336"/>
  <c r="G177" i="1336"/>
  <c r="G176" i="1336"/>
  <c r="G170" i="1336"/>
  <c r="G169" i="1336"/>
  <c r="G168" i="1336"/>
  <c r="G162" i="1336"/>
  <c r="G161" i="1336"/>
  <c r="G159" i="1336"/>
  <c r="G158" i="1336"/>
  <c r="G157" i="1336"/>
  <c r="G153" i="1336"/>
  <c r="G152" i="1336"/>
  <c r="G151" i="1336"/>
  <c r="G150" i="1336"/>
  <c r="D188" i="1336"/>
  <c r="D187" i="1336"/>
  <c r="D186" i="1336"/>
  <c r="D185" i="1336"/>
  <c r="D178" i="1336"/>
  <c r="D177" i="1336"/>
  <c r="D176" i="1336"/>
  <c r="D171" i="1336"/>
  <c r="D170" i="1336"/>
  <c r="D169" i="1336"/>
  <c r="D168" i="1336"/>
  <c r="D162" i="1336"/>
  <c r="D161" i="1336"/>
  <c r="D159" i="1336"/>
  <c r="D158" i="1336"/>
  <c r="D157" i="1336"/>
  <c r="D153" i="1336"/>
  <c r="D152" i="1336"/>
  <c r="D151" i="1336"/>
  <c r="D150" i="1336"/>
  <c r="G213" i="1336" l="1"/>
  <c r="J213" i="1336"/>
  <c r="P11" i="63830"/>
  <c r="P8" i="63830" s="1"/>
  <c r="S5" i="63830" s="1"/>
  <c r="AL161" i="1336"/>
  <c r="AO161" i="1336" s="1"/>
  <c r="AR161" i="1336" s="1"/>
  <c r="BA438" i="63733"/>
  <c r="BA37" i="63733" s="1"/>
  <c r="D132" i="1336"/>
  <c r="G131" i="1336" s="1"/>
  <c r="J132" i="1336"/>
  <c r="M131" i="1336" s="1"/>
  <c r="G132" i="1336"/>
  <c r="J131" i="1336" s="1"/>
  <c r="S10" i="63830"/>
  <c r="AU161" i="1336" l="1"/>
  <c r="AX161" i="1336" s="1"/>
  <c r="BA161" i="1336" s="1"/>
  <c r="BD161" i="1336" s="1"/>
  <c r="BG161" i="1336" s="1"/>
  <c r="BJ161" i="1336" s="1"/>
  <c r="J51" i="63836" a="1"/>
  <c r="J51" i="63836" s="1"/>
  <c r="BD438" i="63733"/>
  <c r="BD37" i="63733" s="1"/>
  <c r="P24" i="63807"/>
  <c r="BG438" i="63733" l="1"/>
  <c r="BG37" i="63733" s="1"/>
  <c r="BJ438" i="63733"/>
  <c r="BJ37" i="63733" s="1"/>
  <c r="AX218" i="1336"/>
  <c r="AX168" i="1336"/>
  <c r="AX122" i="1336"/>
  <c r="AX199" i="63733"/>
  <c r="AX148" i="63733"/>
  <c r="AX57" i="63733"/>
  <c r="Y218" i="1336" l="1"/>
  <c r="X218" i="1336"/>
  <c r="X168" i="1336"/>
  <c r="X122" i="1336"/>
  <c r="Y232" i="63733"/>
  <c r="Y177" i="63733"/>
  <c r="Y66" i="63733"/>
  <c r="Y79" i="63829"/>
  <c r="X127" i="1336" l="1"/>
  <c r="Y343" i="63733"/>
  <c r="J195" i="1336"/>
  <c r="F51" i="1336" l="1"/>
  <c r="Q62" i="63829" l="1"/>
  <c r="Q31" i="63829"/>
  <c r="Q49" i="63829"/>
  <c r="Q12" i="63829"/>
  <c r="Q13" i="63829" s="1"/>
  <c r="J20" i="1336" l="1"/>
  <c r="J18" i="1336"/>
  <c r="J16" i="1336"/>
  <c r="J14" i="1336"/>
  <c r="G20" i="1336"/>
  <c r="G18" i="1336"/>
  <c r="G16" i="1336"/>
  <c r="G14" i="1336"/>
  <c r="D20" i="1336"/>
  <c r="D18" i="1336"/>
  <c r="D16" i="1336"/>
  <c r="D14" i="1336"/>
  <c r="V232" i="63733"/>
  <c r="V66" i="63733"/>
  <c r="J15" i="1336" l="1"/>
  <c r="G21" i="1336"/>
  <c r="J17" i="1336"/>
  <c r="G19" i="1336"/>
  <c r="J19" i="1336"/>
  <c r="G15" i="1336"/>
  <c r="G17" i="1336"/>
  <c r="J21" i="1336"/>
  <c r="A33" i="63807" l="1"/>
  <c r="M222" i="1336" l="1"/>
  <c r="M223" i="1336"/>
  <c r="L223" i="1336"/>
  <c r="L222" i="1336"/>
  <c r="L221" i="1336"/>
  <c r="L219" i="1336"/>
  <c r="M268" i="1336"/>
  <c r="M267" i="1336"/>
  <c r="M266" i="1336"/>
  <c r="M265" i="1336"/>
  <c r="M263" i="1336"/>
  <c r="M262" i="1336"/>
  <c r="L264" i="1336"/>
  <c r="M264" i="1336" s="1"/>
  <c r="M275" i="1336"/>
  <c r="M274" i="1336"/>
  <c r="M273" i="1336"/>
  <c r="M272" i="1336"/>
  <c r="M271" i="1336"/>
  <c r="L270" i="1336"/>
  <c r="N270" i="1336"/>
  <c r="L253" i="1336" l="1"/>
  <c r="O253" i="1336" s="1"/>
  <c r="R253" i="1336" s="1"/>
  <c r="U253" i="1336" s="1"/>
  <c r="X253" i="1336" s="1"/>
  <c r="AA253" i="1336" s="1"/>
  <c r="AD253" i="1336" s="1"/>
  <c r="AG253" i="1336" s="1"/>
  <c r="M270" i="1336"/>
  <c r="N111" i="1336" l="1"/>
  <c r="N221" i="1336" l="1"/>
  <c r="N223" i="1336"/>
  <c r="N222" i="1336"/>
  <c r="N219" i="1336"/>
  <c r="R223" i="1336"/>
  <c r="R222" i="1336"/>
  <c r="R221" i="1336"/>
  <c r="R219" i="1336"/>
  <c r="P223" i="1336"/>
  <c r="O223" i="1336"/>
  <c r="P222" i="1336"/>
  <c r="O222" i="1336"/>
  <c r="O221" i="1336"/>
  <c r="O219" i="1336"/>
  <c r="P275" i="1336"/>
  <c r="P274" i="1336"/>
  <c r="P273" i="1336"/>
  <c r="P272" i="1336"/>
  <c r="P271" i="1336"/>
  <c r="O270" i="1336"/>
  <c r="R270" i="1336"/>
  <c r="P268" i="1336"/>
  <c r="P267" i="1336"/>
  <c r="P266" i="1336"/>
  <c r="P265" i="1336"/>
  <c r="P264" i="1336"/>
  <c r="P263" i="1336"/>
  <c r="P262" i="1336"/>
  <c r="Q223" i="1336"/>
  <c r="Q222" i="1336"/>
  <c r="Q219" i="1336"/>
  <c r="Q270" i="1336"/>
  <c r="K226" i="1336" l="1"/>
  <c r="N253" i="1336"/>
  <c r="M221" i="1336"/>
  <c r="P270" i="1336"/>
  <c r="R39" i="1336"/>
  <c r="R41" i="1336" s="1"/>
  <c r="R195" i="1336"/>
  <c r="U196" i="1336" s="1"/>
  <c r="P195" i="1336"/>
  <c r="O195" i="1336"/>
  <c r="N195" i="1336"/>
  <c r="M195" i="1336"/>
  <c r="L195" i="1336"/>
  <c r="K195" i="1336"/>
  <c r="F195" i="1336"/>
  <c r="E195" i="1336"/>
  <c r="W122" i="1336"/>
  <c r="Z122" i="1336"/>
  <c r="AC122" i="1336"/>
  <c r="AB122" i="1336" s="1"/>
  <c r="AF122" i="1336"/>
  <c r="H32" i="63836" s="1" a="1"/>
  <c r="H32" i="63836" s="1"/>
  <c r="AI122" i="1336"/>
  <c r="I32" i="63836" s="1" a="1"/>
  <c r="I32" i="63836" s="1"/>
  <c r="AL122" i="1336"/>
  <c r="AO122" i="1336"/>
  <c r="AR122" i="1336"/>
  <c r="AU122" i="1336"/>
  <c r="Q77" i="1336"/>
  <c r="N77" i="1336"/>
  <c r="K77" i="1336"/>
  <c r="H77" i="1336"/>
  <c r="E77" i="1336"/>
  <c r="C77" i="1336"/>
  <c r="O81" i="63829"/>
  <c r="R81" i="63829"/>
  <c r="S81" i="63829"/>
  <c r="Q13" i="63830"/>
  <c r="N13" i="63830"/>
  <c r="R203" i="1336"/>
  <c r="AD203" i="1336" s="1"/>
  <c r="AG203" i="1336" s="1"/>
  <c r="AJ203" i="1336" s="1"/>
  <c r="AM203" i="1336" s="1"/>
  <c r="AP203" i="1336" s="1"/>
  <c r="AS203" i="1336" s="1"/>
  <c r="AV203" i="1336" s="1"/>
  <c r="AY203" i="1336" s="1"/>
  <c r="BB203" i="1336" s="1"/>
  <c r="BE203" i="1336" s="1"/>
  <c r="BH203" i="1336" s="1"/>
  <c r="O203" i="1336"/>
  <c r="L203" i="1336"/>
  <c r="I203" i="1336"/>
  <c r="F203" i="1336"/>
  <c r="Q203" i="1336"/>
  <c r="N203" i="1336"/>
  <c r="K203" i="1336"/>
  <c r="H203" i="1336"/>
  <c r="E203" i="1336"/>
  <c r="O199" i="1336"/>
  <c r="L199" i="1336"/>
  <c r="F199" i="1336"/>
  <c r="Q199" i="1336"/>
  <c r="N199" i="1336"/>
  <c r="K199" i="1336"/>
  <c r="H199" i="1336"/>
  <c r="E199" i="1336"/>
  <c r="C190" i="1336"/>
  <c r="U168" i="1336"/>
  <c r="W168" i="1336"/>
  <c r="Z168" i="1336"/>
  <c r="AC168" i="1336"/>
  <c r="AF168" i="1336"/>
  <c r="H56" i="63836" s="1" a="1"/>
  <c r="H56" i="63836" s="1"/>
  <c r="AI168" i="1336"/>
  <c r="I56" i="63836" s="1" a="1"/>
  <c r="I56" i="63836" s="1"/>
  <c r="AL168" i="1336"/>
  <c r="AO168" i="1336"/>
  <c r="AR168" i="1336"/>
  <c r="AU168" i="1336"/>
  <c r="I14" i="63829"/>
  <c r="H13" i="63829"/>
  <c r="E13" i="63829"/>
  <c r="O12" i="63829"/>
  <c r="O13" i="63829" s="1"/>
  <c r="N12" i="63829"/>
  <c r="N13" i="63829" s="1"/>
  <c r="L12" i="63829"/>
  <c r="L13" i="63829" s="1"/>
  <c r="K12" i="63829"/>
  <c r="K13" i="63829" s="1"/>
  <c r="H12" i="63829"/>
  <c r="F12" i="63829"/>
  <c r="F13" i="63829" s="1"/>
  <c r="E12" i="63829"/>
  <c r="Q6" i="63830"/>
  <c r="L11" i="63830"/>
  <c r="K11" i="63830"/>
  <c r="J11" i="63830" s="1"/>
  <c r="I11" i="63830"/>
  <c r="H11" i="63830"/>
  <c r="G11" i="63830" s="1"/>
  <c r="F11" i="63830"/>
  <c r="E11" i="63830"/>
  <c r="D11" i="63830" s="1"/>
  <c r="C11" i="63830"/>
  <c r="L10" i="63830"/>
  <c r="K10" i="63830"/>
  <c r="J10" i="63830" s="1"/>
  <c r="I10" i="63830"/>
  <c r="H10" i="63830"/>
  <c r="F10" i="63830"/>
  <c r="E10" i="63830"/>
  <c r="C10" i="63830"/>
  <c r="N11" i="63830"/>
  <c r="M11" i="63830" s="1"/>
  <c r="N10" i="63830"/>
  <c r="M10" i="63830" s="1"/>
  <c r="R69" i="63829"/>
  <c r="T36" i="63829"/>
  <c r="T28" i="63829"/>
  <c r="T33" i="63829" s="1"/>
  <c r="S58" i="63829"/>
  <c r="O62" i="63829"/>
  <c r="R62" i="63829"/>
  <c r="R63" i="63829" s="1"/>
  <c r="N49" i="63829"/>
  <c r="N81" i="63829"/>
  <c r="N69" i="63829"/>
  <c r="N62" i="63829"/>
  <c r="N63" i="63829" s="1"/>
  <c r="N64" i="63829" s="1"/>
  <c r="N43" i="63829"/>
  <c r="N39" i="63829"/>
  <c r="N30" i="63829"/>
  <c r="N37" i="63829"/>
  <c r="K22" i="63829"/>
  <c r="N22" i="63829"/>
  <c r="K10" i="63829"/>
  <c r="N10" i="63829"/>
  <c r="N38" i="63733"/>
  <c r="L38" i="63733"/>
  <c r="K38" i="63733"/>
  <c r="I38" i="63733"/>
  <c r="H38" i="63733"/>
  <c r="F38" i="63733"/>
  <c r="E38" i="63733"/>
  <c r="C38" i="63733"/>
  <c r="C22" i="1336"/>
  <c r="J50" i="1336"/>
  <c r="J49" i="1336"/>
  <c r="J43" i="1336"/>
  <c r="J37" i="1336"/>
  <c r="J36" i="1336"/>
  <c r="J31" i="1336"/>
  <c r="J25" i="1336"/>
  <c r="J9" i="1336"/>
  <c r="G50" i="1336"/>
  <c r="G49" i="1336"/>
  <c r="G43" i="1336"/>
  <c r="G42" i="1336"/>
  <c r="G37" i="1336"/>
  <c r="G35" i="1336"/>
  <c r="G31" i="1336"/>
  <c r="G38" i="63733" s="1"/>
  <c r="G25" i="1336"/>
  <c r="G9" i="1336"/>
  <c r="D50" i="1336"/>
  <c r="D49" i="1336"/>
  <c r="D48" i="1336"/>
  <c r="D43" i="1336"/>
  <c r="D77" i="1336" s="1"/>
  <c r="D42" i="1336"/>
  <c r="D37" i="1336"/>
  <c r="D31" i="1336"/>
  <c r="D38" i="63733" s="1"/>
  <c r="D25" i="1336"/>
  <c r="D9" i="1336"/>
  <c r="C51" i="1336"/>
  <c r="C80" i="1336" s="1"/>
  <c r="H39" i="1336"/>
  <c r="F39" i="1336"/>
  <c r="F41" i="1336" s="1"/>
  <c r="E39" i="1336"/>
  <c r="C39" i="1336"/>
  <c r="C41" i="1336" s="1"/>
  <c r="C59" i="1336" s="1"/>
  <c r="I29" i="1336"/>
  <c r="H29" i="1336"/>
  <c r="F29" i="1336"/>
  <c r="E29" i="1336"/>
  <c r="C29" i="1336"/>
  <c r="M43" i="1336"/>
  <c r="M42" i="1336"/>
  <c r="M37" i="1336"/>
  <c r="M35" i="1336"/>
  <c r="M31" i="1336"/>
  <c r="M25" i="1336"/>
  <c r="M20" i="1336"/>
  <c r="M21" i="1336" s="1"/>
  <c r="M18" i="1336"/>
  <c r="M19" i="1336" s="1"/>
  <c r="M16" i="1336"/>
  <c r="M17" i="1336" s="1"/>
  <c r="M14" i="1336"/>
  <c r="M15" i="1336" s="1"/>
  <c r="M9" i="1336"/>
  <c r="L29" i="1336"/>
  <c r="N39" i="1336"/>
  <c r="L39" i="1336"/>
  <c r="K39" i="1336"/>
  <c r="K41" i="1336" s="1"/>
  <c r="K29" i="1336"/>
  <c r="N29" i="1336"/>
  <c r="N220" i="1336" s="1"/>
  <c r="O38" i="63733"/>
  <c r="R38" i="63733"/>
  <c r="P11" i="63733"/>
  <c r="P437" i="63733" s="1"/>
  <c r="P50" i="1336"/>
  <c r="P43" i="1336"/>
  <c r="P35" i="1336"/>
  <c r="P25" i="1336"/>
  <c r="P9" i="1336"/>
  <c r="O39" i="1336"/>
  <c r="O29" i="1336"/>
  <c r="R220" i="1336"/>
  <c r="P16" i="1336"/>
  <c r="P18" i="1336"/>
  <c r="P20" i="1336"/>
  <c r="P14" i="1336"/>
  <c r="Q81" i="63829"/>
  <c r="Q37" i="1336" s="1"/>
  <c r="Q69" i="63829"/>
  <c r="Q43" i="63829"/>
  <c r="Q39" i="63829"/>
  <c r="Q37" i="63829"/>
  <c r="Q30" i="63829"/>
  <c r="G56" i="63836" l="1" a="1"/>
  <c r="G56" i="63836" s="1"/>
  <c r="AB168" i="1336"/>
  <c r="Q14" i="63830"/>
  <c r="U64" i="63829"/>
  <c r="R64" i="63829"/>
  <c r="N257" i="1336"/>
  <c r="N242" i="1336"/>
  <c r="N243" i="1336" s="1"/>
  <c r="R257" i="1336"/>
  <c r="R242" i="1336"/>
  <c r="R243" i="1336" s="1"/>
  <c r="J32" i="63836" a="1"/>
  <c r="J32" i="63836" s="1"/>
  <c r="J56" i="63836" a="1"/>
  <c r="J56" i="63836" s="1"/>
  <c r="Z173" i="1336"/>
  <c r="F61" i="63836" s="1" a="1"/>
  <c r="F61" i="63836" s="1"/>
  <c r="F56" i="63836" a="1"/>
  <c r="F56" i="63836" s="1"/>
  <c r="G32" i="63836" a="1"/>
  <c r="G32" i="63836" s="1"/>
  <c r="Y122" i="1336"/>
  <c r="F32" i="63836" a="1"/>
  <c r="F32" i="63836" s="1"/>
  <c r="AE168" i="1336"/>
  <c r="AH168" i="1336"/>
  <c r="AH122" i="1336"/>
  <c r="P21" i="1336"/>
  <c r="AE122" i="1336"/>
  <c r="P15" i="1336"/>
  <c r="P17" i="1336"/>
  <c r="P19" i="1336"/>
  <c r="J38" i="63733"/>
  <c r="M38" i="63733"/>
  <c r="I32" i="63733"/>
  <c r="Y168" i="1336"/>
  <c r="R105" i="1336"/>
  <c r="V122" i="1336"/>
  <c r="G137" i="1336"/>
  <c r="R71" i="63829"/>
  <c r="V168" i="1336"/>
  <c r="D137" i="1336"/>
  <c r="J137" i="1336"/>
  <c r="N38" i="63829"/>
  <c r="AD24" i="63829"/>
  <c r="AD158" i="1336" s="1"/>
  <c r="X24" i="63829"/>
  <c r="X158" i="1336" s="1"/>
  <c r="X159" i="1336" s="1"/>
  <c r="V161" i="1336"/>
  <c r="Y161" i="1336" s="1"/>
  <c r="AB161" i="1336" s="1"/>
  <c r="V179" i="1336"/>
  <c r="I40" i="63733"/>
  <c r="J40" i="63733" s="1"/>
  <c r="F40" i="63733"/>
  <c r="G40" i="63733" s="1"/>
  <c r="H41" i="1336"/>
  <c r="G41" i="1336" s="1"/>
  <c r="H105" i="1336"/>
  <c r="Q38" i="63829"/>
  <c r="Q221" i="1336"/>
  <c r="F107" i="1336"/>
  <c r="H14" i="63829"/>
  <c r="V158" i="1336"/>
  <c r="U24" i="63829"/>
  <c r="K107" i="1336"/>
  <c r="F106" i="1336"/>
  <c r="R107" i="1336"/>
  <c r="S107" i="1336" s="1"/>
  <c r="O41" i="1336"/>
  <c r="P219" i="1336"/>
  <c r="L220" i="1336"/>
  <c r="E14" i="63829"/>
  <c r="L41" i="1336"/>
  <c r="O106" i="1336"/>
  <c r="P106" i="1336" s="1"/>
  <c r="O220" i="1336"/>
  <c r="K78" i="1336"/>
  <c r="J29" i="1336"/>
  <c r="K106" i="1336"/>
  <c r="L106" i="1336"/>
  <c r="I106" i="1336"/>
  <c r="R72" i="63829"/>
  <c r="P37" i="1336"/>
  <c r="E106" i="1336"/>
  <c r="N106" i="1336"/>
  <c r="H106" i="1336"/>
  <c r="C83" i="1336"/>
  <c r="R106" i="1336"/>
  <c r="N78" i="1336"/>
  <c r="H78" i="1336"/>
  <c r="M29" i="1336"/>
  <c r="C8" i="63830"/>
  <c r="I8" i="63830"/>
  <c r="H8" i="63830"/>
  <c r="K5" i="63830" s="1"/>
  <c r="E8" i="63830"/>
  <c r="H5" i="63830" s="1"/>
  <c r="J8" i="63830"/>
  <c r="K8" i="63830"/>
  <c r="N5" i="63830" s="1"/>
  <c r="F8" i="63830"/>
  <c r="L8" i="63830"/>
  <c r="G10" i="63830"/>
  <c r="G8" i="63830" s="1"/>
  <c r="D29" i="1336"/>
  <c r="M8" i="63830"/>
  <c r="D39" i="1336"/>
  <c r="N8" i="63830"/>
  <c r="Q5" i="63830" s="1"/>
  <c r="D10" i="63830"/>
  <c r="D8" i="63830" s="1"/>
  <c r="N14" i="63830"/>
  <c r="I12" i="63829"/>
  <c r="I13" i="63829" s="1"/>
  <c r="M39" i="1336"/>
  <c r="G29" i="1336"/>
  <c r="E41" i="1336"/>
  <c r="G39" i="1336"/>
  <c r="N41" i="1336"/>
  <c r="Q253" i="1336" l="1"/>
  <c r="T253" i="1336" s="1"/>
  <c r="L242" i="1336"/>
  <c r="L243" i="1336" s="1"/>
  <c r="M243" i="1336" s="1"/>
  <c r="M249" i="1336" s="1"/>
  <c r="M250" i="1336" s="1"/>
  <c r="N247" i="1336" s="1"/>
  <c r="N249" i="1336" s="1"/>
  <c r="L257" i="1336"/>
  <c r="O242" i="1336"/>
  <c r="O243" i="1336" s="1"/>
  <c r="F60" i="63836"/>
  <c r="Z158" i="1336"/>
  <c r="R73" i="63829"/>
  <c r="I94" i="63818"/>
  <c r="J94" i="63818" s="1"/>
  <c r="H107" i="1336"/>
  <c r="H109" i="1336" s="1"/>
  <c r="S106" i="1336"/>
  <c r="AD179" i="1336"/>
  <c r="Y179" i="1336"/>
  <c r="O107" i="1336"/>
  <c r="M220" i="1336"/>
  <c r="L107" i="1336"/>
  <c r="AF24" i="63829"/>
  <c r="AG24" i="63829" s="1"/>
  <c r="AG158" i="1336" s="1"/>
  <c r="AC158" i="1336"/>
  <c r="AB158" i="1336" s="1"/>
  <c r="P221" i="1336"/>
  <c r="D41" i="1336"/>
  <c r="D59" i="1336" s="1"/>
  <c r="E107" i="1336"/>
  <c r="M41" i="1336"/>
  <c r="N107" i="1336"/>
  <c r="Q7" i="63830"/>
  <c r="AE161" i="1336" l="1"/>
  <c r="M242" i="1336"/>
  <c r="M244" i="1336" s="1"/>
  <c r="M257" i="1336"/>
  <c r="W253" i="1336"/>
  <c r="Z253" i="1336" s="1"/>
  <c r="AC253" i="1336" s="1"/>
  <c r="AF253" i="1336" s="1"/>
  <c r="AI253" i="1336" s="1"/>
  <c r="AL253" i="1336" s="1"/>
  <c r="AO253" i="1336" s="1"/>
  <c r="AR253" i="1336" s="1"/>
  <c r="AU253" i="1336" s="1"/>
  <c r="AX253" i="1336" s="1"/>
  <c r="BA253" i="1336" s="1"/>
  <c r="BD253" i="1336" s="1"/>
  <c r="BG253" i="1336" s="1"/>
  <c r="BJ253" i="1336" s="1"/>
  <c r="G49" i="63836" a="1"/>
  <c r="G49" i="63836" s="1"/>
  <c r="Y158" i="1336"/>
  <c r="F49" i="63836" a="1"/>
  <c r="F49" i="63836" s="1"/>
  <c r="AF179" i="1336"/>
  <c r="AG179" i="1336" s="1"/>
  <c r="AI24" i="63829"/>
  <c r="AF158" i="1336"/>
  <c r="S37" i="1336"/>
  <c r="AH161" i="1336" l="1"/>
  <c r="AE158" i="1336"/>
  <c r="H49" i="63836" a="1"/>
  <c r="H49" i="63836" s="1"/>
  <c r="AI179" i="1336"/>
  <c r="AE179" i="1336"/>
  <c r="S177" i="1336"/>
  <c r="U176" i="1336"/>
  <c r="S176" i="1336"/>
  <c r="AL24" i="63829"/>
  <c r="AI158" i="1336"/>
  <c r="I49" i="63836" s="1" a="1"/>
  <c r="I49" i="63836" s="1"/>
  <c r="AH158" i="1336" l="1"/>
  <c r="AL179" i="1336"/>
  <c r="AO179" i="1336" s="1"/>
  <c r="AR179" i="1336" s="1"/>
  <c r="AU179" i="1336" s="1"/>
  <c r="AX179" i="1336" s="1"/>
  <c r="BA179" i="1336" s="1"/>
  <c r="BD179" i="1336" s="1"/>
  <c r="BG179" i="1336" s="1"/>
  <c r="BJ179" i="1336" s="1"/>
  <c r="AH179" i="1336"/>
  <c r="S11" i="63830"/>
  <c r="S8" i="63830" s="1"/>
  <c r="AO24" i="63829"/>
  <c r="AL158" i="1336"/>
  <c r="AR24" i="63829" l="1"/>
  <c r="AO158" i="1336"/>
  <c r="AU24" i="63829" l="1"/>
  <c r="AR158" i="1336"/>
  <c r="J49" i="63836" s="1" a="1"/>
  <c r="J49" i="63836" s="1"/>
  <c r="AU158" i="1336" l="1"/>
  <c r="AX24" i="63829"/>
  <c r="BA24" i="63829" s="1"/>
  <c r="BD24" i="63829" l="1"/>
  <c r="BA158" i="1336"/>
  <c r="AX158" i="1336"/>
  <c r="Q63" i="63829"/>
  <c r="Q22" i="63829"/>
  <c r="T69" i="63829" s="1"/>
  <c r="Q10" i="63829"/>
  <c r="T5" i="63829" s="1"/>
  <c r="O34" i="63733"/>
  <c r="L34" i="63733"/>
  <c r="K34" i="63733"/>
  <c r="I34" i="63733"/>
  <c r="H34" i="63733"/>
  <c r="R224" i="63733"/>
  <c r="Q224" i="63733"/>
  <c r="O224" i="63733"/>
  <c r="R220" i="63733"/>
  <c r="Q220" i="63733"/>
  <c r="O220" i="63733"/>
  <c r="N220" i="63733"/>
  <c r="L220" i="63733"/>
  <c r="Q88" i="63733"/>
  <c r="O88" i="63733"/>
  <c r="N88" i="63733"/>
  <c r="H88" i="63733"/>
  <c r="F88" i="63733"/>
  <c r="E88" i="63733"/>
  <c r="Q71" i="63829" l="1"/>
  <c r="Q64" i="63829"/>
  <c r="BD158" i="1336"/>
  <c r="BG24" i="63829"/>
  <c r="R9" i="63733"/>
  <c r="Q9" i="63733"/>
  <c r="O9" i="63733"/>
  <c r="N9" i="63733"/>
  <c r="L9" i="63733"/>
  <c r="F9" i="63733"/>
  <c r="R8" i="63733"/>
  <c r="Q8" i="63733"/>
  <c r="O8" i="63733"/>
  <c r="N8" i="63733"/>
  <c r="L8" i="63733"/>
  <c r="K8" i="63733"/>
  <c r="I8" i="63733"/>
  <c r="H8" i="63733"/>
  <c r="P364" i="63733"/>
  <c r="O372" i="63733"/>
  <c r="R372" i="63733"/>
  <c r="M223" i="63733"/>
  <c r="M219" i="63733"/>
  <c r="P223" i="63733"/>
  <c r="P219" i="63733"/>
  <c r="O227" i="63733"/>
  <c r="O35" i="63733" s="1"/>
  <c r="R227" i="63733"/>
  <c r="P169" i="63733"/>
  <c r="P166" i="63733"/>
  <c r="R172" i="63733"/>
  <c r="O90" i="63733"/>
  <c r="L35" i="63733"/>
  <c r="N227" i="63733"/>
  <c r="N35" i="63733" s="1"/>
  <c r="N172" i="63733"/>
  <c r="Q227" i="63733"/>
  <c r="Q35" i="63733" s="1"/>
  <c r="Q172" i="63733"/>
  <c r="H370" i="63733"/>
  <c r="F370" i="63733"/>
  <c r="E370" i="63733"/>
  <c r="R350" i="63733"/>
  <c r="Q350" i="63733"/>
  <c r="O350" i="63733"/>
  <c r="N350" i="63733"/>
  <c r="N370" i="63733" s="1"/>
  <c r="L350" i="63733"/>
  <c r="K350" i="63733"/>
  <c r="S235" i="63733"/>
  <c r="R239" i="63733"/>
  <c r="Q239" i="63733"/>
  <c r="O239" i="63733"/>
  <c r="L239" i="63733"/>
  <c r="F239" i="63733"/>
  <c r="N239" i="63733"/>
  <c r="O237" i="63733"/>
  <c r="P235" i="63733"/>
  <c r="AU199" i="63733"/>
  <c r="AR199" i="63733"/>
  <c r="AO199" i="63733"/>
  <c r="AL199" i="63733"/>
  <c r="AI199" i="63733"/>
  <c r="AF199" i="63733"/>
  <c r="R187" i="63733"/>
  <c r="O187" i="63733"/>
  <c r="L187" i="63733"/>
  <c r="K187" i="63733"/>
  <c r="R208" i="63733"/>
  <c r="AU148" i="63733"/>
  <c r="AR148" i="63733"/>
  <c r="AO148" i="63733"/>
  <c r="AL148" i="63733"/>
  <c r="AI148" i="63733"/>
  <c r="AG148" i="63733" s="1"/>
  <c r="AF148" i="63733"/>
  <c r="AF57" i="63733"/>
  <c r="AI57" i="63733"/>
  <c r="AL57" i="63733"/>
  <c r="AO57" i="63733"/>
  <c r="AR57" i="63733"/>
  <c r="AU57" i="63733"/>
  <c r="R104" i="63733"/>
  <c r="K104" i="63733"/>
  <c r="L104" i="63733"/>
  <c r="O104" i="63733"/>
  <c r="Q174" i="63733" l="1"/>
  <c r="R174" i="63733"/>
  <c r="U174" i="63733"/>
  <c r="N34" i="63733"/>
  <c r="N44" i="63733" s="1"/>
  <c r="N174" i="63733"/>
  <c r="BG158" i="1336"/>
  <c r="BJ24" i="63829"/>
  <c r="BJ158" i="1336" s="1"/>
  <c r="O279" i="1336"/>
  <c r="O15" i="63733"/>
  <c r="H279" i="1336"/>
  <c r="Q15" i="63733"/>
  <c r="Q16" i="63733"/>
  <c r="L279" i="1336"/>
  <c r="L15" i="63733"/>
  <c r="N280" i="1336"/>
  <c r="I44" i="63733"/>
  <c r="R15" i="63733"/>
  <c r="U15" i="63733"/>
  <c r="R16" i="63733"/>
  <c r="U16" i="63733"/>
  <c r="L280" i="1336"/>
  <c r="N279" i="1336"/>
  <c r="N15" i="63733"/>
  <c r="O280" i="1336"/>
  <c r="O16" i="63733"/>
  <c r="K279" i="1336"/>
  <c r="K15" i="63733"/>
  <c r="O45" i="63733"/>
  <c r="L45" i="63733"/>
  <c r="N45" i="63733"/>
  <c r="H44" i="63733"/>
  <c r="O44" i="63733"/>
  <c r="K44" i="63733"/>
  <c r="Q45" i="63733"/>
  <c r="L44" i="63733"/>
  <c r="R35" i="63733"/>
  <c r="R279" i="1336"/>
  <c r="R34" i="63733"/>
  <c r="Q370" i="63733"/>
  <c r="Q357" i="63733"/>
  <c r="Q360" i="63733" s="1"/>
  <c r="R280" i="1336"/>
  <c r="Q279" i="1336"/>
  <c r="Q280" i="1336"/>
  <c r="P172" i="63733"/>
  <c r="Q34" i="63733"/>
  <c r="P227" i="63733"/>
  <c r="P35" i="63733" s="1"/>
  <c r="Q240" i="63733"/>
  <c r="R240" i="63733"/>
  <c r="O240" i="63733"/>
  <c r="O105" i="63733"/>
  <c r="S236" i="63733"/>
  <c r="O188" i="63733"/>
  <c r="R188" i="63733"/>
  <c r="R105" i="63733"/>
  <c r="N378" i="63733"/>
  <c r="Q378" i="63733"/>
  <c r="Q244" i="63733"/>
  <c r="N244" i="63733"/>
  <c r="N192" i="63733"/>
  <c r="N109" i="63733"/>
  <c r="P34" i="63733" l="1"/>
  <c r="R45" i="63733"/>
  <c r="R44" i="63733"/>
  <c r="Q44" i="63733"/>
  <c r="V235" i="63733"/>
  <c r="V236" i="63733" l="1"/>
  <c r="R49" i="63829"/>
  <c r="Q109" i="63733"/>
  <c r="Q192" i="63733"/>
  <c r="AF235" i="63733" l="1"/>
  <c r="AA236" i="63733"/>
  <c r="Y235" i="63733"/>
  <c r="Y236" i="63733" l="1"/>
  <c r="AB236" i="63733"/>
  <c r="AI235" i="63733"/>
  <c r="AD235" i="63733"/>
  <c r="AD236" i="63733" s="1"/>
  <c r="AL235" i="63733" l="1"/>
  <c r="AO235" i="63733" s="1"/>
  <c r="AR235" i="63733" s="1"/>
  <c r="AG235" i="63733"/>
  <c r="AH235" i="63733" s="1"/>
  <c r="AE235" i="63733"/>
  <c r="AE236" i="63733" s="1"/>
  <c r="C7" i="63825"/>
  <c r="D7" i="63825"/>
  <c r="E7" i="63825"/>
  <c r="AH236" i="63733" l="1"/>
  <c r="AG236" i="63733"/>
  <c r="F8" i="63825"/>
  <c r="F7" i="63825"/>
  <c r="AU235" i="63733"/>
  <c r="AX235" i="63733" s="1"/>
  <c r="BA235" i="63733" s="1"/>
  <c r="BD235" i="63733" s="1"/>
  <c r="BG235" i="63733" s="1"/>
  <c r="BJ235" i="63733" s="1"/>
  <c r="T104" i="63821" l="1"/>
  <c r="T105" i="63821"/>
  <c r="T106" i="63821"/>
  <c r="T107" i="63821"/>
  <c r="S104" i="63821"/>
  <c r="S103" i="63821"/>
  <c r="S106" i="63821"/>
  <c r="S107" i="63821"/>
  <c r="S105" i="63821"/>
  <c r="S99" i="63821"/>
  <c r="T99" i="63821" s="1"/>
  <c r="S98" i="63821"/>
  <c r="S97" i="63821"/>
  <c r="S96" i="63821"/>
  <c r="S232" i="63733" l="1"/>
  <c r="E134" i="63821" l="1"/>
  <c r="E135" i="63821"/>
  <c r="E136" i="63821"/>
  <c r="E133" i="63821"/>
  <c r="E127" i="63821"/>
  <c r="E128" i="63821"/>
  <c r="E129" i="63821"/>
  <c r="E126" i="63821"/>
  <c r="E120" i="63821"/>
  <c r="E121" i="63821"/>
  <c r="E122" i="63821"/>
  <c r="E119" i="63821"/>
  <c r="P63" i="63733" l="1"/>
  <c r="C28" i="63733" l="1"/>
  <c r="R163" i="1336" l="1"/>
  <c r="R189" i="1336"/>
  <c r="R180" i="1336"/>
  <c r="R173" i="1336"/>
  <c r="R127" i="1336"/>
  <c r="R118" i="1336"/>
  <c r="R101" i="1336"/>
  <c r="U102" i="1336" s="1"/>
  <c r="T55" i="1336" l="1"/>
  <c r="T54" i="1336" s="1"/>
  <c r="T93" i="1336"/>
  <c r="T56" i="1336"/>
  <c r="R182" i="1336"/>
  <c r="R194" i="1336" s="1"/>
  <c r="R383" i="63733"/>
  <c r="R382" i="63733"/>
  <c r="R237" i="63733"/>
  <c r="R236" i="63733"/>
  <c r="R182" i="63733"/>
  <c r="R181" i="63733"/>
  <c r="R228" i="63733"/>
  <c r="R173" i="63733"/>
  <c r="R170" i="63733"/>
  <c r="R167" i="63733"/>
  <c r="R153" i="63733"/>
  <c r="R97" i="63733"/>
  <c r="R96" i="63733"/>
  <c r="R84" i="63733"/>
  <c r="R207" i="63733"/>
  <c r="R229" i="63733"/>
  <c r="R231" i="63733"/>
  <c r="R233" i="63733"/>
  <c r="R197" i="63733" l="1"/>
  <c r="R198" i="63733" s="1"/>
  <c r="R366" i="63733"/>
  <c r="R414" i="63733"/>
  <c r="R10" i="63733" l="1"/>
  <c r="R410" i="63733"/>
  <c r="O46" i="63818"/>
  <c r="O45" i="63818"/>
  <c r="O44" i="63818"/>
  <c r="C43" i="63818"/>
  <c r="C46" i="63818" s="1"/>
  <c r="H43" i="63818"/>
  <c r="H46" i="63818" s="1"/>
  <c r="I29" i="63818"/>
  <c r="H5" i="63818"/>
  <c r="H59" i="63818"/>
  <c r="H60" i="63818"/>
  <c r="C60" i="63818"/>
  <c r="C62" i="63818"/>
  <c r="H64" i="63818"/>
  <c r="H56" i="63818"/>
  <c r="H36" i="63818"/>
  <c r="H38" i="63818"/>
  <c r="H39" i="63818"/>
  <c r="C37" i="63818"/>
  <c r="H37" i="63818" s="1"/>
  <c r="U17" i="63733" l="1"/>
  <c r="R281" i="1336"/>
  <c r="C15" i="63818"/>
  <c r="R365" i="63733"/>
  <c r="C118" i="63821" l="1"/>
  <c r="D118" i="63821"/>
  <c r="B120" i="63821"/>
  <c r="B121" i="63821"/>
  <c r="B122" i="63821"/>
  <c r="B119" i="63821"/>
  <c r="B118" i="63821"/>
  <c r="B117" i="63821"/>
  <c r="B134" i="63821"/>
  <c r="B135" i="63821"/>
  <c r="B136" i="63821"/>
  <c r="B133" i="63821"/>
  <c r="B127" i="63821"/>
  <c r="B128" i="63821"/>
  <c r="B129" i="63821"/>
  <c r="B126" i="63821"/>
  <c r="D115" i="63821"/>
  <c r="D95" i="63821" l="1"/>
  <c r="D119" i="63821" s="1"/>
  <c r="Q102" i="63821"/>
  <c r="P99" i="63821"/>
  <c r="Q99" i="63821" s="1"/>
  <c r="P98" i="63821"/>
  <c r="P97" i="63821"/>
  <c r="P96" i="63821"/>
  <c r="C133" i="63821" l="1"/>
  <c r="C136" i="63821"/>
  <c r="Q98" i="63821"/>
  <c r="C134" i="63821"/>
  <c r="Q96" i="63821"/>
  <c r="C135" i="63821"/>
  <c r="Q97" i="63821"/>
  <c r="Q163" i="1336"/>
  <c r="P163" i="1336" s="1"/>
  <c r="Q189" i="1336"/>
  <c r="Q180" i="1336"/>
  <c r="P180" i="1336" s="1"/>
  <c r="Q173" i="1336"/>
  <c r="P173" i="1336" s="1"/>
  <c r="Q114" i="1336"/>
  <c r="Q101" i="1336"/>
  <c r="Q136" i="1336"/>
  <c r="P136" i="1336" s="1"/>
  <c r="Q127" i="1336"/>
  <c r="Q91" i="1336"/>
  <c r="Q51" i="1336"/>
  <c r="Q83" i="1336" s="1"/>
  <c r="P443" i="63733"/>
  <c r="P441" i="63733"/>
  <c r="P440" i="63733"/>
  <c r="P439" i="63733"/>
  <c r="P438" i="63733"/>
  <c r="M438" i="63733"/>
  <c r="M439" i="63733"/>
  <c r="M440" i="63733"/>
  <c r="M441" i="63733"/>
  <c r="Q372" i="63733"/>
  <c r="Q365" i="63733"/>
  <c r="Q237" i="63733"/>
  <c r="Q232" i="63733"/>
  <c r="Q207" i="63733"/>
  <c r="P177" i="63733"/>
  <c r="Q173" i="63733"/>
  <c r="Q170" i="63733"/>
  <c r="Q167" i="63733"/>
  <c r="Q153" i="63733"/>
  <c r="Q92" i="63733"/>
  <c r="Q84" i="63733"/>
  <c r="Q83" i="63733"/>
  <c r="Q64" i="63733"/>
  <c r="Q73" i="63733" s="1"/>
  <c r="Q118" i="1336" l="1"/>
  <c r="P114" i="1336"/>
  <c r="P189" i="1336"/>
  <c r="T102" i="1336"/>
  <c r="S113" i="1336"/>
  <c r="S52" i="63829"/>
  <c r="S49" i="63829" s="1"/>
  <c r="Q80" i="1336"/>
  <c r="Q50" i="63733"/>
  <c r="Q182" i="1336"/>
  <c r="Q7" i="63733"/>
  <c r="Q49" i="63733"/>
  <c r="R140" i="63818" l="1"/>
  <c r="Q194" i="1336"/>
  <c r="P182" i="1336"/>
  <c r="Q278" i="1336"/>
  <c r="T10" i="63829"/>
  <c r="U5" i="63829" s="1"/>
  <c r="T22" i="63829"/>
  <c r="U17" i="63829" s="1"/>
  <c r="W17" i="63829" l="1"/>
  <c r="S159" i="1336"/>
  <c r="W5" i="63829"/>
  <c r="C40" i="63818"/>
  <c r="J43" i="63818"/>
  <c r="S157" i="1336" l="1"/>
  <c r="W68" i="63829"/>
  <c r="W69" i="63829" s="1"/>
  <c r="U20" i="63829"/>
  <c r="U69" i="63829" s="1"/>
  <c r="U71" i="63829" s="1"/>
  <c r="C56" i="63818"/>
  <c r="H57" i="63818"/>
  <c r="H40" i="63818" l="1"/>
  <c r="V218" i="1336" l="1"/>
  <c r="U218" i="1336"/>
  <c r="V177" i="63733"/>
  <c r="V343" i="63733" l="1"/>
  <c r="U69" i="63821" l="1"/>
  <c r="S69" i="63821"/>
  <c r="V69" i="63821" l="1"/>
  <c r="V82" i="63821"/>
  <c r="F273" i="63733" l="1"/>
  <c r="C75" i="63733"/>
  <c r="C78" i="63733" s="1"/>
  <c r="C80" i="63733" s="1"/>
  <c r="F212" i="63733" l="1"/>
  <c r="H22" i="63733"/>
  <c r="H86" i="63821"/>
  <c r="Z107" i="63821"/>
  <c r="Z106" i="63821"/>
  <c r="Z105" i="63821"/>
  <c r="Z104" i="63821"/>
  <c r="W75" i="63821"/>
  <c r="Z75" i="63821"/>
  <c r="Z78" i="63821"/>
  <c r="X78" i="63821"/>
  <c r="W78" i="63821"/>
  <c r="Z77" i="63821"/>
  <c r="X77" i="63821"/>
  <c r="W77" i="63821"/>
  <c r="Z76" i="63821"/>
  <c r="X76" i="63821"/>
  <c r="W76" i="63821"/>
  <c r="X75" i="63821"/>
  <c r="AB76" i="63821" l="1"/>
  <c r="F213" i="63733"/>
  <c r="F24" i="63733"/>
  <c r="F25" i="63733" s="1"/>
  <c r="H161" i="63733"/>
  <c r="H159" i="63733"/>
  <c r="I22" i="63733"/>
  <c r="K22" i="63733"/>
  <c r="AB77" i="63821"/>
  <c r="AB78" i="63821"/>
  <c r="AB75" i="63821"/>
  <c r="R196" i="1336"/>
  <c r="O172" i="1336"/>
  <c r="O189" i="1336"/>
  <c r="O180" i="1336"/>
  <c r="O135" i="1336"/>
  <c r="P135" i="1336" s="1"/>
  <c r="O127" i="1336"/>
  <c r="P127" i="1336" s="1"/>
  <c r="O118" i="1336"/>
  <c r="P118" i="1336" s="1"/>
  <c r="O101" i="1336"/>
  <c r="O87" i="1336"/>
  <c r="I17" i="63818"/>
  <c r="O442" i="63733"/>
  <c r="P442" i="63733" s="1"/>
  <c r="O383" i="63733"/>
  <c r="O382" i="63733"/>
  <c r="O373" i="63733"/>
  <c r="O365" i="63733"/>
  <c r="O343" i="63733"/>
  <c r="O236" i="63733"/>
  <c r="O182" i="63733"/>
  <c r="O207" i="63733"/>
  <c r="O173" i="63733"/>
  <c r="O170" i="63733"/>
  <c r="O167" i="63733"/>
  <c r="O153" i="63733"/>
  <c r="O96" i="63733"/>
  <c r="O97" i="63733"/>
  <c r="O92" i="63733"/>
  <c r="O91" i="63733"/>
  <c r="O84" i="63733"/>
  <c r="O83" i="63733"/>
  <c r="H163" i="63733" l="1"/>
  <c r="H162" i="63733"/>
  <c r="R102" i="1336"/>
  <c r="P101" i="1336"/>
  <c r="O173" i="1336"/>
  <c r="N213" i="63733"/>
  <c r="N24" i="63733"/>
  <c r="N25" i="63733" s="1"/>
  <c r="O370" i="63733"/>
  <c r="I159" i="63733"/>
  <c r="K161" i="63733"/>
  <c r="K159" i="63733"/>
  <c r="N245" i="63733"/>
  <c r="O163" i="1336"/>
  <c r="O181" i="63733"/>
  <c r="I163" i="63733" l="1"/>
  <c r="K163" i="63733"/>
  <c r="K162" i="63733"/>
  <c r="O182" i="1336"/>
  <c r="O194" i="1336" s="1"/>
  <c r="I95" i="63818"/>
  <c r="N159" i="63733"/>
  <c r="Q159" i="63733" s="1"/>
  <c r="Q158" i="63733" s="1"/>
  <c r="N22" i="63733"/>
  <c r="N161" i="63733"/>
  <c r="N193" i="63733"/>
  <c r="N163" i="63733" l="1"/>
  <c r="N162" i="63733"/>
  <c r="Q22" i="63733"/>
  <c r="Q161" i="63733"/>
  <c r="Q193" i="63733"/>
  <c r="Q163" i="63733" l="1"/>
  <c r="Q162" i="63733"/>
  <c r="T159" i="63733"/>
  <c r="W159" i="63733" s="1"/>
  <c r="Z159" i="63733" s="1"/>
  <c r="M14" i="63824"/>
  <c r="J14" i="63824"/>
  <c r="J19" i="63824" s="1"/>
  <c r="F9" i="63824"/>
  <c r="AC159" i="63733" l="1"/>
  <c r="AC158" i="63733" s="1"/>
  <c r="P23" i="63811"/>
  <c r="P25" i="63811" s="1"/>
  <c r="O23" i="63811"/>
  <c r="O25" i="63811" s="1"/>
  <c r="M17" i="63811"/>
  <c r="M23" i="63811" s="1"/>
  <c r="M25" i="63811" s="1"/>
  <c r="L17" i="63811"/>
  <c r="L23" i="63811" s="1"/>
  <c r="L25" i="63811" s="1"/>
  <c r="N14" i="63811"/>
  <c r="K14" i="63811"/>
  <c r="J14" i="63811"/>
  <c r="I14" i="63811"/>
  <c r="H14" i="63811"/>
  <c r="G14" i="63811"/>
  <c r="F14" i="63811"/>
  <c r="E14" i="63811"/>
  <c r="D14" i="63811"/>
  <c r="C14" i="63811"/>
  <c r="S23" i="63811"/>
  <c r="S25" i="63811" s="1"/>
  <c r="R23" i="63811"/>
  <c r="R25" i="63811" s="1"/>
  <c r="R20" i="63811"/>
  <c r="S20" i="63811"/>
  <c r="V18" i="63811"/>
  <c r="Y18" i="63811" s="1"/>
  <c r="U18" i="63811"/>
  <c r="X18" i="63811" s="1"/>
  <c r="V17" i="63811"/>
  <c r="Y17" i="63811" s="1"/>
  <c r="U17" i="63811"/>
  <c r="X17" i="63811" s="1"/>
  <c r="V16" i="63811"/>
  <c r="Y16" i="63811" s="1"/>
  <c r="U16" i="63811"/>
  <c r="X16" i="63811" s="1"/>
  <c r="V15" i="63811"/>
  <c r="Y15" i="63811" s="1"/>
  <c r="U15" i="63811"/>
  <c r="X15" i="63811" s="1"/>
  <c r="V14" i="63811"/>
  <c r="Y14" i="63811" s="1"/>
  <c r="U14" i="63811"/>
  <c r="X14" i="63811" s="1"/>
  <c r="Q17" i="63811"/>
  <c r="Q20" i="63811" s="1"/>
  <c r="A7" i="63811"/>
  <c r="A4" i="63811"/>
  <c r="AF159" i="63733" l="1"/>
  <c r="AI159" i="63733" s="1"/>
  <c r="AL159" i="63733" s="1"/>
  <c r="AO159" i="63733" s="1"/>
  <c r="AR159" i="63733" s="1"/>
  <c r="AU159" i="63733" s="1"/>
  <c r="AX159" i="63733" s="1"/>
  <c r="BA159" i="63733" s="1"/>
  <c r="BD159" i="63733" s="1"/>
  <c r="BG159" i="63733" s="1"/>
  <c r="BJ159" i="63733" s="1"/>
  <c r="L20" i="63811"/>
  <c r="U20" i="63811"/>
  <c r="Y20" i="63811"/>
  <c r="V23" i="63811"/>
  <c r="V25" i="63811" s="1"/>
  <c r="X20" i="63811"/>
  <c r="X23" i="63811"/>
  <c r="X25" i="63811" s="1"/>
  <c r="Y23" i="63811"/>
  <c r="Y25" i="63811" s="1"/>
  <c r="V20" i="63811"/>
  <c r="U23" i="63811"/>
  <c r="U25" i="63811" s="1"/>
  <c r="M20" i="63811"/>
  <c r="Q16" i="63811"/>
  <c r="Q15" i="63811"/>
  <c r="Q14" i="63811"/>
  <c r="Q13" i="63811"/>
  <c r="Q23" i="63811" l="1"/>
  <c r="Q25" i="63811" s="1"/>
  <c r="D15" i="63824"/>
  <c r="D17" i="63824" s="1"/>
  <c r="J11" i="63824"/>
  <c r="D7" i="63824"/>
  <c r="R44" i="63811"/>
  <c r="Q44" i="63811"/>
  <c r="O44" i="63811"/>
  <c r="F10" i="63824" s="1"/>
  <c r="N44" i="63811"/>
  <c r="L44" i="63811"/>
  <c r="C10" i="63824" s="1"/>
  <c r="K44" i="63811"/>
  <c r="R42" i="63811"/>
  <c r="O42" i="63811"/>
  <c r="F18" i="63824" s="1"/>
  <c r="L42" i="63811"/>
  <c r="C18" i="63824" s="1"/>
  <c r="A36" i="63811"/>
  <c r="A32" i="63811"/>
  <c r="A9" i="63811"/>
  <c r="A6" i="63811"/>
  <c r="A5" i="63811"/>
  <c r="A3" i="63811"/>
  <c r="W1" i="63811"/>
  <c r="T1" i="63811"/>
  <c r="Q1" i="63811"/>
  <c r="N1" i="63811"/>
  <c r="K1" i="63811"/>
  <c r="J1" i="63811"/>
  <c r="I1" i="63811"/>
  <c r="H1" i="63811"/>
  <c r="G1" i="63811"/>
  <c r="Z22" i="63811"/>
  <c r="W22" i="63811"/>
  <c r="T22" i="63811"/>
  <c r="N16" i="63811"/>
  <c r="N17" i="63811" s="1"/>
  <c r="N15" i="63811"/>
  <c r="K15" i="63811"/>
  <c r="K16" i="63811" s="1"/>
  <c r="K17" i="63811" s="1"/>
  <c r="H15" i="63811"/>
  <c r="H16" i="63811" s="1"/>
  <c r="G15" i="63811"/>
  <c r="G16" i="63811" s="1"/>
  <c r="G17" i="63811" s="1"/>
  <c r="D15" i="63811"/>
  <c r="D16" i="63811" s="1"/>
  <c r="D17" i="63811" s="1"/>
  <c r="C15" i="63811"/>
  <c r="C16" i="63811" s="1"/>
  <c r="J15" i="63811"/>
  <c r="J16" i="63811" s="1"/>
  <c r="J17" i="63811" s="1"/>
  <c r="I15" i="63811"/>
  <c r="I16" i="63811" s="1"/>
  <c r="I17" i="63811" s="1"/>
  <c r="F15" i="63811"/>
  <c r="F16" i="63811" s="1"/>
  <c r="F17" i="63811" s="1"/>
  <c r="E15" i="63811"/>
  <c r="E16" i="63811" s="1"/>
  <c r="E17" i="63811" s="1"/>
  <c r="K23" i="63811" l="1"/>
  <c r="K25" i="63811" s="1"/>
  <c r="K42" i="63811" s="1"/>
  <c r="K20" i="63811"/>
  <c r="C17" i="63811"/>
  <c r="N23" i="63811"/>
  <c r="N25" i="63811" s="1"/>
  <c r="N20" i="63811"/>
  <c r="I23" i="63811"/>
  <c r="I25" i="63811" s="1"/>
  <c r="I26" i="63811" s="1"/>
  <c r="I20" i="63811"/>
  <c r="J23" i="63811"/>
  <c r="J25" i="63811" s="1"/>
  <c r="J26" i="63811" s="1"/>
  <c r="J20" i="63811"/>
  <c r="E23" i="63811"/>
  <c r="E25" i="63811" s="1"/>
  <c r="E26" i="63811" s="1"/>
  <c r="E20" i="63811"/>
  <c r="D23" i="63811"/>
  <c r="D25" i="63811" s="1"/>
  <c r="D26" i="63811" s="1"/>
  <c r="D20" i="63811"/>
  <c r="G23" i="63811"/>
  <c r="G25" i="63811" s="1"/>
  <c r="G26" i="63811" s="1"/>
  <c r="G20" i="63811"/>
  <c r="F23" i="63811"/>
  <c r="F25" i="63811" s="1"/>
  <c r="F26" i="63811" s="1"/>
  <c r="F20" i="63811"/>
  <c r="H17" i="63811"/>
  <c r="I5" i="63811"/>
  <c r="H5" i="63811"/>
  <c r="I6" i="63811"/>
  <c r="Q5" i="63811"/>
  <c r="F1" i="63811"/>
  <c r="N6" i="63811"/>
  <c r="H6" i="63811"/>
  <c r="K6" i="63811"/>
  <c r="G6" i="63811"/>
  <c r="J6" i="63811"/>
  <c r="H9" i="63811"/>
  <c r="J5" i="63811"/>
  <c r="G5" i="63811"/>
  <c r="K5" i="63811"/>
  <c r="H23" i="63811" l="1"/>
  <c r="H25" i="63811" s="1"/>
  <c r="H26" i="63811" s="1"/>
  <c r="H20" i="63811"/>
  <c r="C23" i="63811"/>
  <c r="C25" i="63811" s="1"/>
  <c r="C26" i="63811" s="1"/>
  <c r="C20" i="63811"/>
  <c r="I4" i="63811"/>
  <c r="I29" i="63811" s="1"/>
  <c r="H4" i="63811"/>
  <c r="K26" i="63811"/>
  <c r="N42" i="63811"/>
  <c r="G4" i="63811"/>
  <c r="G29" i="63811" s="1"/>
  <c r="J4" i="63811"/>
  <c r="J29" i="63811" s="1"/>
  <c r="K4" i="63811"/>
  <c r="K29" i="63811" s="1"/>
  <c r="E1" i="63811"/>
  <c r="N26" i="63811"/>
  <c r="H29" i="63811" l="1"/>
  <c r="D1" i="63811"/>
  <c r="C1" i="63811" l="1"/>
  <c r="D5" i="63811"/>
  <c r="Q42" i="63811"/>
  <c r="Q26" i="63811" l="1"/>
  <c r="B271" i="1336" l="1"/>
  <c r="Q6" i="63811" l="1"/>
  <c r="Q4" i="63811" s="1"/>
  <c r="Q29" i="63811" s="1"/>
  <c r="D133" i="63821" l="1"/>
  <c r="D136" i="63821"/>
  <c r="D135" i="63821"/>
  <c r="D134" i="63821"/>
  <c r="K91" i="63821"/>
  <c r="O24" i="63807" l="1"/>
  <c r="AU218" i="1336"/>
  <c r="D46" i="63823" l="1"/>
  <c r="B46" i="63823"/>
  <c r="E31" i="63823"/>
  <c r="D31" i="63823"/>
  <c r="B31" i="63823"/>
  <c r="E34" i="63823" l="1"/>
  <c r="D25" i="63823" l="1"/>
  <c r="D26" i="63823"/>
  <c r="B25" i="63823"/>
  <c r="F11" i="63823"/>
  <c r="G11" i="63823" s="1"/>
  <c r="H11" i="63823" s="1"/>
  <c r="I11" i="63823" s="1"/>
  <c r="J11" i="63823" s="1"/>
  <c r="K11" i="63823" s="1"/>
  <c r="L11" i="63823" s="1"/>
  <c r="L1" i="63823"/>
  <c r="K1" i="63823"/>
  <c r="J1" i="63823"/>
  <c r="I1" i="63823"/>
  <c r="H1" i="63823"/>
  <c r="G1" i="63823"/>
  <c r="F1" i="63823"/>
  <c r="E1" i="63823"/>
  <c r="D1" i="63823"/>
  <c r="C1" i="63823"/>
  <c r="B1" i="63823"/>
  <c r="M172" i="63733" l="1"/>
  <c r="M152" i="63733"/>
  <c r="M8" i="63733" s="1"/>
  <c r="M34" i="63733" l="1"/>
  <c r="M44" i="63733" s="1"/>
  <c r="P174" i="63733"/>
  <c r="M279" i="1336"/>
  <c r="M235" i="63733"/>
  <c r="P236" i="63733" s="1"/>
  <c r="J98" i="63821"/>
  <c r="J97" i="63821"/>
  <c r="C128" i="63821" s="1"/>
  <c r="J96" i="63821"/>
  <c r="J95" i="63821"/>
  <c r="C143" i="63821"/>
  <c r="C142" i="63821"/>
  <c r="C141" i="63821"/>
  <c r="C140" i="63821"/>
  <c r="B143" i="63821"/>
  <c r="B142" i="63821"/>
  <c r="B141" i="63821"/>
  <c r="B140" i="63821"/>
  <c r="AG96" i="63821"/>
  <c r="D141" i="63821" s="1"/>
  <c r="AG98" i="63821"/>
  <c r="D143" i="63821" s="1"/>
  <c r="AG97" i="63821"/>
  <c r="D142" i="63821" s="1"/>
  <c r="AG95" i="63821"/>
  <c r="D140" i="63821" s="1"/>
  <c r="C129" i="63821" l="1"/>
  <c r="C126" i="63821"/>
  <c r="C127" i="63821"/>
  <c r="N173" i="63733"/>
  <c r="K105" i="63821"/>
  <c r="A31" i="63808" l="1"/>
  <c r="P1" i="63810" l="1"/>
  <c r="L48" i="1336" l="1"/>
  <c r="K111" i="63821" l="1"/>
  <c r="K110" i="63821"/>
  <c r="K109" i="63821"/>
  <c r="K108" i="63821"/>
  <c r="I105" i="63821"/>
  <c r="N105" i="63821" s="1"/>
  <c r="D98" i="63821"/>
  <c r="D122" i="63821" s="1"/>
  <c r="D97" i="63821"/>
  <c r="D121" i="63821" s="1"/>
  <c r="D96" i="63821"/>
  <c r="D120" i="63821" s="1"/>
  <c r="C98" i="63821"/>
  <c r="C122" i="63821" s="1"/>
  <c r="C97" i="63821"/>
  <c r="C121" i="63821" s="1"/>
  <c r="C96" i="63821"/>
  <c r="C120" i="63821" s="1"/>
  <c r="C95" i="63821"/>
  <c r="C119" i="63821" s="1"/>
  <c r="B92" i="63821"/>
  <c r="I22" i="63822"/>
  <c r="I24" i="63822" s="1"/>
  <c r="G22" i="63822"/>
  <c r="G24" i="63822" s="1"/>
  <c r="I21" i="63822"/>
  <c r="H21" i="63822"/>
  <c r="G21" i="63822"/>
  <c r="I16" i="63822"/>
  <c r="H16" i="63822"/>
  <c r="G16" i="63822"/>
  <c r="G18" i="63822" s="1"/>
  <c r="F16" i="63822"/>
  <c r="F18" i="63822" s="1"/>
  <c r="D16" i="63822"/>
  <c r="G15" i="63822"/>
  <c r="F15" i="63822"/>
  <c r="G9" i="63822"/>
  <c r="F9" i="63822"/>
  <c r="C16" i="63822"/>
  <c r="C10" i="63822"/>
  <c r="B10" i="63822"/>
  <c r="I3" i="63822"/>
  <c r="I5" i="63822" s="1"/>
  <c r="G3" i="63822"/>
  <c r="F3" i="63822"/>
  <c r="D3" i="63822"/>
  <c r="G2" i="63822"/>
  <c r="F2" i="63822"/>
  <c r="C3" i="63822"/>
  <c r="B3" i="63822"/>
  <c r="Q196" i="1336"/>
  <c r="N172" i="1336"/>
  <c r="M172" i="1336" s="1"/>
  <c r="N189" i="1336"/>
  <c r="N180" i="1336"/>
  <c r="M180" i="1336" s="1"/>
  <c r="N163" i="1336"/>
  <c r="M163" i="1336" s="1"/>
  <c r="N135" i="1336"/>
  <c r="N122" i="1336"/>
  <c r="N113" i="1336"/>
  <c r="N101" i="1336"/>
  <c r="M93" i="1336"/>
  <c r="N92" i="1336"/>
  <c r="N91" i="1336"/>
  <c r="M49" i="1336"/>
  <c r="M50" i="1336"/>
  <c r="J442" i="63733"/>
  <c r="J441" i="63733"/>
  <c r="J440" i="63733"/>
  <c r="J439" i="63733"/>
  <c r="J438" i="63733"/>
  <c r="N442" i="63733"/>
  <c r="L237" i="63733"/>
  <c r="I235" i="63733"/>
  <c r="D21" i="63822" s="1"/>
  <c r="K235" i="63733"/>
  <c r="F21" i="63822" s="1"/>
  <c r="N237" i="63733"/>
  <c r="N180" i="63733"/>
  <c r="N232" i="63733"/>
  <c r="N177" i="63733"/>
  <c r="N170" i="63733"/>
  <c r="M166" i="63733"/>
  <c r="N167" i="63733"/>
  <c r="Q369" i="63733"/>
  <c r="N365" i="63733"/>
  <c r="Q87" i="63733"/>
  <c r="N84" i="63733"/>
  <c r="N66" i="63733"/>
  <c r="Q102" i="1336" l="1"/>
  <c r="M189" i="1336"/>
  <c r="N118" i="1336"/>
  <c r="M113" i="1336"/>
  <c r="N6" i="63830"/>
  <c r="N136" i="1336"/>
  <c r="M136" i="1336" s="1"/>
  <c r="G9" i="63824" s="1"/>
  <c r="N173" i="1336"/>
  <c r="M173" i="1336" s="1"/>
  <c r="M48" i="1336"/>
  <c r="I15" i="63822"/>
  <c r="I17" i="63822" s="1"/>
  <c r="N187" i="63733"/>
  <c r="N188" i="63733" s="1"/>
  <c r="M169" i="63733"/>
  <c r="M170" i="63733" s="1"/>
  <c r="C93" i="63821"/>
  <c r="B116" i="63821"/>
  <c r="M167" i="63733"/>
  <c r="J235" i="63733"/>
  <c r="Q180" i="63733"/>
  <c r="N185" i="63733"/>
  <c r="N182" i="63733"/>
  <c r="M180" i="63733"/>
  <c r="M187" i="63733" s="1"/>
  <c r="N93" i="1336"/>
  <c r="H18" i="63824"/>
  <c r="N127" i="1336"/>
  <c r="D20" i="63823"/>
  <c r="F4" i="63822"/>
  <c r="G4" i="63822"/>
  <c r="G5" i="63822"/>
  <c r="H5" i="63822" s="1"/>
  <c r="H24" i="63822"/>
  <c r="F5" i="63822"/>
  <c r="I6" i="63822" s="1"/>
  <c r="F17" i="63822"/>
  <c r="G23" i="63822"/>
  <c r="G17" i="63822"/>
  <c r="I18" i="63822"/>
  <c r="H18" i="63822" s="1"/>
  <c r="I23" i="63822"/>
  <c r="N182" i="1336" l="1"/>
  <c r="M182" i="1336" s="1"/>
  <c r="N7" i="63830"/>
  <c r="G19" i="63824"/>
  <c r="G11" i="63824"/>
  <c r="Q182" i="63733"/>
  <c r="Q187" i="63733"/>
  <c r="Q188" i="63733" s="1"/>
  <c r="C92" i="63821"/>
  <c r="C117" i="63821"/>
  <c r="H15" i="63822"/>
  <c r="M182" i="63733"/>
  <c r="M236" i="63733"/>
  <c r="E21" i="63822"/>
  <c r="I19" i="63822"/>
  <c r="N194" i="1336" l="1"/>
  <c r="D93" i="63821"/>
  <c r="C116" i="63821"/>
  <c r="K17" i="63822"/>
  <c r="H17" i="63822"/>
  <c r="D92" i="63821" l="1"/>
  <c r="D117" i="63821"/>
  <c r="G110" i="63821"/>
  <c r="F110" i="63821"/>
  <c r="B110" i="63821"/>
  <c r="H110" i="63821"/>
  <c r="C110" i="63821"/>
  <c r="D110" i="63821"/>
  <c r="E110" i="63821"/>
  <c r="C53" i="63821"/>
  <c r="D52" i="63821" s="1"/>
  <c r="D53" i="63821" s="1"/>
  <c r="E52" i="63821" s="1"/>
  <c r="H58" i="63821"/>
  <c r="H57" i="63821"/>
  <c r="H56" i="63821"/>
  <c r="H55" i="63821"/>
  <c r="E93" i="63821" l="1"/>
  <c r="E92" i="63821" s="1"/>
  <c r="F93" i="63821" s="1"/>
  <c r="F92" i="63821" s="1"/>
  <c r="G93" i="63821" s="1"/>
  <c r="G92" i="63821" s="1"/>
  <c r="H93" i="63821" s="1"/>
  <c r="H92" i="63821" s="1"/>
  <c r="I93" i="63821" s="1"/>
  <c r="D116" i="63821"/>
  <c r="E117" i="63821" s="1"/>
  <c r="E116" i="63821" s="1"/>
  <c r="F117" i="63821" s="1"/>
  <c r="F116" i="63821" s="1"/>
  <c r="E53" i="63821"/>
  <c r="F52" i="63821" s="1"/>
  <c r="I92" i="63821" l="1"/>
  <c r="B124" i="63821"/>
  <c r="F53" i="63821"/>
  <c r="G52" i="63821" s="1"/>
  <c r="G53" i="63821" s="1"/>
  <c r="J93" i="63821" l="1"/>
  <c r="J92" i="63821" s="1"/>
  <c r="K93" i="63821" s="1"/>
  <c r="B123" i="63821"/>
  <c r="C124" i="63821" s="1"/>
  <c r="C123" i="63821" s="1"/>
  <c r="D124" i="63821" s="1"/>
  <c r="D123" i="63821" s="1"/>
  <c r="AR218" i="1336"/>
  <c r="E124" i="63821" l="1"/>
  <c r="E123" i="63821" s="1"/>
  <c r="F124" i="63821" s="1"/>
  <c r="F123" i="63821" s="1"/>
  <c r="B131" i="63821" s="1"/>
  <c r="B130" i="63821" s="1"/>
  <c r="C131" i="63821" s="1"/>
  <c r="C130" i="63821" s="1"/>
  <c r="D131" i="63821" s="1"/>
  <c r="D130" i="63821" s="1"/>
  <c r="E131" i="63821" s="1"/>
  <c r="E130" i="63821" s="1"/>
  <c r="F131" i="63821" s="1"/>
  <c r="F130" i="63821" s="1"/>
  <c r="K92" i="63821"/>
  <c r="AI93" i="63821"/>
  <c r="AI92" i="63821" s="1"/>
  <c r="N24" i="63807"/>
  <c r="AJ93" i="63821" l="1"/>
  <c r="AH91" i="63821"/>
  <c r="L93" i="63821"/>
  <c r="L92" i="63821" s="1"/>
  <c r="AJ92" i="63821"/>
  <c r="S218" i="1336"/>
  <c r="R218" i="1336"/>
  <c r="S177" i="63733"/>
  <c r="S66" i="63733"/>
  <c r="M93" i="63821" l="1"/>
  <c r="M92" i="63821" s="1"/>
  <c r="N93" i="63821" s="1"/>
  <c r="N92" i="63821" s="1"/>
  <c r="O93" i="63821" s="1"/>
  <c r="O92" i="63821" s="1"/>
  <c r="P93" i="63821" s="1"/>
  <c r="P92" i="63821" s="1"/>
  <c r="Q93" i="63821" s="1"/>
  <c r="Q92" i="63821" s="1"/>
  <c r="R93" i="63821" s="1"/>
  <c r="AK93" i="63821"/>
  <c r="AK92" i="63821" s="1"/>
  <c r="AI91" i="63821"/>
  <c r="S343" i="63733"/>
  <c r="R92" i="63821" l="1"/>
  <c r="S93" i="63821" l="1"/>
  <c r="S92" i="63821" s="1"/>
  <c r="A23" i="63810"/>
  <c r="A22" i="63810"/>
  <c r="J9" i="63824"/>
  <c r="T93" i="63821" l="1"/>
  <c r="T92" i="63821" s="1"/>
  <c r="U93" i="63821" s="1"/>
  <c r="U92" i="63821" s="1"/>
  <c r="V93" i="63821" s="1"/>
  <c r="V92" i="63821" s="1"/>
  <c r="M58" i="63821"/>
  <c r="M55" i="63821"/>
  <c r="K55" i="63821"/>
  <c r="D84" i="63821"/>
  <c r="A84" i="63821"/>
  <c r="A85" i="63821" s="1"/>
  <c r="E79" i="63821"/>
  <c r="A80" i="63821"/>
  <c r="H73" i="63821"/>
  <c r="H72" i="63821"/>
  <c r="H71" i="63821"/>
  <c r="H70" i="63821"/>
  <c r="D72" i="63821"/>
  <c r="D71" i="63821"/>
  <c r="D70" i="63821"/>
  <c r="D65" i="63821"/>
  <c r="D64" i="63821"/>
  <c r="D63" i="63821"/>
  <c r="D62" i="63821"/>
  <c r="B73" i="63821"/>
  <c r="B72" i="63821"/>
  <c r="H66" i="63821"/>
  <c r="B63" i="63821"/>
  <c r="B71" i="63821" s="1"/>
  <c r="B62" i="63821"/>
  <c r="B70" i="63821" s="1"/>
  <c r="K65" i="63821"/>
  <c r="I65" i="63821" s="1"/>
  <c r="K64" i="63821"/>
  <c r="I64" i="63821" s="1"/>
  <c r="K63" i="63821"/>
  <c r="I63" i="63821" s="1"/>
  <c r="K62" i="63821"/>
  <c r="G63" i="63821" l="1"/>
  <c r="O63" i="63821" s="1"/>
  <c r="O71" i="63821" s="1"/>
  <c r="G62" i="63821"/>
  <c r="O62" i="63821" s="1"/>
  <c r="O70" i="63821" s="1"/>
  <c r="H74" i="63821"/>
  <c r="H75" i="63821" s="1"/>
  <c r="C72" i="63821"/>
  <c r="D85" i="63821"/>
  <c r="K66" i="63821"/>
  <c r="I66" i="63821" s="1"/>
  <c r="E80" i="63821"/>
  <c r="C71" i="63821"/>
  <c r="B74" i="63821"/>
  <c r="D66" i="63821"/>
  <c r="C63" i="63821"/>
  <c r="G65" i="63821"/>
  <c r="O65" i="63821" s="1"/>
  <c r="C62" i="63821"/>
  <c r="B66" i="63821"/>
  <c r="C65" i="63821"/>
  <c r="G64" i="63821"/>
  <c r="O64" i="63821" s="1"/>
  <c r="C70" i="63821"/>
  <c r="C64" i="63821"/>
  <c r="I62" i="63821"/>
  <c r="C66" i="63821" l="1"/>
  <c r="G66" i="63821"/>
  <c r="O66" i="63821" s="1"/>
  <c r="B75" i="63821"/>
  <c r="O72" i="63821"/>
  <c r="P72" i="63821" s="1"/>
  <c r="P64" i="63821" s="1"/>
  <c r="Q64" i="63821" s="1"/>
  <c r="O73" i="63821"/>
  <c r="E66" i="63821" l="1"/>
  <c r="M66" i="63821" s="1"/>
  <c r="O74" i="63821"/>
  <c r="O75" i="63821" s="1"/>
  <c r="C45" i="63821"/>
  <c r="C44" i="63821"/>
  <c r="B48" i="63821"/>
  <c r="B37" i="63821"/>
  <c r="B36" i="63821"/>
  <c r="R80" i="63814"/>
  <c r="Q80" i="63814"/>
  <c r="P80" i="63814"/>
  <c r="O80" i="63814"/>
  <c r="N80" i="63814"/>
  <c r="M80" i="63814"/>
  <c r="L80" i="63814"/>
  <c r="K80" i="63814"/>
  <c r="J80" i="63814"/>
  <c r="I80" i="63814"/>
  <c r="H80" i="63814"/>
  <c r="G80" i="63814"/>
  <c r="F80" i="63814"/>
  <c r="E80" i="63814"/>
  <c r="D80" i="63814"/>
  <c r="C80" i="63814"/>
  <c r="B80" i="63814"/>
  <c r="R56" i="63814"/>
  <c r="Q56" i="63814"/>
  <c r="P56" i="63814"/>
  <c r="O56" i="63814"/>
  <c r="N56" i="63814"/>
  <c r="M56" i="63814"/>
  <c r="L56" i="63814"/>
  <c r="K56" i="63814"/>
  <c r="J56" i="63814"/>
  <c r="I56" i="63814"/>
  <c r="H56" i="63814"/>
  <c r="G56" i="63814"/>
  <c r="F56" i="63814"/>
  <c r="E56" i="63814"/>
  <c r="D56" i="63814"/>
  <c r="C56" i="63814"/>
  <c r="B56" i="63814"/>
  <c r="R39" i="63814"/>
  <c r="Q39" i="63814"/>
  <c r="P39" i="63814"/>
  <c r="O39" i="63814"/>
  <c r="N39" i="63814"/>
  <c r="M39" i="63814"/>
  <c r="L39" i="63814"/>
  <c r="K39" i="63814"/>
  <c r="J39" i="63814"/>
  <c r="I39" i="63814"/>
  <c r="H39" i="63814"/>
  <c r="G39" i="63814"/>
  <c r="F39" i="63814"/>
  <c r="E39" i="63814"/>
  <c r="D39" i="63814"/>
  <c r="C39" i="63814"/>
  <c r="B39" i="63814"/>
  <c r="R16" i="63814"/>
  <c r="Q16" i="63814"/>
  <c r="P16" i="63814"/>
  <c r="O16" i="63814"/>
  <c r="N16" i="63814"/>
  <c r="M16" i="63814"/>
  <c r="L16" i="63814"/>
  <c r="K16" i="63814"/>
  <c r="J16" i="63814"/>
  <c r="I16" i="63814"/>
  <c r="H16" i="63814"/>
  <c r="G16" i="63814"/>
  <c r="F16" i="63814"/>
  <c r="E16" i="63814"/>
  <c r="D16" i="63814"/>
  <c r="B16" i="63814"/>
  <c r="C16" i="63814"/>
  <c r="F15" i="63814"/>
  <c r="H40" i="63814" l="1"/>
  <c r="D17" i="63814"/>
  <c r="D57" i="63814"/>
  <c r="P57" i="63814"/>
  <c r="E81" i="63814"/>
  <c r="K81" i="63814"/>
  <c r="E17" i="63814"/>
  <c r="K17" i="63814"/>
  <c r="Q17" i="63814"/>
  <c r="F57" i="63814"/>
  <c r="L57" i="63814"/>
  <c r="R57" i="63814"/>
  <c r="G81" i="63814"/>
  <c r="M81" i="63814"/>
  <c r="O17" i="63814"/>
  <c r="H57" i="63814"/>
  <c r="N57" i="63814"/>
  <c r="I81" i="63814"/>
  <c r="O81" i="63814"/>
  <c r="I40" i="63814"/>
  <c r="N40" i="63814"/>
  <c r="I57" i="63814"/>
  <c r="J81" i="63814"/>
  <c r="P81" i="63814"/>
  <c r="D40" i="63814"/>
  <c r="J40" i="63814"/>
  <c r="P40" i="63814"/>
  <c r="F40" i="63814"/>
  <c r="L17" i="63814"/>
  <c r="Q81" i="63814"/>
  <c r="F17" i="63814"/>
  <c r="R17" i="63814"/>
  <c r="C17" i="63814"/>
  <c r="J57" i="63814"/>
  <c r="J17" i="63814"/>
  <c r="P17" i="63814"/>
  <c r="C40" i="63814"/>
  <c r="O40" i="63814"/>
  <c r="H81" i="63814"/>
  <c r="N81" i="63814"/>
  <c r="D81" i="63814"/>
  <c r="C81" i="63814"/>
  <c r="M57" i="63814"/>
  <c r="M17" i="63814"/>
  <c r="H17" i="63814"/>
  <c r="R40" i="63814"/>
  <c r="G17" i="63814"/>
  <c r="E40" i="63814"/>
  <c r="N17" i="63814"/>
  <c r="M40" i="63814"/>
  <c r="I17" i="63814"/>
  <c r="Q40" i="63814"/>
  <c r="L40" i="63814"/>
  <c r="E57" i="63814"/>
  <c r="K57" i="63814"/>
  <c r="Q57" i="63814"/>
  <c r="F81" i="63814"/>
  <c r="L81" i="63814"/>
  <c r="R81" i="63814"/>
  <c r="K40" i="63814"/>
  <c r="G57" i="63814"/>
  <c r="C57" i="63814"/>
  <c r="O57" i="63814"/>
  <c r="G40" i="63814"/>
  <c r="F66" i="63821"/>
  <c r="N66" i="63821" s="1"/>
  <c r="B38" i="63821"/>
  <c r="B46" i="63821"/>
  <c r="C46" i="63821" s="1"/>
  <c r="C43" i="63821" s="1"/>
  <c r="C48" i="63821" s="1"/>
  <c r="E9" i="63821"/>
  <c r="B29" i="63821"/>
  <c r="B30" i="63821" s="1"/>
  <c r="B31" i="63821" s="1"/>
  <c r="C31" i="63821" s="1"/>
  <c r="B26" i="63821"/>
  <c r="C26" i="63821" s="1"/>
  <c r="E4" i="63821"/>
  <c r="B27" i="63821" l="1"/>
  <c r="C27" i="63821" s="1"/>
  <c r="C25" i="63821" s="1"/>
  <c r="C30" i="63821"/>
  <c r="C29" i="63821" s="1"/>
  <c r="E7" i="63821" l="1"/>
  <c r="D7" i="63821"/>
  <c r="F6" i="63821"/>
  <c r="H6" i="63821" s="1"/>
  <c r="F5" i="63821"/>
  <c r="H5" i="63821" s="1"/>
  <c r="F7" i="63821" l="1"/>
  <c r="H7" i="63821" s="1"/>
  <c r="G2" i="63821"/>
  <c r="E2" i="63821"/>
  <c r="D2" i="63821"/>
  <c r="D25" i="63817"/>
  <c r="D24" i="63817"/>
  <c r="D23" i="63817"/>
  <c r="D22" i="63817"/>
  <c r="C25" i="63817"/>
  <c r="C24" i="63817"/>
  <c r="C23" i="63817"/>
  <c r="C22" i="63817"/>
  <c r="F2" i="63821" l="1"/>
  <c r="H2" i="63821" s="1"/>
  <c r="I11" i="63821"/>
  <c r="K11" i="63821" s="1"/>
  <c r="M11" i="63821" s="1"/>
  <c r="N11" i="63821" s="1"/>
  <c r="O11" i="63821" s="1"/>
  <c r="P11" i="63821" s="1"/>
  <c r="B15" i="63821" s="1"/>
  <c r="C15" i="63821" s="1"/>
  <c r="D15" i="63821" s="1"/>
  <c r="E15" i="63821" s="1"/>
  <c r="F15" i="63821" s="1"/>
  <c r="G15" i="63821" s="1"/>
  <c r="H15" i="63821" s="1"/>
  <c r="I15" i="63821" s="1"/>
  <c r="K15" i="63821" s="1"/>
  <c r="M15" i="63821" s="1"/>
  <c r="N15" i="63821" s="1"/>
  <c r="O15" i="63821" s="1"/>
  <c r="P15" i="63821" s="1"/>
  <c r="B13" i="63821"/>
  <c r="C12" i="63821" s="1"/>
  <c r="C13" i="63821" s="1"/>
  <c r="D12" i="63821" s="1"/>
  <c r="D13" i="63821" s="1"/>
  <c r="E12" i="63821" s="1"/>
  <c r="E13" i="63821" s="1"/>
  <c r="F12" i="63821" s="1"/>
  <c r="F13" i="63821" s="1"/>
  <c r="G12" i="63821" s="1"/>
  <c r="G13" i="63821" s="1"/>
  <c r="H12" i="63821" s="1"/>
  <c r="H13" i="63821" s="1"/>
  <c r="I12" i="63821" s="1"/>
  <c r="I13" i="63821" s="1"/>
  <c r="K12" i="63821" s="1"/>
  <c r="K13" i="63821" s="1"/>
  <c r="M12" i="63821" s="1"/>
  <c r="M13" i="63821" s="1"/>
  <c r="N12" i="63821" s="1"/>
  <c r="N13" i="63821" s="1"/>
  <c r="O12" i="63821" s="1"/>
  <c r="O13" i="63821" s="1"/>
  <c r="P12" i="63821" s="1"/>
  <c r="P13" i="63821" s="1"/>
  <c r="B16" i="63821" s="1"/>
  <c r="B17" i="63821" s="1"/>
  <c r="C16" i="63821" s="1"/>
  <c r="C17" i="63821" s="1"/>
  <c r="D16" i="63821" s="1"/>
  <c r="D17" i="63821" s="1"/>
  <c r="E16" i="63821" s="1"/>
  <c r="E17" i="63821" s="1"/>
  <c r="F16" i="63821" s="1"/>
  <c r="F17" i="63821" s="1"/>
  <c r="G16" i="63821" s="1"/>
  <c r="G17" i="63821" s="1"/>
  <c r="H16" i="63821" s="1"/>
  <c r="H17" i="63821" s="1"/>
  <c r="I16" i="63821" s="1"/>
  <c r="I17" i="63821" s="1"/>
  <c r="K16" i="63821" s="1"/>
  <c r="K17" i="63821" s="1"/>
  <c r="M16" i="63821" s="1"/>
  <c r="M17" i="63821" s="1"/>
  <c r="N16" i="63821" s="1"/>
  <c r="N17" i="63821" s="1"/>
  <c r="O16" i="63821" s="1"/>
  <c r="O17" i="63821" s="1"/>
  <c r="P16" i="63821" s="1"/>
  <c r="P17" i="63821" s="1"/>
  <c r="E25" i="63808" l="1"/>
  <c r="N14" i="63836" l="1"/>
  <c r="H16" i="63820"/>
  <c r="G16" i="63820"/>
  <c r="E16" i="63820"/>
  <c r="H2" i="63820"/>
  <c r="H9" i="63820" s="1"/>
  <c r="G2" i="63820"/>
  <c r="E2" i="63820"/>
  <c r="D2" i="63820"/>
  <c r="D9" i="63820" s="1"/>
  <c r="D8" i="63820" s="1"/>
  <c r="B2" i="63820"/>
  <c r="E15" i="63820" l="1"/>
  <c r="G15" i="63820"/>
  <c r="B9" i="63820"/>
  <c r="B8" i="63820" s="1"/>
  <c r="C8" i="63820" s="1"/>
  <c r="E9" i="63820"/>
  <c r="E8" i="63820" s="1"/>
  <c r="H8" i="63820"/>
  <c r="H15" i="63820"/>
  <c r="G9" i="63820"/>
  <c r="H21" i="63820" l="1"/>
  <c r="E21" i="63820"/>
  <c r="G21" i="63820"/>
  <c r="G8" i="63820"/>
  <c r="K224" i="1336"/>
  <c r="O196" i="1336"/>
  <c r="L163" i="1336"/>
  <c r="L189" i="1336"/>
  <c r="L180" i="1336"/>
  <c r="L173" i="1336"/>
  <c r="L122" i="1336"/>
  <c r="M122" i="1336" s="1"/>
  <c r="L101" i="1336"/>
  <c r="L93" i="1336"/>
  <c r="L87" i="1336"/>
  <c r="L88" i="1336" s="1"/>
  <c r="L77" i="1336" s="1"/>
  <c r="L56" i="1336"/>
  <c r="L442" i="63733"/>
  <c r="M442" i="63733" s="1"/>
  <c r="L383" i="63733"/>
  <c r="L343" i="63733"/>
  <c r="L373" i="63733"/>
  <c r="L368" i="63733"/>
  <c r="L365" i="63733"/>
  <c r="L182" i="63733"/>
  <c r="I180" i="63733"/>
  <c r="L232" i="63733"/>
  <c r="L177" i="63733"/>
  <c r="L173" i="63733"/>
  <c r="L169" i="63733"/>
  <c r="L170" i="63733" s="1"/>
  <c r="L167" i="63733"/>
  <c r="L153" i="63733"/>
  <c r="L97" i="63733"/>
  <c r="I95" i="63733"/>
  <c r="L66" i="63733"/>
  <c r="L92" i="63733"/>
  <c r="L91" i="63733"/>
  <c r="L86" i="63733"/>
  <c r="L88" i="63733" s="1"/>
  <c r="L84" i="63733"/>
  <c r="L83" i="63733"/>
  <c r="L64" i="63733"/>
  <c r="L73" i="63733" s="1"/>
  <c r="O102" i="1336" l="1"/>
  <c r="M101" i="1336"/>
  <c r="O369" i="63733"/>
  <c r="L370" i="63733"/>
  <c r="D15" i="63822"/>
  <c r="D17" i="63822" s="1"/>
  <c r="I187" i="63733"/>
  <c r="L71" i="63733"/>
  <c r="L72" i="63733" s="1"/>
  <c r="D2" i="63822"/>
  <c r="D4" i="63822" s="1"/>
  <c r="I104" i="63733"/>
  <c r="L105" i="63733" s="1"/>
  <c r="L181" i="63733"/>
  <c r="I97" i="63733"/>
  <c r="G10" i="63822"/>
  <c r="B26" i="63823"/>
  <c r="L55" i="1336"/>
  <c r="O88" i="1336"/>
  <c r="L127" i="1336"/>
  <c r="M127" i="1336" s="1"/>
  <c r="F19" i="63824"/>
  <c r="F11" i="63824"/>
  <c r="F8" i="63820"/>
  <c r="L182" i="1336"/>
  <c r="L194" i="1336" s="1"/>
  <c r="L118" i="1336"/>
  <c r="M118" i="1336" s="1"/>
  <c r="L366" i="63733"/>
  <c r="L374" i="63733"/>
  <c r="O55" i="1336" l="1"/>
  <c r="O77" i="1336"/>
  <c r="O78" i="1336" s="1"/>
  <c r="L188" i="63733"/>
  <c r="G12" i="63822"/>
  <c r="G11" i="63822"/>
  <c r="B20" i="63823" l="1"/>
  <c r="M232" i="63733" l="1"/>
  <c r="O1" i="63810" l="1"/>
  <c r="A2" i="63810" l="1"/>
  <c r="I6" i="63807" l="1"/>
  <c r="G25" i="63808" s="1"/>
  <c r="K35" i="63733" l="1"/>
  <c r="I36" i="63733"/>
  <c r="N196" i="1336" l="1"/>
  <c r="K179" i="1336"/>
  <c r="J179" i="1336" s="1"/>
  <c r="K153" i="1336"/>
  <c r="J153" i="1336" s="1"/>
  <c r="K136" i="1336"/>
  <c r="K126" i="1336"/>
  <c r="K122" i="1336"/>
  <c r="K114" i="1336"/>
  <c r="K101" i="1336"/>
  <c r="K92" i="1336"/>
  <c r="K91" i="1336"/>
  <c r="K48" i="1336"/>
  <c r="K118" i="1336" l="1"/>
  <c r="K49" i="63829"/>
  <c r="K6" i="63830"/>
  <c r="K55" i="1336"/>
  <c r="N5" i="63811"/>
  <c r="N4" i="63811" s="1"/>
  <c r="N29" i="63811" s="1"/>
  <c r="M44" i="63811"/>
  <c r="D10" i="63824" s="1"/>
  <c r="M42" i="63811"/>
  <c r="D18" i="63824" s="1"/>
  <c r="H381" i="63733"/>
  <c r="C9" i="63822" s="1"/>
  <c r="C11" i="63822" s="1"/>
  <c r="K368" i="63733"/>
  <c r="K365" i="63733"/>
  <c r="J364" i="63733"/>
  <c r="K343" i="63733"/>
  <c r="K182" i="63733"/>
  <c r="H180" i="63733"/>
  <c r="J180" i="63733"/>
  <c r="K205" i="63733"/>
  <c r="K173" i="63733"/>
  <c r="J166" i="63733"/>
  <c r="K169" i="63733"/>
  <c r="K170" i="63733" s="1"/>
  <c r="K167" i="63733"/>
  <c r="K177" i="63733"/>
  <c r="H95" i="63733"/>
  <c r="J95" i="63733"/>
  <c r="E2" i="63822" s="1"/>
  <c r="K86" i="63733"/>
  <c r="K88" i="63733" s="1"/>
  <c r="J82" i="63733"/>
  <c r="K84" i="63733"/>
  <c r="K83" i="63733"/>
  <c r="K66" i="63733"/>
  <c r="K7" i="63830" l="1"/>
  <c r="K239" i="63733"/>
  <c r="N240" i="63733" s="1"/>
  <c r="K9" i="63733"/>
  <c r="N369" i="63733"/>
  <c r="K370" i="63733"/>
  <c r="C15" i="63822"/>
  <c r="C17" i="63822" s="1"/>
  <c r="H187" i="63733"/>
  <c r="K188" i="63733" s="1"/>
  <c r="C2" i="63822"/>
  <c r="C4" i="63822" s="1"/>
  <c r="H104" i="63733"/>
  <c r="K24" i="63733"/>
  <c r="K369" i="63733"/>
  <c r="N87" i="63733"/>
  <c r="K185" i="63733"/>
  <c r="F22" i="63822"/>
  <c r="K237" i="63733"/>
  <c r="P73" i="63821"/>
  <c r="P65" i="63821" s="1"/>
  <c r="Q65" i="63821" s="1"/>
  <c r="E15" i="63822"/>
  <c r="M181" i="63733"/>
  <c r="H97" i="63733"/>
  <c r="K87" i="63733"/>
  <c r="N16" i="63733" l="1"/>
  <c r="K280" i="1336"/>
  <c r="K45" i="63733"/>
  <c r="K25" i="63733"/>
  <c r="K215" i="63733"/>
  <c r="K213" i="63733"/>
  <c r="Q213" i="63733" s="1"/>
  <c r="T213" i="63733" s="1"/>
  <c r="W213" i="63733" s="1"/>
  <c r="F24" i="63822"/>
  <c r="I25" i="63822" s="1"/>
  <c r="F23" i="63822"/>
  <c r="K217" i="63733" l="1"/>
  <c r="Q212" i="63733"/>
  <c r="F66" i="63812"/>
  <c r="E62" i="63812"/>
  <c r="E60" i="63812"/>
  <c r="F60" i="63812"/>
  <c r="D60" i="63812"/>
  <c r="E63" i="63812" l="1"/>
  <c r="Q24" i="63733"/>
  <c r="Q25" i="63733" s="1"/>
  <c r="Q245" i="63733"/>
  <c r="F63" i="63812"/>
  <c r="G54" i="63812"/>
  <c r="I54" i="63812" s="1"/>
  <c r="G58" i="63812"/>
  <c r="I58" i="63812" s="1"/>
  <c r="G59" i="63812"/>
  <c r="I59" i="63812" s="1"/>
  <c r="G56" i="63812"/>
  <c r="I56" i="63812" s="1"/>
  <c r="G53" i="63812"/>
  <c r="I53" i="63812" s="1"/>
  <c r="G57" i="63812"/>
  <c r="I57" i="63812" s="1"/>
  <c r="G55" i="63812"/>
  <c r="I55" i="63812" s="1"/>
  <c r="G60" i="63812"/>
  <c r="G52" i="63812"/>
  <c r="I52" i="63812" s="1"/>
  <c r="Z213" i="63733" l="1"/>
  <c r="AC213" i="63733" s="1"/>
  <c r="AF213" i="63733" s="1"/>
  <c r="A49" i="63807" l="1"/>
  <c r="AO218" i="1336" l="1"/>
  <c r="AL218" i="1336"/>
  <c r="AI218" i="1336"/>
  <c r="AF218" i="1336"/>
  <c r="AC218" i="1336"/>
  <c r="Z218" i="1336"/>
  <c r="W218" i="1336"/>
  <c r="T218" i="1336"/>
  <c r="Q218" i="1336"/>
  <c r="P218" i="1336"/>
  <c r="O218" i="1336"/>
  <c r="N218" i="1336"/>
  <c r="M218" i="1336"/>
  <c r="L218" i="1336"/>
  <c r="AI213" i="63733" l="1"/>
  <c r="A32" i="63818"/>
  <c r="A31" i="63818"/>
  <c r="A29" i="63818"/>
  <c r="A30" i="63818" s="1"/>
  <c r="B29" i="63818"/>
  <c r="A28" i="63818"/>
  <c r="A26" i="63818"/>
  <c r="A25" i="63818"/>
  <c r="A24" i="63818"/>
  <c r="A22" i="63818"/>
  <c r="A21" i="63818"/>
  <c r="A20" i="63818"/>
  <c r="A18" i="63818"/>
  <c r="A17" i="63818"/>
  <c r="A16" i="63818"/>
  <c r="A15" i="63818"/>
  <c r="A14" i="63818"/>
  <c r="A12" i="63818"/>
  <c r="A11" i="63818"/>
  <c r="A10" i="63818"/>
  <c r="A9" i="63818"/>
  <c r="A8" i="63818"/>
  <c r="D7" i="63818"/>
  <c r="AL213" i="63733" l="1"/>
  <c r="AO213" i="63733" s="1"/>
  <c r="AR213" i="63733" s="1"/>
  <c r="AU213" i="63733" s="1"/>
  <c r="AX213" i="63733" s="1"/>
  <c r="BA213" i="63733" s="1"/>
  <c r="BD213" i="63733" s="1"/>
  <c r="BG213" i="63733" s="1"/>
  <c r="BJ213" i="63733" s="1"/>
  <c r="B57" i="63818"/>
  <c r="C1" i="63818"/>
  <c r="F31" i="63818" l="1"/>
  <c r="F22" i="63818"/>
  <c r="F25" i="63818"/>
  <c r="F20" i="63818"/>
  <c r="F11" i="63818"/>
  <c r="J11" i="63818" s="1"/>
  <c r="C22" i="63818"/>
  <c r="H20" i="63818" l="1"/>
  <c r="J20" i="63818"/>
  <c r="M24" i="63807"/>
  <c r="H122" i="1336" l="1"/>
  <c r="H6" i="63830" l="1"/>
  <c r="H7" i="63830" s="1"/>
  <c r="E11" i="63817"/>
  <c r="E10" i="63817"/>
  <c r="E9" i="63817"/>
  <c r="B11" i="63817"/>
  <c r="B10" i="63817"/>
  <c r="B9" i="63817"/>
  <c r="L6" i="63817"/>
  <c r="L5" i="63817"/>
  <c r="L4" i="63817"/>
  <c r="L3" i="63817"/>
  <c r="G5" i="63817"/>
  <c r="G4" i="63817"/>
  <c r="G3" i="63817"/>
  <c r="F5" i="63817"/>
  <c r="F4" i="63817"/>
  <c r="F3" i="63817"/>
  <c r="D5" i="63817"/>
  <c r="D4" i="63817"/>
  <c r="D3" i="63817"/>
  <c r="C5" i="63817"/>
  <c r="C4" i="63817"/>
  <c r="C3" i="63817"/>
  <c r="J6" i="63817"/>
  <c r="J5" i="63817"/>
  <c r="J4" i="63817"/>
  <c r="J3" i="63817"/>
  <c r="I6" i="63817"/>
  <c r="I5" i="63817"/>
  <c r="I4" i="63817"/>
  <c r="I3" i="63817"/>
  <c r="F9" i="63817" l="1"/>
  <c r="M6" i="63817"/>
  <c r="F10" i="63817"/>
  <c r="M3" i="63817"/>
  <c r="M4" i="63817"/>
  <c r="M5" i="63817"/>
  <c r="D10" i="63817"/>
  <c r="F11" i="63817"/>
  <c r="C10" i="63817"/>
  <c r="D11" i="63817"/>
  <c r="C11" i="63817"/>
  <c r="C9" i="63817"/>
  <c r="D9" i="63817"/>
  <c r="I101" i="1336"/>
  <c r="L102" i="1336" l="1"/>
  <c r="J101" i="1336"/>
  <c r="H126" i="1336"/>
  <c r="F126" i="1336"/>
  <c r="G126" i="1336" l="1"/>
  <c r="H56" i="63807" l="1"/>
  <c r="I56" i="63807" s="1"/>
  <c r="J56" i="63807" s="1"/>
  <c r="K56" i="63807" s="1"/>
  <c r="L56" i="63807" s="1"/>
  <c r="M56" i="63807" l="1"/>
  <c r="N56" i="63807" s="1"/>
  <c r="O56" i="63807" s="1"/>
  <c r="P56" i="63807" s="1"/>
  <c r="Q56" i="63807" s="1"/>
  <c r="R56" i="63807" s="1"/>
  <c r="S56" i="63807" s="1"/>
  <c r="T56" i="63807" s="1"/>
  <c r="U56" i="63807"/>
  <c r="C31" i="63812" l="1"/>
  <c r="D31" i="63812" s="1"/>
  <c r="E31" i="63812" s="1"/>
  <c r="F31" i="63812" s="1"/>
  <c r="G31" i="63812" s="1"/>
  <c r="B36" i="63812" l="1"/>
  <c r="B34" i="63812"/>
  <c r="B29" i="63812"/>
  <c r="C33" i="63812"/>
  <c r="D33" i="63812" s="1"/>
  <c r="E33" i="63812" s="1"/>
  <c r="F33" i="63812" s="1"/>
  <c r="G33" i="63812" s="1"/>
  <c r="B40" i="63812"/>
  <c r="B39" i="63812"/>
  <c r="B38" i="63812"/>
  <c r="B27" i="63812"/>
  <c r="C27" i="63812" s="1"/>
  <c r="C26" i="63812"/>
  <c r="C24" i="63812" l="1"/>
  <c r="C38" i="63812" s="1"/>
  <c r="B41" i="63812"/>
  <c r="C40" i="63812"/>
  <c r="C28" i="63812"/>
  <c r="C34" i="63812"/>
  <c r="C35" i="63812" s="1"/>
  <c r="D27" i="63812"/>
  <c r="D26" i="63812"/>
  <c r="E34" i="63812"/>
  <c r="D34" i="63812"/>
  <c r="F34" i="63812"/>
  <c r="D35" i="63812" l="1"/>
  <c r="D28" i="63812"/>
  <c r="E27" i="63812"/>
  <c r="D24" i="63812"/>
  <c r="D38" i="63812" s="1"/>
  <c r="E26" i="63812"/>
  <c r="D40" i="63812"/>
  <c r="E35" i="63812"/>
  <c r="F35" i="63812"/>
  <c r="E40" i="63812" l="1"/>
  <c r="F26" i="63812"/>
  <c r="E28" i="63812"/>
  <c r="E24" i="63812"/>
  <c r="E38" i="63812" s="1"/>
  <c r="F27" i="63812"/>
  <c r="G34" i="63812"/>
  <c r="G35" i="63812" s="1"/>
  <c r="F40" i="63812" l="1"/>
  <c r="G26" i="63812"/>
  <c r="G40" i="63812" s="1"/>
  <c r="G27" i="63812"/>
  <c r="F28" i="63812"/>
  <c r="F24" i="63812"/>
  <c r="F38" i="63812" s="1"/>
  <c r="G28" i="63812" l="1"/>
  <c r="G24" i="63812"/>
  <c r="G38" i="63812" s="1"/>
  <c r="H205" i="63733"/>
  <c r="H9" i="63733" s="1"/>
  <c r="K16" i="63733" l="1"/>
  <c r="C22" i="63822"/>
  <c r="H235" i="63733"/>
  <c r="H239" i="63733" s="1"/>
  <c r="H110" i="1336"/>
  <c r="G110" i="1336" l="1"/>
  <c r="H213" i="63733"/>
  <c r="H24" i="63733"/>
  <c r="H25" i="63733" s="1"/>
  <c r="K240" i="63733"/>
  <c r="C21" i="63822"/>
  <c r="C23" i="63822" s="1"/>
  <c r="E235" i="63733"/>
  <c r="L22" i="63815"/>
  <c r="L23" i="63815" s="1"/>
  <c r="L24" i="63815" s="1"/>
  <c r="M22" i="63815"/>
  <c r="N22" i="63815"/>
  <c r="O23" i="63815" s="1"/>
  <c r="O24" i="63815" s="1"/>
  <c r="F20" i="63815"/>
  <c r="G20" i="63815"/>
  <c r="H20" i="63815"/>
  <c r="I20" i="63815"/>
  <c r="J20" i="63815"/>
  <c r="K20" i="63815"/>
  <c r="L20" i="63815"/>
  <c r="M20" i="63815"/>
  <c r="N20" i="63815"/>
  <c r="O20" i="63815"/>
  <c r="P20" i="63815"/>
  <c r="Q20" i="63815"/>
  <c r="R20" i="63815"/>
  <c r="M23" i="63815" l="1"/>
  <c r="M24" i="63815" s="1"/>
  <c r="B21" i="63822"/>
  <c r="N23" i="63815"/>
  <c r="N24" i="63815" s="1"/>
  <c r="R79" i="63814" l="1"/>
  <c r="Q79" i="63814"/>
  <c r="P79" i="63814"/>
  <c r="O79" i="63814"/>
  <c r="N79" i="63814"/>
  <c r="M79" i="63814"/>
  <c r="L79" i="63814"/>
  <c r="K79" i="63814"/>
  <c r="J79" i="63814"/>
  <c r="I79" i="63814"/>
  <c r="H79" i="63814"/>
  <c r="G79" i="63814"/>
  <c r="F79" i="63814"/>
  <c r="E79" i="63814"/>
  <c r="D79" i="63814"/>
  <c r="C79" i="63814"/>
  <c r="R78" i="63814"/>
  <c r="Q78" i="63814"/>
  <c r="P78" i="63814"/>
  <c r="O78" i="63814"/>
  <c r="N78" i="63814"/>
  <c r="M78" i="63814"/>
  <c r="L78" i="63814"/>
  <c r="K78" i="63814"/>
  <c r="J78" i="63814"/>
  <c r="I78" i="63814"/>
  <c r="H78" i="63814"/>
  <c r="G78" i="63814"/>
  <c r="F78" i="63814"/>
  <c r="E78" i="63814"/>
  <c r="D78" i="63814"/>
  <c r="C78" i="63814"/>
  <c r="R55" i="63814"/>
  <c r="Q55" i="63814"/>
  <c r="P55" i="63814"/>
  <c r="O55" i="63814"/>
  <c r="N55" i="63814"/>
  <c r="M55" i="63814"/>
  <c r="L55" i="63814"/>
  <c r="K55" i="63814"/>
  <c r="J55" i="63814"/>
  <c r="I55" i="63814"/>
  <c r="H55" i="63814"/>
  <c r="G55" i="63814"/>
  <c r="F55" i="63814"/>
  <c r="E55" i="63814"/>
  <c r="D55" i="63814"/>
  <c r="R54" i="63814"/>
  <c r="Q54" i="63814"/>
  <c r="P54" i="63814"/>
  <c r="O54" i="63814"/>
  <c r="N54" i="63814"/>
  <c r="M54" i="63814"/>
  <c r="L54" i="63814"/>
  <c r="K54" i="63814"/>
  <c r="J54" i="63814"/>
  <c r="I54" i="63814"/>
  <c r="H54" i="63814"/>
  <c r="G54" i="63814"/>
  <c r="F54" i="63814"/>
  <c r="E54" i="63814"/>
  <c r="D54" i="63814"/>
  <c r="C55" i="63814"/>
  <c r="C54" i="63814"/>
  <c r="R38" i="63814"/>
  <c r="Q38" i="63814"/>
  <c r="P38" i="63814"/>
  <c r="O38" i="63814"/>
  <c r="N38" i="63814"/>
  <c r="M38" i="63814"/>
  <c r="L38" i="63814"/>
  <c r="K38" i="63814"/>
  <c r="J38" i="63814"/>
  <c r="I38" i="63814"/>
  <c r="H38" i="63814"/>
  <c r="G38" i="63814"/>
  <c r="F38" i="63814"/>
  <c r="E38" i="63814"/>
  <c r="D38" i="63814"/>
  <c r="C38" i="63814"/>
  <c r="R37" i="63814"/>
  <c r="Q37" i="63814"/>
  <c r="P37" i="63814"/>
  <c r="O37" i="63814"/>
  <c r="N37" i="63814"/>
  <c r="M37" i="63814"/>
  <c r="L37" i="63814"/>
  <c r="K37" i="63814"/>
  <c r="J37" i="63814"/>
  <c r="I37" i="63814"/>
  <c r="H37" i="63814"/>
  <c r="G37" i="63814"/>
  <c r="F37" i="63814"/>
  <c r="E37" i="63814"/>
  <c r="D37" i="63814"/>
  <c r="C37" i="63814"/>
  <c r="R15" i="63814"/>
  <c r="Q15" i="63814"/>
  <c r="P15" i="63814"/>
  <c r="O15" i="63814"/>
  <c r="N15" i="63814"/>
  <c r="M15" i="63814"/>
  <c r="L15" i="63814"/>
  <c r="K15" i="63814"/>
  <c r="J15" i="63814"/>
  <c r="I15" i="63814"/>
  <c r="H15" i="63814"/>
  <c r="G15" i="63814"/>
  <c r="E15" i="63814"/>
  <c r="D15" i="63814"/>
  <c r="C15" i="63814"/>
  <c r="R14" i="63814"/>
  <c r="Q14" i="63814"/>
  <c r="P14" i="63814"/>
  <c r="O14" i="63814"/>
  <c r="N14" i="63814"/>
  <c r="M14" i="63814"/>
  <c r="L14" i="63814"/>
  <c r="K14" i="63814"/>
  <c r="J14" i="63814"/>
  <c r="I14" i="63814"/>
  <c r="H14" i="63814"/>
  <c r="G14" i="63814"/>
  <c r="F14" i="63814"/>
  <c r="E14" i="63814"/>
  <c r="D14" i="63814"/>
  <c r="C14" i="63814"/>
  <c r="C385" i="63733" l="1"/>
  <c r="C183" i="63733"/>
  <c r="C98" i="63733"/>
  <c r="I381" i="63733"/>
  <c r="L382" i="63733" l="1"/>
  <c r="J381" i="63733"/>
  <c r="D9" i="63822"/>
  <c r="F180" i="63733"/>
  <c r="G180" i="63733" s="1"/>
  <c r="J181" i="63733" s="1"/>
  <c r="E9" i="63822" l="1"/>
  <c r="C11" i="63818"/>
  <c r="H187" i="1336"/>
  <c r="H178" i="1336"/>
  <c r="G178" i="1336" s="1"/>
  <c r="H171" i="1336"/>
  <c r="G171" i="1336" s="1"/>
  <c r="G195" i="1336" s="1"/>
  <c r="G187" i="1336" l="1"/>
  <c r="H195" i="1336"/>
  <c r="K196" i="1336" s="1"/>
  <c r="T178" i="1336"/>
  <c r="S178" i="1336" l="1"/>
  <c r="V178" i="1336" l="1"/>
  <c r="G64" i="63836" a="1"/>
  <c r="G64" i="63836" s="1"/>
  <c r="Y178" i="1336"/>
  <c r="V153" i="1336"/>
  <c r="AD178" i="1336" l="1"/>
  <c r="Y153" i="1336"/>
  <c r="AF178" i="1336"/>
  <c r="H64" i="63836" s="1" a="1"/>
  <c r="H64" i="63836" s="1"/>
  <c r="AD153" i="1336" l="1"/>
  <c r="AE178" i="1336"/>
  <c r="AG178" i="1336"/>
  <c r="AI178" i="1336"/>
  <c r="AH178" i="1336" l="1"/>
  <c r="I64" i="63836" a="1"/>
  <c r="I64" i="63836" s="1"/>
  <c r="AE153" i="1336"/>
  <c r="AG153" i="1336"/>
  <c r="AL178" i="1336"/>
  <c r="AI153" i="1336"/>
  <c r="S162" i="1336"/>
  <c r="AL284" i="63733"/>
  <c r="AU284" i="63733" s="1"/>
  <c r="BD284" i="63733" s="1"/>
  <c r="H48" i="1336"/>
  <c r="G48" i="1336" s="1"/>
  <c r="AH153" i="1336" l="1"/>
  <c r="AO178" i="1336"/>
  <c r="AR178" i="1336" s="1"/>
  <c r="AL153" i="1336"/>
  <c r="AI284" i="63733"/>
  <c r="AR284" i="63733" s="1"/>
  <c r="BA284" i="63733" s="1"/>
  <c r="BJ284" i="63733" s="1"/>
  <c r="W162" i="1336"/>
  <c r="U162" i="1336"/>
  <c r="AU178" i="1336" l="1"/>
  <c r="AX178" i="1336" s="1"/>
  <c r="BA178" i="1336" s="1"/>
  <c r="BD178" i="1336" s="1"/>
  <c r="BG178" i="1336" s="1"/>
  <c r="BJ178" i="1336" s="1"/>
  <c r="J64" i="63836" a="1"/>
  <c r="J64" i="63836" s="1"/>
  <c r="AO153" i="1336"/>
  <c r="AR153" i="1336" s="1"/>
  <c r="Z162" i="1336"/>
  <c r="V162" i="1336"/>
  <c r="X162" i="1336"/>
  <c r="C14" i="63812"/>
  <c r="C13" i="63812"/>
  <c r="AA162" i="1336" l="1"/>
  <c r="AC162" i="1336"/>
  <c r="AB162" i="1336" s="1"/>
  <c r="AU153" i="1336"/>
  <c r="AX153" i="1336" s="1"/>
  <c r="BA153" i="1336" s="1"/>
  <c r="BD153" i="1336" s="1"/>
  <c r="BG153" i="1336" s="1"/>
  <c r="BJ153" i="1336" s="1"/>
  <c r="X163" i="1336"/>
  <c r="Y162" i="1336"/>
  <c r="E95" i="63733"/>
  <c r="E104" i="63733" s="1"/>
  <c r="E180" i="63733"/>
  <c r="B15" i="63822" s="1"/>
  <c r="G92" i="1336"/>
  <c r="H100" i="63733" l="1"/>
  <c r="B2" i="63822"/>
  <c r="B4" i="63822" s="1"/>
  <c r="G56" i="1336"/>
  <c r="N95" i="63733"/>
  <c r="N104" i="63733" l="1"/>
  <c r="N105" i="63733" s="1"/>
  <c r="Q95" i="63733"/>
  <c r="T96" i="63733" s="1"/>
  <c r="I2" i="63822"/>
  <c r="I4" i="63822" s="1"/>
  <c r="T180" i="63733"/>
  <c r="W181" i="63733" s="1"/>
  <c r="P180" i="63733"/>
  <c r="P181" i="63733" s="1"/>
  <c r="M95" i="63733"/>
  <c r="I35" i="1336"/>
  <c r="Q104" i="63733" l="1"/>
  <c r="Q105" i="63733" s="1"/>
  <c r="I39" i="1336"/>
  <c r="J35" i="1336"/>
  <c r="S180" i="63733"/>
  <c r="M96" i="63733"/>
  <c r="H2" i="63822"/>
  <c r="Q100" i="63733"/>
  <c r="Q97" i="63733"/>
  <c r="S95" i="63733"/>
  <c r="P95" i="63733"/>
  <c r="P104" i="63733" s="1"/>
  <c r="I179" i="1336"/>
  <c r="I172" i="1336"/>
  <c r="I126" i="1336"/>
  <c r="J126" i="1336" s="1"/>
  <c r="I122" i="1336"/>
  <c r="J122" i="1336" s="1"/>
  <c r="AA180" i="63733" l="1"/>
  <c r="I41" i="1336"/>
  <c r="J39" i="1336"/>
  <c r="S181" i="63733"/>
  <c r="V180" i="63733"/>
  <c r="S96" i="63733"/>
  <c r="P96" i="63733"/>
  <c r="I48" i="1336"/>
  <c r="J48" i="1336" s="1"/>
  <c r="I173" i="1336"/>
  <c r="F134" i="1336"/>
  <c r="G134" i="1336" s="1"/>
  <c r="F136" i="1336"/>
  <c r="AD180" i="63733" l="1"/>
  <c r="AG180" i="63733" s="1"/>
  <c r="AB180" i="63733"/>
  <c r="Y180" i="63733"/>
  <c r="I107" i="1336"/>
  <c r="J41" i="1336"/>
  <c r="V181" i="63733"/>
  <c r="V95" i="63733"/>
  <c r="I134" i="1336"/>
  <c r="J134" i="1336" s="1"/>
  <c r="F196" i="1336"/>
  <c r="H196" i="1336"/>
  <c r="F135" i="1336"/>
  <c r="G135" i="1336" s="1"/>
  <c r="AB182" i="63733" l="1"/>
  <c r="AB181" i="63733"/>
  <c r="AB187" i="63733"/>
  <c r="AF180" i="63733"/>
  <c r="AE180" i="63733" s="1"/>
  <c r="AE181" i="63733" s="1"/>
  <c r="V96" i="63733"/>
  <c r="L134" i="1336"/>
  <c r="M134" i="1336" s="1"/>
  <c r="AF95" i="63733" l="1"/>
  <c r="AA96" i="63733"/>
  <c r="Y95" i="63733"/>
  <c r="AI180" i="63733"/>
  <c r="AH180" i="63733" s="1"/>
  <c r="L135" i="1336"/>
  <c r="M135" i="1336" s="1"/>
  <c r="Y96" i="63733" l="1"/>
  <c r="AB96" i="63733"/>
  <c r="AH181" i="63733"/>
  <c r="AI95" i="63733"/>
  <c r="AD95" i="63733"/>
  <c r="AL180" i="63733"/>
  <c r="A19" i="63810"/>
  <c r="A18" i="63810"/>
  <c r="A16" i="63810"/>
  <c r="A10" i="63810"/>
  <c r="A6" i="63810"/>
  <c r="A5" i="63810"/>
  <c r="A4" i="63810"/>
  <c r="A3" i="63810"/>
  <c r="N1" i="63810"/>
  <c r="M1" i="63810"/>
  <c r="L1" i="63810"/>
  <c r="K1" i="63810"/>
  <c r="J1" i="63810"/>
  <c r="I1" i="63810"/>
  <c r="H1" i="63810"/>
  <c r="G1" i="63810"/>
  <c r="F1" i="63810" s="1"/>
  <c r="E1" i="63810" s="1"/>
  <c r="D1" i="63810" s="1"/>
  <c r="C1" i="63810" s="1"/>
  <c r="AL95" i="63733" l="1"/>
  <c r="AO95" i="63733" s="1"/>
  <c r="AR95" i="63733" s="1"/>
  <c r="AU95" i="63733" s="1"/>
  <c r="AX95" i="63733" s="1"/>
  <c r="BA95" i="63733" s="1"/>
  <c r="BD95" i="63733" s="1"/>
  <c r="BG95" i="63733" s="1"/>
  <c r="BJ95" i="63733" s="1"/>
  <c r="AG95" i="63733"/>
  <c r="AE95" i="63733"/>
  <c r="AE96" i="63733" s="1"/>
  <c r="AO180" i="63733"/>
  <c r="O6" i="63810"/>
  <c r="P6" i="63810"/>
  <c r="M6" i="63810"/>
  <c r="C10" i="63810"/>
  <c r="D10" i="63810"/>
  <c r="F10" i="63810"/>
  <c r="E10" i="63810"/>
  <c r="C6" i="63810"/>
  <c r="D6" i="63810"/>
  <c r="F6" i="63810"/>
  <c r="E6" i="63810"/>
  <c r="K10" i="63810"/>
  <c r="G10" i="63810"/>
  <c r="H10" i="63810"/>
  <c r="J10" i="63810"/>
  <c r="L6" i="63810"/>
  <c r="I6" i="63810"/>
  <c r="J6" i="63810"/>
  <c r="N6" i="63810"/>
  <c r="G6" i="63810"/>
  <c r="H6" i="63810"/>
  <c r="I10" i="63810"/>
  <c r="C25" i="63808"/>
  <c r="AG96" i="63733" l="1"/>
  <c r="AH95" i="63733"/>
  <c r="AR180" i="63733"/>
  <c r="L24" i="63807"/>
  <c r="K24" i="63807"/>
  <c r="J24" i="63807"/>
  <c r="I24" i="63807"/>
  <c r="H24" i="63807"/>
  <c r="G24" i="63807"/>
  <c r="F24" i="63807"/>
  <c r="F33" i="63807" s="1"/>
  <c r="C24" i="63807"/>
  <c r="C33" i="63807" s="1"/>
  <c r="A44" i="63807"/>
  <c r="A42" i="63807"/>
  <c r="A41" i="63807"/>
  <c r="A35" i="63807"/>
  <c r="A43" i="63807"/>
  <c r="A38" i="63807"/>
  <c r="A32" i="63807"/>
  <c r="A31" i="63807"/>
  <c r="A29" i="63807"/>
  <c r="A27" i="63807"/>
  <c r="I5" i="63807"/>
  <c r="S41" i="63807" l="1"/>
  <c r="T41" i="63807"/>
  <c r="AH96" i="63733"/>
  <c r="S31" i="63807"/>
  <c r="T31" i="63807"/>
  <c r="S42" i="63807"/>
  <c r="T42" i="63807"/>
  <c r="F29" i="63807"/>
  <c r="C29" i="63807"/>
  <c r="C36" i="63807" s="1"/>
  <c r="Q31" i="63807"/>
  <c r="R31" i="63807"/>
  <c r="R41" i="63807"/>
  <c r="Q41" i="63807"/>
  <c r="R42" i="63807"/>
  <c r="Q42" i="63807"/>
  <c r="F27" i="63807"/>
  <c r="O41" i="63807"/>
  <c r="P41" i="63807"/>
  <c r="C27" i="63807"/>
  <c r="O42" i="63807"/>
  <c r="P42" i="63807"/>
  <c r="O31" i="63807"/>
  <c r="P31" i="63807"/>
  <c r="C32" i="63807"/>
  <c r="AU180" i="63733"/>
  <c r="AX180" i="63733" s="1"/>
  <c r="BA180" i="63733" s="1"/>
  <c r="BD180" i="63733" s="1"/>
  <c r="BG180" i="63733" s="1"/>
  <c r="BJ180" i="63733" s="1"/>
  <c r="M31" i="63807"/>
  <c r="N31" i="63807"/>
  <c r="M41" i="63807"/>
  <c r="N41" i="63807"/>
  <c r="M42" i="63807"/>
  <c r="N42" i="63807"/>
  <c r="D24" i="63807"/>
  <c r="D29" i="63807" s="1"/>
  <c r="C5" i="63807"/>
  <c r="U11" i="63807" s="1"/>
  <c r="K31" i="63807"/>
  <c r="K41" i="63807"/>
  <c r="I42" i="63807"/>
  <c r="F25" i="63808"/>
  <c r="H31" i="63807"/>
  <c r="L31" i="63807"/>
  <c r="H41" i="63807"/>
  <c r="L41" i="63807"/>
  <c r="F42" i="63807"/>
  <c r="J42" i="63807"/>
  <c r="I41" i="63807"/>
  <c r="C42" i="63807"/>
  <c r="G42" i="63807"/>
  <c r="K42" i="63807"/>
  <c r="F31" i="63807"/>
  <c r="J31" i="63807"/>
  <c r="F41" i="63807"/>
  <c r="J41" i="63807"/>
  <c r="H42" i="63807"/>
  <c r="L42" i="63807"/>
  <c r="F44" i="63807"/>
  <c r="I31" i="63807"/>
  <c r="C31" i="63807"/>
  <c r="G31" i="63807"/>
  <c r="C41" i="63807"/>
  <c r="G41" i="63807"/>
  <c r="C44" i="63807"/>
  <c r="S11" i="63807" l="1"/>
  <c r="T11" i="63807"/>
  <c r="P11" i="63807"/>
  <c r="Q11" i="63807"/>
  <c r="R11" i="63807"/>
  <c r="D31" i="63807"/>
  <c r="D33" i="63807"/>
  <c r="D32" i="63807"/>
  <c r="D36" i="63807"/>
  <c r="M11" i="63807"/>
  <c r="O11" i="63807"/>
  <c r="N11" i="63807"/>
  <c r="E24" i="63807"/>
  <c r="E29" i="63807" s="1"/>
  <c r="D42" i="63807"/>
  <c r="D41" i="63807"/>
  <c r="K11" i="63807"/>
  <c r="H25" i="63808"/>
  <c r="G11" i="63807"/>
  <c r="L11" i="63807"/>
  <c r="J11" i="63807"/>
  <c r="I11" i="63807"/>
  <c r="H11" i="63807"/>
  <c r="N15" i="63836" l="1"/>
  <c r="E44" i="63807"/>
  <c r="E33" i="63807"/>
  <c r="E31" i="63807"/>
  <c r="E41" i="63807"/>
  <c r="E36" i="63807"/>
  <c r="E42" i="63807"/>
  <c r="C25" i="63807"/>
  <c r="D9" i="63807"/>
  <c r="E9" i="63807" l="1"/>
  <c r="D25" i="63807"/>
  <c r="E25" i="63807" l="1"/>
  <c r="F9" i="63807"/>
  <c r="G9" i="63807" l="1"/>
  <c r="F25" i="63807"/>
  <c r="H9" i="63807" l="1"/>
  <c r="G25" i="63807"/>
  <c r="I9" i="63807" l="1"/>
  <c r="H25" i="63807"/>
  <c r="J9" i="63807" l="1"/>
  <c r="K57" i="63807" s="1"/>
  <c r="I25" i="63807"/>
  <c r="K12" i="63807" l="1"/>
  <c r="K9" i="63807"/>
  <c r="J25" i="63807"/>
  <c r="L57" i="63807" l="1"/>
  <c r="L12" i="63807"/>
  <c r="L9" i="63807"/>
  <c r="K25" i="63807"/>
  <c r="M57" i="63807" l="1"/>
  <c r="M12" i="63807"/>
  <c r="M9" i="63807"/>
  <c r="L25" i="63807"/>
  <c r="N9" i="63807" l="1"/>
  <c r="N25" i="63807" s="1"/>
  <c r="N57" i="63807"/>
  <c r="N12" i="63807"/>
  <c r="M25" i="63807"/>
  <c r="J437" i="63733"/>
  <c r="G442" i="63733"/>
  <c r="G441" i="63733"/>
  <c r="G440" i="63733"/>
  <c r="G439" i="63733"/>
  <c r="C442" i="63733"/>
  <c r="C441" i="63733"/>
  <c r="C440" i="63733"/>
  <c r="C439" i="63733"/>
  <c r="E442" i="63733"/>
  <c r="E441" i="63733"/>
  <c r="E440" i="63733"/>
  <c r="E439" i="63733"/>
  <c r="D438" i="63733"/>
  <c r="D437" i="63733"/>
  <c r="G438" i="63733"/>
  <c r="O9" i="63807" l="1"/>
  <c r="O57" i="63807"/>
  <c r="O12" i="63807"/>
  <c r="D440" i="63733"/>
  <c r="D439" i="63733"/>
  <c r="D442" i="63733"/>
  <c r="D441" i="63733"/>
  <c r="C340" i="63733"/>
  <c r="E340" i="63733"/>
  <c r="F340" i="63733"/>
  <c r="H340" i="63733"/>
  <c r="C319" i="63733"/>
  <c r="I342" i="63733"/>
  <c r="M177" i="63733"/>
  <c r="C293" i="63733"/>
  <c r="E293" i="63733"/>
  <c r="E294" i="63733" s="1"/>
  <c r="E298" i="63733"/>
  <c r="F298" i="63733"/>
  <c r="C303" i="63733"/>
  <c r="F303" i="63733" s="1"/>
  <c r="C302" i="63733"/>
  <c r="E302" i="63733"/>
  <c r="E303" i="63733" s="1"/>
  <c r="F302" i="63733"/>
  <c r="I167" i="63733"/>
  <c r="J232" i="63733"/>
  <c r="F172" i="63733"/>
  <c r="F166" i="63733"/>
  <c r="H169" i="63733"/>
  <c r="H170" i="63733" s="1"/>
  <c r="H167" i="63733"/>
  <c r="I169" i="63733"/>
  <c r="I170" i="63733" s="1"/>
  <c r="I173" i="63733"/>
  <c r="H173" i="63733"/>
  <c r="F34" i="63733" l="1"/>
  <c r="I174" i="63733"/>
  <c r="P9" i="63807"/>
  <c r="Q57" i="63807" s="1"/>
  <c r="P57" i="63807"/>
  <c r="P12" i="63807"/>
  <c r="O25" i="63807"/>
  <c r="J169" i="63733"/>
  <c r="E381" i="63733"/>
  <c r="N381" i="63733"/>
  <c r="C304" i="63733"/>
  <c r="E304" i="63733"/>
  <c r="E305" i="63733" s="1"/>
  <c r="F169" i="63733"/>
  <c r="G172" i="63733"/>
  <c r="G166" i="63733"/>
  <c r="I35" i="63733"/>
  <c r="C295" i="63733"/>
  <c r="E295" i="63733"/>
  <c r="I152" i="1336"/>
  <c r="I114" i="1336"/>
  <c r="J114" i="1336" s="1"/>
  <c r="I113" i="1336"/>
  <c r="J113" i="1336" s="1"/>
  <c r="I410" i="63733"/>
  <c r="I368" i="63733"/>
  <c r="I373" i="63733"/>
  <c r="I365" i="63733"/>
  <c r="I350" i="63733"/>
  <c r="I343" i="63733"/>
  <c r="I344" i="63733" s="1"/>
  <c r="I205" i="63733"/>
  <c r="I177" i="63733"/>
  <c r="F152" i="63733"/>
  <c r="I86" i="63733"/>
  <c r="I88" i="63733" s="1"/>
  <c r="I92" i="63733"/>
  <c r="I91" i="63733"/>
  <c r="I84" i="63733"/>
  <c r="I83" i="63733"/>
  <c r="I195" i="1336" l="1"/>
  <c r="G34" i="63733"/>
  <c r="D10" i="63822"/>
  <c r="D11" i="63822" s="1"/>
  <c r="I348" i="63733"/>
  <c r="Q9" i="63807"/>
  <c r="Q12" i="63807"/>
  <c r="P25" i="63807"/>
  <c r="I199" i="1336"/>
  <c r="F22" i="63733"/>
  <c r="F8" i="63733"/>
  <c r="I239" i="63733"/>
  <c r="I240" i="63733" s="1"/>
  <c r="I9" i="63733"/>
  <c r="I370" i="63733"/>
  <c r="I24" i="63733"/>
  <c r="F170" i="63733"/>
  <c r="H384" i="63733"/>
  <c r="B9" i="63822"/>
  <c r="B11" i="63822" s="1"/>
  <c r="D22" i="63822"/>
  <c r="D23" i="63822" s="1"/>
  <c r="I237" i="63733"/>
  <c r="D73" i="63821"/>
  <c r="Q381" i="63733"/>
  <c r="I9" i="63822"/>
  <c r="M381" i="63733"/>
  <c r="F173" i="63733"/>
  <c r="J177" i="63733"/>
  <c r="L207" i="63733"/>
  <c r="I228" i="63733"/>
  <c r="L352" i="63733"/>
  <c r="L87" i="63733"/>
  <c r="J86" i="63733"/>
  <c r="I332" i="63733"/>
  <c r="I369" i="63733"/>
  <c r="L369" i="63733"/>
  <c r="J368" i="63733"/>
  <c r="D304" i="63733"/>
  <c r="G169" i="63733"/>
  <c r="F167" i="63733"/>
  <c r="I118" i="1336"/>
  <c r="I412" i="63733"/>
  <c r="I207" i="63733"/>
  <c r="I87" i="63733"/>
  <c r="I50" i="63733"/>
  <c r="I49" i="63733"/>
  <c r="I374" i="63733"/>
  <c r="I366" i="63733"/>
  <c r="F279" i="1336" l="1"/>
  <c r="I15" i="63733"/>
  <c r="I45" i="63733"/>
  <c r="I16" i="63733"/>
  <c r="L16" i="63733"/>
  <c r="R9" i="63807"/>
  <c r="R57" i="63807"/>
  <c r="Q25" i="63807"/>
  <c r="R12" i="63807"/>
  <c r="T381" i="63733"/>
  <c r="P381" i="63733"/>
  <c r="P382" i="63733" s="1"/>
  <c r="J118" i="1336"/>
  <c r="I25" i="63733"/>
  <c r="F161" i="63733"/>
  <c r="L240" i="63733"/>
  <c r="F159" i="63733"/>
  <c r="I333" i="63733"/>
  <c r="I217" i="63733"/>
  <c r="I213" i="63733"/>
  <c r="H9" i="63822"/>
  <c r="M382" i="63733"/>
  <c r="D74" i="63821"/>
  <c r="C73" i="63821"/>
  <c r="Q383" i="63733"/>
  <c r="Q384" i="63733"/>
  <c r="I196" i="1336"/>
  <c r="L196" i="1336"/>
  <c r="F163" i="63733" l="1"/>
  <c r="F162" i="63733"/>
  <c r="I162" i="63733"/>
  <c r="S9" i="63807"/>
  <c r="S57" i="63807"/>
  <c r="S12" i="63807"/>
  <c r="S381" i="63733"/>
  <c r="S382" i="63733" s="1"/>
  <c r="W382" i="63733"/>
  <c r="AF381" i="63733"/>
  <c r="AI381" i="63733" s="1"/>
  <c r="AL381" i="63733" s="1"/>
  <c r="AO381" i="63733" s="1"/>
  <c r="AR381" i="63733" s="1"/>
  <c r="AU381" i="63733" s="1"/>
  <c r="AX381" i="63733" s="1"/>
  <c r="BA381" i="63733" s="1"/>
  <c r="BD381" i="63733" s="1"/>
  <c r="BG381" i="63733" s="1"/>
  <c r="BJ381" i="63733" s="1"/>
  <c r="T384" i="63733"/>
  <c r="R25" i="63807"/>
  <c r="C74" i="63821"/>
  <c r="C75" i="63821" s="1"/>
  <c r="D75" i="63821"/>
  <c r="T9" i="63807" l="1"/>
  <c r="T57" i="63807"/>
  <c r="U57" i="63807" s="1"/>
  <c r="T12" i="63807"/>
  <c r="U12" i="63807" s="1"/>
  <c r="S25" i="63807"/>
  <c r="AF294" i="63733"/>
  <c r="AI294" i="63733" s="1"/>
  <c r="F87" i="1336"/>
  <c r="T25" i="63807" l="1"/>
  <c r="AL294" i="63733"/>
  <c r="AO294" i="63733" s="1"/>
  <c r="AR294" i="63733" s="1"/>
  <c r="AU294" i="63733" s="1"/>
  <c r="AX294" i="63733" s="1"/>
  <c r="BA294" i="63733" s="1"/>
  <c r="BD294" i="63733" s="1"/>
  <c r="BG294" i="63733" s="1"/>
  <c r="BJ294" i="63733" s="1"/>
  <c r="E93" i="1336"/>
  <c r="F93" i="1336"/>
  <c r="H93" i="1336"/>
  <c r="P232" i="63733"/>
  <c r="P66" i="63733"/>
  <c r="M66" i="63733"/>
  <c r="AF303" i="63733" l="1"/>
  <c r="AI303" i="63733" s="1"/>
  <c r="P343" i="63733"/>
  <c r="AL303" i="63733" l="1"/>
  <c r="AO303" i="63733" s="1"/>
  <c r="AR303" i="63733" s="1"/>
  <c r="AU303" i="63733" s="1"/>
  <c r="AX303" i="63733" s="1"/>
  <c r="BA303" i="63733" s="1"/>
  <c r="BD303" i="63733" s="1"/>
  <c r="BG303" i="63733" s="1"/>
  <c r="BJ303" i="63733" s="1"/>
  <c r="Z50" i="63733"/>
  <c r="C205" i="63733" l="1"/>
  <c r="C212" i="63733" s="1"/>
  <c r="H423" i="63733"/>
  <c r="F423" i="63733"/>
  <c r="E423" i="63733"/>
  <c r="C423" i="63733"/>
  <c r="C424" i="63733" s="1"/>
  <c r="G368" i="63733"/>
  <c r="D368" i="63733"/>
  <c r="D283" i="63733"/>
  <c r="G283" i="63733"/>
  <c r="G86" i="63733"/>
  <c r="D86" i="63733"/>
  <c r="D90" i="63733"/>
  <c r="G90" i="63733"/>
  <c r="D287" i="63733"/>
  <c r="D293" i="63733" s="1"/>
  <c r="F287" i="63733"/>
  <c r="D372" i="63733"/>
  <c r="G372" i="63733"/>
  <c r="D82" i="63733"/>
  <c r="G82" i="63733"/>
  <c r="D279" i="63733"/>
  <c r="G279" i="63733"/>
  <c r="D364" i="63733"/>
  <c r="G364" i="63733"/>
  <c r="J365" i="63733" s="1"/>
  <c r="D63" i="63733"/>
  <c r="G70" i="63733" s="1"/>
  <c r="G63" i="63733"/>
  <c r="G104" i="63733" s="1"/>
  <c r="G88" i="63733" l="1"/>
  <c r="G287" i="63733"/>
  <c r="J87" i="63733"/>
  <c r="G423" i="63733"/>
  <c r="J369" i="63733"/>
  <c r="C2" i="63820"/>
  <c r="J70" i="63733"/>
  <c r="D295" i="63733"/>
  <c r="D302" i="63733"/>
  <c r="G302" i="63733"/>
  <c r="F293" i="63733"/>
  <c r="G205" i="63733"/>
  <c r="D423" i="63733"/>
  <c r="G239" i="63733" l="1"/>
  <c r="G9" i="63733"/>
  <c r="C9" i="63820"/>
  <c r="G293" i="63733"/>
  <c r="G295" i="63733" s="1"/>
  <c r="F294" i="63733"/>
  <c r="F295" i="63733"/>
  <c r="F304" i="63733"/>
  <c r="F305" i="63733" l="1"/>
  <c r="G304" i="63733"/>
  <c r="C410" i="63733" l="1"/>
  <c r="C412" i="63733" s="1"/>
  <c r="E410" i="63733"/>
  <c r="E412" i="63733" s="1"/>
  <c r="F410" i="63733"/>
  <c r="F412" i="63733" s="1"/>
  <c r="H410" i="63733"/>
  <c r="H179" i="1336" l="1"/>
  <c r="G179" i="1336" s="1"/>
  <c r="H172" i="1336"/>
  <c r="H136" i="1336"/>
  <c r="G136" i="1336" s="1"/>
  <c r="H132" i="1336"/>
  <c r="K36" i="63811" s="1"/>
  <c r="H115" i="1336"/>
  <c r="G115" i="1336" s="1"/>
  <c r="H101" i="1336"/>
  <c r="K342" i="63733"/>
  <c r="F281" i="63733"/>
  <c r="F280" i="63733"/>
  <c r="F285" i="63733"/>
  <c r="F366" i="63733"/>
  <c r="H366" i="63733"/>
  <c r="H233" i="63733"/>
  <c r="H227" i="63733"/>
  <c r="H84" i="63733"/>
  <c r="G318" i="63733"/>
  <c r="H342" i="63733"/>
  <c r="F343" i="63733"/>
  <c r="H67" i="63733"/>
  <c r="E177" i="63733"/>
  <c r="H177" i="63733"/>
  <c r="E152" i="63733"/>
  <c r="E205" i="63733"/>
  <c r="C288" i="63733"/>
  <c r="E288" i="63733"/>
  <c r="H437" i="63733"/>
  <c r="F65" i="63733"/>
  <c r="H65" i="63733"/>
  <c r="H7" i="63733"/>
  <c r="E110" i="1336"/>
  <c r="D110" i="1336" s="1"/>
  <c r="E56" i="1336"/>
  <c r="F56" i="1336"/>
  <c r="H56" i="1336"/>
  <c r="F88" i="1336"/>
  <c r="H35" i="63733" l="1"/>
  <c r="H280" i="1336" s="1"/>
  <c r="K229" i="63733"/>
  <c r="G172" i="1336"/>
  <c r="F55" i="1336"/>
  <c r="F77" i="1336"/>
  <c r="E239" i="63733"/>
  <c r="H240" i="63733" s="1"/>
  <c r="E9" i="63733"/>
  <c r="H16" i="63733" s="1"/>
  <c r="E158" i="63733"/>
  <c r="E8" i="63733"/>
  <c r="H15" i="63733" s="1"/>
  <c r="E212" i="63733"/>
  <c r="H215" i="63733"/>
  <c r="B16" i="63822"/>
  <c r="B17" i="63822" s="1"/>
  <c r="F95" i="63733"/>
  <c r="F104" i="63733" s="1"/>
  <c r="H228" i="63733"/>
  <c r="B22" i="63822"/>
  <c r="B23" i="63822" s="1"/>
  <c r="E237" i="63733"/>
  <c r="B6" i="63824"/>
  <c r="K37" i="63811"/>
  <c r="E227" i="63733"/>
  <c r="E35" i="63733" s="1"/>
  <c r="H197" i="63733"/>
  <c r="B83" i="63814"/>
  <c r="E172" i="63733"/>
  <c r="H174" i="63733" s="1"/>
  <c r="H185" i="63733"/>
  <c r="K6" i="63810"/>
  <c r="K18" i="63810"/>
  <c r="I231" i="63733"/>
  <c r="I233" i="63733" s="1"/>
  <c r="K233" i="63733"/>
  <c r="K65" i="63733"/>
  <c r="I67" i="63733"/>
  <c r="E87" i="1336"/>
  <c r="H113" i="1336"/>
  <c r="I65" i="63733"/>
  <c r="F342" i="63733"/>
  <c r="F344" i="63733" s="1"/>
  <c r="G86" i="1336"/>
  <c r="G88" i="1336"/>
  <c r="H45" i="63733" l="1"/>
  <c r="H217" i="63733"/>
  <c r="H216" i="63733"/>
  <c r="K216" i="63733"/>
  <c r="H198" i="63733"/>
  <c r="E45" i="63733"/>
  <c r="E280" i="1336"/>
  <c r="G55" i="1336"/>
  <c r="G77" i="1336"/>
  <c r="G78" i="1336" s="1"/>
  <c r="E173" i="63733"/>
  <c r="E34" i="63733"/>
  <c r="E159" i="63733"/>
  <c r="E22" i="63733"/>
  <c r="E213" i="63733"/>
  <c r="E24" i="63733"/>
  <c r="E25" i="63733" s="1"/>
  <c r="N233" i="63733"/>
  <c r="K197" i="63733"/>
  <c r="B14" i="63824"/>
  <c r="B7" i="63824"/>
  <c r="L231" i="63733"/>
  <c r="L233" i="63733" s="1"/>
  <c r="I197" i="63733"/>
  <c r="I198" i="63733" s="1"/>
  <c r="C44" i="63812"/>
  <c r="J197" i="63733"/>
  <c r="J88" i="1336"/>
  <c r="I87" i="1336"/>
  <c r="G87" i="1336"/>
  <c r="F113" i="1336"/>
  <c r="H114" i="1336"/>
  <c r="G332" i="63733"/>
  <c r="J86" i="1336"/>
  <c r="E279" i="1336" l="1"/>
  <c r="E44" i="63733"/>
  <c r="G113" i="1336"/>
  <c r="H49" i="63829"/>
  <c r="V172" i="1336"/>
  <c r="J55" i="1336"/>
  <c r="J77" i="1336"/>
  <c r="J78" i="1336" s="1"/>
  <c r="K209" i="63733"/>
  <c r="K198" i="63733"/>
  <c r="R203" i="63733"/>
  <c r="Q231" i="63733"/>
  <c r="Q197" i="63733"/>
  <c r="O231" i="63733"/>
  <c r="O197" i="63733" s="1"/>
  <c r="B15" i="63824"/>
  <c r="L197" i="63733"/>
  <c r="I88" i="1336"/>
  <c r="I77" i="1336" s="1"/>
  <c r="K4" i="63810"/>
  <c r="J87" i="1336"/>
  <c r="C259" i="63733"/>
  <c r="E259" i="63733"/>
  <c r="F259" i="63733"/>
  <c r="D259" i="63733"/>
  <c r="C152" i="63733"/>
  <c r="K199" i="63733" l="1"/>
  <c r="AD172" i="1336"/>
  <c r="Y172" i="1336"/>
  <c r="I78" i="1336"/>
  <c r="L78" i="1336"/>
  <c r="O209" i="63733"/>
  <c r="O210" i="63733" s="1"/>
  <c r="O198" i="63733"/>
  <c r="R209" i="63733"/>
  <c r="R210" i="63733" s="1"/>
  <c r="L209" i="63733"/>
  <c r="L210" i="63733" s="1"/>
  <c r="L198" i="63733"/>
  <c r="Q198" i="63733"/>
  <c r="C264" i="63733"/>
  <c r="C298" i="63733" s="1"/>
  <c r="C158" i="63733"/>
  <c r="I55" i="1336"/>
  <c r="M86" i="1336"/>
  <c r="AF172" i="1336" l="1"/>
  <c r="AG172" i="1336" s="1"/>
  <c r="C294" i="63733"/>
  <c r="C305" i="63733"/>
  <c r="O199" i="63733"/>
  <c r="R199" i="63733"/>
  <c r="L199" i="63733"/>
  <c r="R202" i="63733"/>
  <c r="R86" i="1336"/>
  <c r="R87" i="1336" s="1"/>
  <c r="M55" i="1336"/>
  <c r="P86" i="1336"/>
  <c r="P87" i="1336" s="1"/>
  <c r="M87" i="1336"/>
  <c r="M88" i="1336"/>
  <c r="M77" i="1336" s="1"/>
  <c r="M78" i="1336" s="1"/>
  <c r="H231" i="63733"/>
  <c r="AI172" i="1336" l="1"/>
  <c r="AE172" i="1336"/>
  <c r="M41" i="63818"/>
  <c r="P41" i="63818" s="1"/>
  <c r="Z85" i="63821"/>
  <c r="V85" i="63821"/>
  <c r="B58" i="63821"/>
  <c r="K58" i="63821" s="1"/>
  <c r="X85" i="63821"/>
  <c r="AC98" i="63821"/>
  <c r="K98" i="63821"/>
  <c r="S86" i="1336"/>
  <c r="U86" i="1336"/>
  <c r="AF1" i="63802"/>
  <c r="AC1" i="63802"/>
  <c r="Z1" i="63802"/>
  <c r="W1" i="63802"/>
  <c r="T1" i="63802"/>
  <c r="Q1" i="63802"/>
  <c r="P1" i="63802"/>
  <c r="O1" i="63802"/>
  <c r="N1" i="63802"/>
  <c r="M1" i="63802"/>
  <c r="L1" i="63802"/>
  <c r="K1" i="63802"/>
  <c r="J1" i="63802"/>
  <c r="I1" i="63802"/>
  <c r="H1" i="63802"/>
  <c r="G1" i="63802"/>
  <c r="F1" i="63802"/>
  <c r="E1" i="63802"/>
  <c r="D1" i="63802"/>
  <c r="C1" i="63802"/>
  <c r="B1" i="63802"/>
  <c r="AP80" i="63802"/>
  <c r="AP79" i="63802" s="1"/>
  <c r="AL80" i="63802"/>
  <c r="AO80" i="63802" s="1"/>
  <c r="AI79" i="63802"/>
  <c r="AF79" i="63802"/>
  <c r="Z79" i="63802"/>
  <c r="W79" i="63802"/>
  <c r="T79" i="63802"/>
  <c r="Q79" i="63802"/>
  <c r="N79" i="63802"/>
  <c r="K79" i="63802"/>
  <c r="AS74" i="63802"/>
  <c r="AS76" i="63802" s="1"/>
  <c r="AR74" i="63802"/>
  <c r="AR76" i="63802" s="1"/>
  <c r="AP74" i="63802"/>
  <c r="AP76" i="63802" s="1"/>
  <c r="AI74" i="63802"/>
  <c r="AI76" i="63802" s="1"/>
  <c r="AF74" i="63802"/>
  <c r="AF76" i="63802" s="1"/>
  <c r="AC74" i="63802"/>
  <c r="AC76" i="63802" s="1"/>
  <c r="Z74" i="63802"/>
  <c r="Z76" i="63802" s="1"/>
  <c r="W74" i="63802"/>
  <c r="W76" i="63802" s="1"/>
  <c r="T74" i="63802"/>
  <c r="T76" i="63802" s="1"/>
  <c r="Q74" i="63802"/>
  <c r="Q76" i="63802" s="1"/>
  <c r="N74" i="63802"/>
  <c r="N76" i="63802" s="1"/>
  <c r="K74" i="63802"/>
  <c r="K76" i="63802" s="1"/>
  <c r="AU72" i="63802"/>
  <c r="AX72" i="63802" s="1"/>
  <c r="BA72" i="63802" s="1"/>
  <c r="BD72" i="63802" s="1"/>
  <c r="BG72" i="63802" s="1"/>
  <c r="BH72" i="63802" s="1"/>
  <c r="BI72" i="63802" s="1"/>
  <c r="BJ72" i="63802" s="1"/>
  <c r="BK72" i="63802" s="1"/>
  <c r="BL72" i="63802" s="1"/>
  <c r="BM72" i="63802" s="1"/>
  <c r="BN72" i="63802" s="1"/>
  <c r="BO72" i="63802" s="1"/>
  <c r="AP72" i="63802"/>
  <c r="AS72" i="63802" s="1"/>
  <c r="AV72" i="63802" s="1"/>
  <c r="AP70" i="63802"/>
  <c r="AS70" i="63802" s="1"/>
  <c r="AV70" i="63802" s="1"/>
  <c r="AF70" i="63802"/>
  <c r="AI70" i="63802" s="1"/>
  <c r="AL70" i="63802" s="1"/>
  <c r="AO70" i="63802" s="1"/>
  <c r="AR70" i="63802" s="1"/>
  <c r="AU70" i="63802" s="1"/>
  <c r="AX70" i="63802" s="1"/>
  <c r="BA70" i="63802" s="1"/>
  <c r="BD70" i="63802" s="1"/>
  <c r="BG70" i="63802" s="1"/>
  <c r="BH70" i="63802" s="1"/>
  <c r="BI70" i="63802" s="1"/>
  <c r="BJ70" i="63802" s="1"/>
  <c r="BK70" i="63802" s="1"/>
  <c r="BL70" i="63802" s="1"/>
  <c r="BM70" i="63802" s="1"/>
  <c r="BN70" i="63802" s="1"/>
  <c r="BO70" i="63802" s="1"/>
  <c r="AC70" i="63802"/>
  <c r="Z70" i="63802"/>
  <c r="W70" i="63802"/>
  <c r="T70" i="63802"/>
  <c r="Q70" i="63802"/>
  <c r="N70" i="63802"/>
  <c r="K70" i="63802"/>
  <c r="AU64" i="63802"/>
  <c r="AP55" i="63802"/>
  <c r="AS55" i="63802" s="1"/>
  <c r="AS59" i="63802"/>
  <c r="AR59" i="63802"/>
  <c r="AJ48" i="63802"/>
  <c r="AS45" i="63802"/>
  <c r="AR45" i="63802"/>
  <c r="AP45" i="63802"/>
  <c r="AO45" i="63802"/>
  <c r="AL45" i="63802"/>
  <c r="AI45" i="63802"/>
  <c r="AG45" i="63802"/>
  <c r="AD45" i="63802"/>
  <c r="AA45" i="63802"/>
  <c r="Z45" i="63802"/>
  <c r="X45" i="63802"/>
  <c r="U45" i="63802"/>
  <c r="T45" i="63802"/>
  <c r="R45" i="63802"/>
  <c r="Q45" i="63802"/>
  <c r="O45" i="63802"/>
  <c r="N45" i="63802"/>
  <c r="L45" i="63802"/>
  <c r="I45" i="63802"/>
  <c r="E45" i="63802"/>
  <c r="D45" i="63802"/>
  <c r="AS44" i="63802"/>
  <c r="AR44" i="63802"/>
  <c r="AP44" i="63802"/>
  <c r="AO44" i="63802"/>
  <c r="AL44" i="63802"/>
  <c r="AJ44" i="63802"/>
  <c r="AI44" i="63802"/>
  <c r="AS43" i="63802"/>
  <c r="AM43" i="63802"/>
  <c r="AD43" i="63802"/>
  <c r="O43" i="63802"/>
  <c r="N43" i="63802"/>
  <c r="L43" i="63802"/>
  <c r="K43" i="63802"/>
  <c r="I43" i="63802"/>
  <c r="H43" i="63802"/>
  <c r="F43" i="63802"/>
  <c r="E43" i="63802"/>
  <c r="D43" i="63802"/>
  <c r="AP59" i="63802"/>
  <c r="AL172" i="1336" l="1"/>
  <c r="AO172" i="1336" s="1"/>
  <c r="AR172" i="1336" s="1"/>
  <c r="AU172" i="1336" s="1"/>
  <c r="AX172" i="1336" s="1"/>
  <c r="BA172" i="1336" s="1"/>
  <c r="BD172" i="1336" s="1"/>
  <c r="BG172" i="1336" s="1"/>
  <c r="BJ172" i="1336" s="1"/>
  <c r="AH172" i="1336"/>
  <c r="V86" i="1336"/>
  <c r="X86" i="1336"/>
  <c r="X87" i="1336" s="1"/>
  <c r="S87" i="1336"/>
  <c r="H199" i="63733"/>
  <c r="D129" i="63821"/>
  <c r="E143" i="63821"/>
  <c r="U87" i="1336"/>
  <c r="R88" i="1336"/>
  <c r="W87" i="1336"/>
  <c r="P88" i="1336"/>
  <c r="AS80" i="63802"/>
  <c r="AV80" i="63802" s="1"/>
  <c r="AV79" i="63802" s="1"/>
  <c r="AO79" i="63802"/>
  <c r="AR80" i="63802"/>
  <c r="AR79" i="63802" s="1"/>
  <c r="AL79" i="63802"/>
  <c r="AO59" i="63802"/>
  <c r="BI59" i="63802"/>
  <c r="AU65" i="63802"/>
  <c r="AV55" i="63802"/>
  <c r="Y86" i="1336" l="1"/>
  <c r="AA87" i="1336"/>
  <c r="V87" i="1336"/>
  <c r="R55" i="1336"/>
  <c r="R77" i="1336"/>
  <c r="P77" i="1336"/>
  <c r="S88" i="1336"/>
  <c r="U88" i="1336"/>
  <c r="U55" i="1336" s="1"/>
  <c r="U54" i="1336" s="1"/>
  <c r="AC86" i="1336"/>
  <c r="AB86" i="1336" s="1"/>
  <c r="AB87" i="1336" s="1"/>
  <c r="AS79" i="63802"/>
  <c r="AU80" i="63802"/>
  <c r="AX80" i="63802" s="1"/>
  <c r="AU59" i="63802"/>
  <c r="AU66" i="63802"/>
  <c r="Y87" i="1336" l="1"/>
  <c r="AD86" i="1336"/>
  <c r="AD87" i="1336" s="1"/>
  <c r="V88" i="1336"/>
  <c r="X88" i="1336"/>
  <c r="AA88" i="1336"/>
  <c r="AA55" i="1336" s="1"/>
  <c r="AF86" i="1336"/>
  <c r="AU79" i="63802"/>
  <c r="BA80" i="63802"/>
  <c r="AX79" i="63802"/>
  <c r="C4" i="63807" l="1"/>
  <c r="I18" i="63808"/>
  <c r="AE86" i="1336"/>
  <c r="AE87" i="1336" s="1"/>
  <c r="AG86" i="1336"/>
  <c r="AG87" i="1336" s="1"/>
  <c r="X55" i="1336"/>
  <c r="X54" i="1336" s="1"/>
  <c r="X77" i="1336"/>
  <c r="AF87" i="1336"/>
  <c r="Y88" i="1336"/>
  <c r="AI86" i="1336"/>
  <c r="BD80" i="63802"/>
  <c r="BA79" i="63802"/>
  <c r="AC55" i="1336" l="1"/>
  <c r="D13" i="63842"/>
  <c r="W12" i="63836"/>
  <c r="X12" i="63836" s="1"/>
  <c r="AH86" i="1336"/>
  <c r="AH87" i="1336" s="1"/>
  <c r="C20" i="63807"/>
  <c r="P11" i="63832"/>
  <c r="R11" i="63832" s="1"/>
  <c r="AD88" i="1336"/>
  <c r="AD125" i="1336" s="1"/>
  <c r="AI87" i="1336"/>
  <c r="AF88" i="1336"/>
  <c r="AG88" i="1336" s="1"/>
  <c r="AL86" i="1336"/>
  <c r="BG80" i="63802"/>
  <c r="BD79" i="63802"/>
  <c r="AB55" i="1336" l="1"/>
  <c r="AC93" i="1336"/>
  <c r="W13" i="63836"/>
  <c r="R14" i="63836" s="1"/>
  <c r="R13" i="63836"/>
  <c r="AE88" i="1336"/>
  <c r="AL87" i="1336"/>
  <c r="AI88" i="1336"/>
  <c r="AH88" i="1336" s="1"/>
  <c r="AO86" i="1336"/>
  <c r="AR86" i="1336" s="1"/>
  <c r="BG79" i="63802"/>
  <c r="BH80" i="63802"/>
  <c r="AL88" i="1336" l="1"/>
  <c r="AO87" i="1336"/>
  <c r="AR87" i="1336"/>
  <c r="AU86" i="1336"/>
  <c r="BI80" i="63802"/>
  <c r="BH79" i="63802"/>
  <c r="AO88" i="1336" l="1"/>
  <c r="AR88" i="1336" s="1"/>
  <c r="AU88" i="1336" s="1"/>
  <c r="AX88" i="1336" s="1"/>
  <c r="BA88" i="1336" s="1"/>
  <c r="BD88" i="1336" s="1"/>
  <c r="BG88" i="1336" s="1"/>
  <c r="BJ88" i="1336" s="1"/>
  <c r="AU87" i="1336"/>
  <c r="AX86" i="1336"/>
  <c r="BJ80" i="63802"/>
  <c r="BI79" i="63802"/>
  <c r="BA86" i="1336" l="1"/>
  <c r="BA87" i="1336" s="1"/>
  <c r="AX87" i="1336"/>
  <c r="BK80" i="63802"/>
  <c r="BJ79" i="63802"/>
  <c r="BD86" i="1336" l="1"/>
  <c r="BK79" i="63802"/>
  <c r="BL80" i="63802"/>
  <c r="H66" i="63733"/>
  <c r="C33" i="63733"/>
  <c r="C7" i="63733"/>
  <c r="BD87" i="1336" l="1"/>
  <c r="BG86" i="1336"/>
  <c r="BM80" i="63802"/>
  <c r="BL79" i="63802"/>
  <c r="BG87" i="1336" l="1"/>
  <c r="BJ86" i="1336"/>
  <c r="BJ87" i="1336" s="1"/>
  <c r="BM79" i="63802"/>
  <c r="BN80" i="63802"/>
  <c r="BN79" i="63802" l="1"/>
  <c r="BO80" i="63802"/>
  <c r="BO79" i="63802" s="1"/>
  <c r="D44" i="63807" l="1"/>
  <c r="T49" i="63733" l="1"/>
  <c r="T50" i="63733"/>
  <c r="F288" i="63733"/>
  <c r="AL43" i="63802" l="1"/>
  <c r="AR43" i="63802"/>
  <c r="C282" i="63733"/>
  <c r="F352" i="63733"/>
  <c r="F179" i="1336"/>
  <c r="F180" i="1336" s="1"/>
  <c r="F172" i="1336"/>
  <c r="F122" i="1336"/>
  <c r="F127" i="1336" s="1"/>
  <c r="F114" i="1336"/>
  <c r="F101" i="1336"/>
  <c r="F92" i="63733"/>
  <c r="F84" i="63733"/>
  <c r="F83" i="63733"/>
  <c r="F36" i="63733"/>
  <c r="E114" i="1336"/>
  <c r="E179" i="1336"/>
  <c r="D179" i="1336" s="1"/>
  <c r="E172" i="1336"/>
  <c r="D172" i="1336" s="1"/>
  <c r="E122" i="1336"/>
  <c r="D122" i="1336" s="1"/>
  <c r="E101" i="1336"/>
  <c r="E136" i="1336"/>
  <c r="D136" i="1336" s="1"/>
  <c r="E424" i="63733"/>
  <c r="H424" i="63733" s="1"/>
  <c r="E374" i="63733"/>
  <c r="E366" i="63733"/>
  <c r="E280" i="63733"/>
  <c r="E92" i="63733"/>
  <c r="E84" i="63733"/>
  <c r="E73" i="63733"/>
  <c r="F374" i="63733"/>
  <c r="F365" i="63733"/>
  <c r="E285" i="63733"/>
  <c r="E289" i="63733"/>
  <c r="E275" i="63733"/>
  <c r="E277" i="63733" s="1"/>
  <c r="E281" i="63733"/>
  <c r="J66" i="63733"/>
  <c r="F373" i="63733"/>
  <c r="D346" i="63733"/>
  <c r="F424" i="63733"/>
  <c r="N412" i="63733"/>
  <c r="Q412" i="63733" s="1"/>
  <c r="T412" i="63733" s="1"/>
  <c r="W412" i="63733" s="1"/>
  <c r="Z412" i="63733" s="1"/>
  <c r="AC412" i="63733" s="1"/>
  <c r="AF412" i="63733" s="1"/>
  <c r="AI412" i="63733" s="1"/>
  <c r="F411" i="63733"/>
  <c r="C374" i="63733"/>
  <c r="C366" i="63733"/>
  <c r="D350" i="63733"/>
  <c r="G353" i="63733" s="1"/>
  <c r="D318" i="63733"/>
  <c r="D319" i="63733" s="1"/>
  <c r="C280" i="63733"/>
  <c r="G177" i="63733"/>
  <c r="C172" i="63733"/>
  <c r="C8" i="63733"/>
  <c r="C92" i="63733"/>
  <c r="C84" i="63733"/>
  <c r="C20" i="63733"/>
  <c r="C73" i="63733"/>
  <c r="G66" i="63733"/>
  <c r="C36" i="63733"/>
  <c r="F10" i="63733"/>
  <c r="E10" i="63733"/>
  <c r="C10" i="63733"/>
  <c r="C34" i="63733"/>
  <c r="AG185" i="1336"/>
  <c r="AG44" i="63802"/>
  <c r="E6" i="63811"/>
  <c r="X44" i="63802"/>
  <c r="C6" i="63811"/>
  <c r="U44" i="63802"/>
  <c r="R44" i="63802"/>
  <c r="L44" i="63802"/>
  <c r="I44" i="63802"/>
  <c r="H44" i="63802"/>
  <c r="F44" i="63802"/>
  <c r="H36" i="63811"/>
  <c r="G36" i="63811"/>
  <c r="G37" i="63811" s="1"/>
  <c r="E36" i="63811"/>
  <c r="E37" i="63811" s="1"/>
  <c r="D36" i="63811"/>
  <c r="D37" i="63811" s="1"/>
  <c r="C36" i="63811"/>
  <c r="C37" i="63811" s="1"/>
  <c r="F3" i="63810"/>
  <c r="E3" i="63810"/>
  <c r="D3" i="63810"/>
  <c r="C3" i="63810"/>
  <c r="AP43" i="63802"/>
  <c r="AJ43" i="63802"/>
  <c r="H55" i="1336"/>
  <c r="E55" i="1336"/>
  <c r="AJ45" i="63802"/>
  <c r="C5" i="63811"/>
  <c r="H45" i="63802"/>
  <c r="F45" i="63802"/>
  <c r="H127" i="1336"/>
  <c r="D280" i="63733"/>
  <c r="K67" i="63733"/>
  <c r="H68" i="63733"/>
  <c r="F64" i="63733"/>
  <c r="F73" i="63733" s="1"/>
  <c r="C370" i="63733"/>
  <c r="F7" i="63733"/>
  <c r="F91" i="63733"/>
  <c r="E36" i="63733"/>
  <c r="F33" i="63733"/>
  <c r="E7" i="63733"/>
  <c r="H14" i="63733" s="1"/>
  <c r="F289" i="63733"/>
  <c r="E33" i="63733"/>
  <c r="E189" i="1336"/>
  <c r="D189" i="1336" s="1"/>
  <c r="E132" i="1336"/>
  <c r="E154" i="1336"/>
  <c r="D154" i="1336" s="1"/>
  <c r="F189" i="1336"/>
  <c r="F154" i="1336"/>
  <c r="F132" i="1336"/>
  <c r="C173" i="63733" l="1"/>
  <c r="F174" i="63733"/>
  <c r="E43" i="63733"/>
  <c r="E281" i="1336"/>
  <c r="E46" i="63733"/>
  <c r="F12" i="63733"/>
  <c r="F282" i="1336" s="1"/>
  <c r="H102" i="1336"/>
  <c r="D101" i="1336"/>
  <c r="C37" i="63733"/>
  <c r="I102" i="1336"/>
  <c r="G101" i="1336"/>
  <c r="F278" i="1336"/>
  <c r="J4" i="63810"/>
  <c r="E49" i="63829"/>
  <c r="D114" i="1336"/>
  <c r="F49" i="63829"/>
  <c r="G114" i="1336"/>
  <c r="G49" i="63829" s="1"/>
  <c r="G127" i="1336"/>
  <c r="J36" i="63811"/>
  <c r="J37" i="63811" s="1"/>
  <c r="E133" i="1336"/>
  <c r="G122" i="1336"/>
  <c r="E37" i="63733"/>
  <c r="E278" i="1336"/>
  <c r="E173" i="1336"/>
  <c r="D173" i="1336" s="1"/>
  <c r="F173" i="1336"/>
  <c r="F182" i="1336" s="1"/>
  <c r="F281" i="1336"/>
  <c r="C12" i="63733"/>
  <c r="E12" i="63733"/>
  <c r="E47" i="63733" s="1"/>
  <c r="U43" i="63802"/>
  <c r="AA43" i="63802"/>
  <c r="R43" i="63802"/>
  <c r="X43" i="63802"/>
  <c r="T43" i="63802"/>
  <c r="F102" i="1336"/>
  <c r="I354" i="63733"/>
  <c r="E72" i="63733"/>
  <c r="F71" i="63733"/>
  <c r="F72" i="63733" s="1"/>
  <c r="C4" i="63811"/>
  <c r="C29" i="63811" s="1"/>
  <c r="F18" i="63810"/>
  <c r="F36" i="63811"/>
  <c r="F37" i="63811" s="1"/>
  <c r="H37" i="63811"/>
  <c r="I36" i="63811"/>
  <c r="AF44" i="63802"/>
  <c r="F6" i="63811"/>
  <c r="N65" i="63733"/>
  <c r="N67" i="63733"/>
  <c r="N234" i="1336" s="1"/>
  <c r="G17" i="63820"/>
  <c r="L65" i="63733"/>
  <c r="L67" i="63733"/>
  <c r="L234" i="1336" s="1"/>
  <c r="L24" i="63733"/>
  <c r="L25" i="63733" s="1"/>
  <c r="K55" i="63733"/>
  <c r="W185" i="1336"/>
  <c r="V185" i="1336" s="1"/>
  <c r="C18" i="63810"/>
  <c r="E18" i="63810"/>
  <c r="W44" i="63802"/>
  <c r="D18" i="63810"/>
  <c r="AL412" i="63733"/>
  <c r="AO412" i="63733" s="1"/>
  <c r="AR412" i="63733" s="1"/>
  <c r="AU412" i="63733" s="1"/>
  <c r="AX412" i="63733" s="1"/>
  <c r="BA412" i="63733" s="1"/>
  <c r="BD412" i="63733" s="1"/>
  <c r="BG412" i="63733" s="1"/>
  <c r="BJ412" i="63733" s="1"/>
  <c r="E118" i="1336"/>
  <c r="D118" i="1336" s="1"/>
  <c r="H18" i="63810"/>
  <c r="I18" i="63810"/>
  <c r="G18" i="63810"/>
  <c r="J18" i="63810"/>
  <c r="F272" i="63733"/>
  <c r="K50" i="63733"/>
  <c r="K49" i="63733"/>
  <c r="AJ46" i="63802"/>
  <c r="E127" i="1336"/>
  <c r="D127" i="1336" s="1"/>
  <c r="G93" i="1336"/>
  <c r="AM48" i="63802"/>
  <c r="F118" i="1336"/>
  <c r="N49" i="63733"/>
  <c r="N50" i="63733"/>
  <c r="E180" i="1336"/>
  <c r="D180" i="1336" s="1"/>
  <c r="H131" i="1336"/>
  <c r="H138" i="1336"/>
  <c r="D288" i="63733"/>
  <c r="D410" i="63733"/>
  <c r="D412" i="63733" s="1"/>
  <c r="C88" i="63733"/>
  <c r="E284" i="63733"/>
  <c r="F284" i="63733"/>
  <c r="F369" i="63733"/>
  <c r="K424" i="63733"/>
  <c r="G354" i="63733"/>
  <c r="J343" i="63733"/>
  <c r="J49" i="63733" s="1"/>
  <c r="K68" i="63733"/>
  <c r="D366" i="63733"/>
  <c r="F413" i="63733"/>
  <c r="F87" i="63733"/>
  <c r="AA44" i="63802"/>
  <c r="D44" i="63802"/>
  <c r="Z72" i="63802"/>
  <c r="AS46" i="63802"/>
  <c r="L46" i="63802"/>
  <c r="T46" i="63802"/>
  <c r="Z46" i="63802"/>
  <c r="AF46" i="63802"/>
  <c r="AL46" i="63802"/>
  <c r="L48" i="63802"/>
  <c r="R48" i="63802"/>
  <c r="N44" i="63802"/>
  <c r="W48" i="63802"/>
  <c r="AS48" i="63802"/>
  <c r="Q43" i="63802"/>
  <c r="W43" i="63802"/>
  <c r="AC43" i="63802"/>
  <c r="H48" i="63802"/>
  <c r="AR46" i="63802"/>
  <c r="AR48" i="63802"/>
  <c r="E44" i="63802"/>
  <c r="AC48" i="63802"/>
  <c r="AO48" i="63802"/>
  <c r="K45" i="63802"/>
  <c r="W45" i="63802"/>
  <c r="O44" i="63802"/>
  <c r="D6" i="63811"/>
  <c r="D4" i="63811" s="1"/>
  <c r="D29" i="63811" s="1"/>
  <c r="K44" i="63802"/>
  <c r="AC44" i="63802"/>
  <c r="I46" i="63802"/>
  <c r="R46" i="63802"/>
  <c r="X46" i="63802"/>
  <c r="AD46" i="63802"/>
  <c r="F48" i="63802"/>
  <c r="K48" i="63802"/>
  <c r="Q48" i="63802"/>
  <c r="AA48" i="63802"/>
  <c r="AG48" i="63802"/>
  <c r="Q44" i="63802"/>
  <c r="AF43" i="63802"/>
  <c r="AE43" i="63802" s="1"/>
  <c r="O46" i="63802"/>
  <c r="U46" i="63802"/>
  <c r="AA46" i="63802"/>
  <c r="AG46" i="63802"/>
  <c r="AO46" i="63802"/>
  <c r="N46" i="63802"/>
  <c r="I48" i="63802"/>
  <c r="N48" i="63802"/>
  <c r="T48" i="63802"/>
  <c r="X48" i="63802"/>
  <c r="AD48" i="63802"/>
  <c r="AI48" i="63802"/>
  <c r="AP48" i="63802"/>
  <c r="E5" i="63811"/>
  <c r="E4" i="63811" s="1"/>
  <c r="E29" i="63811" s="1"/>
  <c r="Z43" i="63802"/>
  <c r="AG43" i="63802"/>
  <c r="F46" i="63802"/>
  <c r="Q46" i="63802"/>
  <c r="W46" i="63802"/>
  <c r="AC46" i="63802"/>
  <c r="AI46" i="63802"/>
  <c r="F131" i="1336"/>
  <c r="F133" i="1336" s="1"/>
  <c r="AP46" i="63802"/>
  <c r="E48" i="63802"/>
  <c r="O48" i="63802"/>
  <c r="U48" i="63802"/>
  <c r="Z48" i="63802"/>
  <c r="AF48" i="63802"/>
  <c r="AL48" i="63802"/>
  <c r="AO43" i="63802"/>
  <c r="E425" i="63733"/>
  <c r="E426" i="63733" s="1"/>
  <c r="D10" i="63733"/>
  <c r="C425" i="63733"/>
  <c r="C426" i="63733" s="1"/>
  <c r="D36" i="63733"/>
  <c r="I424" i="63733"/>
  <c r="L424" i="63733" s="1"/>
  <c r="O424" i="63733" s="1"/>
  <c r="C284" i="63733"/>
  <c r="D7" i="63733"/>
  <c r="D33" i="63733"/>
  <c r="H94" i="1336"/>
  <c r="F41" i="63802"/>
  <c r="D73" i="63733"/>
  <c r="D92" i="63733"/>
  <c r="D84" i="63733"/>
  <c r="D374" i="63733"/>
  <c r="C289" i="63733"/>
  <c r="C285" i="63733"/>
  <c r="C275" i="63733"/>
  <c r="C277" i="63733" s="1"/>
  <c r="C272" i="63733"/>
  <c r="D264" i="63733"/>
  <c r="C281" i="63733"/>
  <c r="F67" i="63733"/>
  <c r="I131" i="1336"/>
  <c r="E138" i="1336"/>
  <c r="F138" i="1336"/>
  <c r="I138" i="1336" s="1"/>
  <c r="K56" i="63733" l="1"/>
  <c r="F6" i="1336"/>
  <c r="C6" i="1336"/>
  <c r="C18" i="63733"/>
  <c r="D18" i="63733" s="1"/>
  <c r="E39" i="63733"/>
  <c r="E282" i="1336"/>
  <c r="E6" i="1336"/>
  <c r="V43" i="63802"/>
  <c r="S43" i="63802"/>
  <c r="E9" i="63811"/>
  <c r="F9" i="63811"/>
  <c r="G9" i="63811"/>
  <c r="H10" i="63811" s="1"/>
  <c r="Y43" i="63802"/>
  <c r="AB43" i="63802"/>
  <c r="F354" i="63733"/>
  <c r="F355" i="63733" s="1"/>
  <c r="L215" i="63733"/>
  <c r="R424" i="63733"/>
  <c r="U424" i="63733" s="1"/>
  <c r="X424" i="63733" s="1"/>
  <c r="AA424" i="63733" s="1"/>
  <c r="AD424" i="63733" s="1"/>
  <c r="AG424" i="63733" s="1"/>
  <c r="F275" i="63733"/>
  <c r="F277" i="63733" s="1"/>
  <c r="L22" i="63733"/>
  <c r="K102" i="63821"/>
  <c r="I102" i="63821"/>
  <c r="G102" i="63821"/>
  <c r="Q67" i="63733"/>
  <c r="Q65" i="63733"/>
  <c r="Z185" i="1336"/>
  <c r="I37" i="63811"/>
  <c r="N68" i="63733"/>
  <c r="N55" i="63733"/>
  <c r="G24" i="63820"/>
  <c r="G18" i="63820"/>
  <c r="G65" i="63733"/>
  <c r="E17" i="63820"/>
  <c r="H17" i="63820"/>
  <c r="H18" i="63820" s="1"/>
  <c r="J18" i="63820" s="1"/>
  <c r="L55" i="63733"/>
  <c r="L56" i="63733" s="1"/>
  <c r="L68" i="63733"/>
  <c r="E46" i="63802"/>
  <c r="E182" i="1336"/>
  <c r="D182" i="1336" s="1"/>
  <c r="H46" i="63802"/>
  <c r="F4" i="63810"/>
  <c r="F5" i="63810" s="1"/>
  <c r="AC45" i="63802"/>
  <c r="D4" i="63810"/>
  <c r="D5" i="63810" s="1"/>
  <c r="F194" i="1336"/>
  <c r="D305" i="63733"/>
  <c r="D294" i="63733"/>
  <c r="D303" i="63733"/>
  <c r="J50" i="63733"/>
  <c r="M343" i="63733"/>
  <c r="I127" i="1336"/>
  <c r="AC50" i="63733"/>
  <c r="N424" i="63733"/>
  <c r="D424" i="63733"/>
  <c r="F5" i="63811"/>
  <c r="F4" i="63811" s="1"/>
  <c r="F29" i="63811" s="1"/>
  <c r="D34" i="63733"/>
  <c r="D37" i="63733" s="1"/>
  <c r="D88" i="63733"/>
  <c r="K46" i="63802"/>
  <c r="G284" i="63733"/>
  <c r="AF259" i="63733"/>
  <c r="I4" i="63810"/>
  <c r="F163" i="1336"/>
  <c r="G437" i="63733"/>
  <c r="D425" i="63733"/>
  <c r="D426" i="63733" s="1"/>
  <c r="N72" i="63802"/>
  <c r="T72" i="63802"/>
  <c r="D41" i="63802"/>
  <c r="Z44" i="63802"/>
  <c r="AM42" i="63802"/>
  <c r="AP57" i="63802"/>
  <c r="AP42" i="63802"/>
  <c r="AP56" i="63802" s="1"/>
  <c r="K41" i="63802"/>
  <c r="AP49" i="63802"/>
  <c r="AC54" i="63802"/>
  <c r="AC49" i="63802"/>
  <c r="E4" i="63810"/>
  <c r="E5" i="63810" s="1"/>
  <c r="C4" i="63810"/>
  <c r="C5" i="63810" s="1"/>
  <c r="AL49" i="63802"/>
  <c r="AL54" i="63802"/>
  <c r="AS49" i="63802"/>
  <c r="AS54" i="63802"/>
  <c r="E41" i="63802"/>
  <c r="H41" i="63802"/>
  <c r="E163" i="1336"/>
  <c r="D163" i="1336" s="1"/>
  <c r="Q72" i="63802"/>
  <c r="AO54" i="63802"/>
  <c r="AO55" i="63802" s="1"/>
  <c r="AO49" i="63802"/>
  <c r="AF54" i="63802"/>
  <c r="AF49" i="63802"/>
  <c r="AS57" i="63802"/>
  <c r="AS42" i="63802"/>
  <c r="AS56" i="63802" s="1"/>
  <c r="AJ41" i="63802"/>
  <c r="R41" i="63802"/>
  <c r="Q41" i="63802"/>
  <c r="L41" i="63802"/>
  <c r="AI54" i="63802"/>
  <c r="AI49" i="63802"/>
  <c r="AD44" i="63802"/>
  <c r="T44" i="63802"/>
  <c r="AR54" i="63802"/>
  <c r="AR55" i="63802" s="1"/>
  <c r="AR49" i="63802"/>
  <c r="D46" i="63802"/>
  <c r="D284" i="63733"/>
  <c r="G3" i="63811"/>
  <c r="F32" i="1336"/>
  <c r="F139" i="1336"/>
  <c r="H332" i="63733"/>
  <c r="K344" i="63733"/>
  <c r="F425" i="63733"/>
  <c r="F426" i="63733" s="1"/>
  <c r="I41" i="63802"/>
  <c r="J3" i="63811"/>
  <c r="D370" i="63733"/>
  <c r="H4" i="63810"/>
  <c r="D8" i="63733"/>
  <c r="D12" i="63733" s="1"/>
  <c r="D281" i="63733"/>
  <c r="D275" i="63733"/>
  <c r="D277" i="63733" s="1"/>
  <c r="D289" i="63733"/>
  <c r="D285" i="63733"/>
  <c r="C22" i="63733"/>
  <c r="F68" i="63733"/>
  <c r="G67" i="63733"/>
  <c r="F55" i="63733"/>
  <c r="F56" i="63733" s="1"/>
  <c r="H118" i="1336"/>
  <c r="E72" i="1336" l="1"/>
  <c r="E215" i="1336"/>
  <c r="F40" i="1336"/>
  <c r="F215" i="1336"/>
  <c r="T65" i="63733"/>
  <c r="Q234" i="1336"/>
  <c r="BG259" i="63733"/>
  <c r="L217" i="63733"/>
  <c r="L216" i="63733"/>
  <c r="N56" i="63733"/>
  <c r="H354" i="63733"/>
  <c r="F69" i="1336"/>
  <c r="F67" i="1336"/>
  <c r="F65" i="1336"/>
  <c r="F198" i="1336"/>
  <c r="F205" i="1336" s="1"/>
  <c r="F10" i="1336"/>
  <c r="F61" i="1336" s="1"/>
  <c r="F64" i="1336"/>
  <c r="F62" i="1336"/>
  <c r="F50" i="63829"/>
  <c r="BD259" i="63733"/>
  <c r="BA259" i="63733"/>
  <c r="E50" i="63829"/>
  <c r="O212" i="63733"/>
  <c r="P212" i="63733" s="1"/>
  <c r="R213" i="63733"/>
  <c r="G118" i="1336"/>
  <c r="AC185" i="1336"/>
  <c r="AB185" i="1336" s="1"/>
  <c r="Y185" i="1336"/>
  <c r="C64" i="1336"/>
  <c r="C62" i="1336"/>
  <c r="C68" i="1336"/>
  <c r="AP41" i="63802"/>
  <c r="C61" i="1336"/>
  <c r="AX259" i="63733"/>
  <c r="C67" i="1336"/>
  <c r="C69" i="1336"/>
  <c r="C65" i="1336"/>
  <c r="AR41" i="63802"/>
  <c r="E120" i="1336"/>
  <c r="E209" i="1336"/>
  <c r="E64" i="1336"/>
  <c r="E65" i="1336"/>
  <c r="E62" i="1336"/>
  <c r="D6" i="1336"/>
  <c r="E198" i="1336"/>
  <c r="E205" i="1336" s="1"/>
  <c r="E67" i="1336"/>
  <c r="E69" i="1336"/>
  <c r="E10" i="1336"/>
  <c r="F42" i="63802"/>
  <c r="L42" i="63802"/>
  <c r="E42" i="63802"/>
  <c r="E47" i="63802" s="1"/>
  <c r="F33" i="1336"/>
  <c r="F204" i="1336"/>
  <c r="F200" i="1336"/>
  <c r="F7" i="1336"/>
  <c r="F207" i="1336"/>
  <c r="F209" i="1336"/>
  <c r="F208" i="1336"/>
  <c r="AS41" i="63802"/>
  <c r="F120" i="1336"/>
  <c r="F201" i="1336"/>
  <c r="F202" i="1336"/>
  <c r="F140" i="1336"/>
  <c r="F210" i="1336"/>
  <c r="AI259" i="63733"/>
  <c r="L161" i="63733"/>
  <c r="J16" i="63810"/>
  <c r="E140" i="1336"/>
  <c r="E202" i="1336"/>
  <c r="E204" i="1336"/>
  <c r="E208" i="1336"/>
  <c r="E210" i="1336"/>
  <c r="E201" i="1336"/>
  <c r="E207" i="1336"/>
  <c r="E200" i="1336"/>
  <c r="R65" i="63733"/>
  <c r="R67" i="63733"/>
  <c r="F23" i="63733"/>
  <c r="AU259" i="63733"/>
  <c r="Q55" i="63733"/>
  <c r="Q68" i="63733"/>
  <c r="N102" i="63821"/>
  <c r="J28" i="63811"/>
  <c r="J30" i="63811" s="1"/>
  <c r="J7" i="63811"/>
  <c r="H3" i="63811"/>
  <c r="I3" i="63811"/>
  <c r="G28" i="63811"/>
  <c r="G30" i="63811" s="1"/>
  <c r="G7" i="63811"/>
  <c r="AR259" i="63733"/>
  <c r="E24" i="63820"/>
  <c r="E18" i="63820"/>
  <c r="K332" i="63733"/>
  <c r="L344" i="63733"/>
  <c r="L236" i="1336" s="1"/>
  <c r="L342" i="63733"/>
  <c r="AO259" i="63733"/>
  <c r="E194" i="1336"/>
  <c r="AF45" i="63802"/>
  <c r="H42" i="63802"/>
  <c r="H47" i="63802" s="1"/>
  <c r="E9" i="63810"/>
  <c r="E11" i="63810" s="1"/>
  <c r="E7" i="63810"/>
  <c r="C7" i="63810"/>
  <c r="C9" i="63810"/>
  <c r="C11" i="63810" s="1"/>
  <c r="D7" i="63810"/>
  <c r="D9" i="63810"/>
  <c r="D11" i="63810" s="1"/>
  <c r="F9" i="63810"/>
  <c r="F11" i="63810" s="1"/>
  <c r="F7" i="63810"/>
  <c r="AL259" i="63733"/>
  <c r="AI49" i="63733"/>
  <c r="AR49" i="63733"/>
  <c r="AI50" i="63733"/>
  <c r="C357" i="63733"/>
  <c r="AL42" i="63802"/>
  <c r="AL47" i="63802" s="1"/>
  <c r="F165" i="1336"/>
  <c r="F286" i="1336" s="1"/>
  <c r="F105" i="1336"/>
  <c r="AF49" i="63733"/>
  <c r="AF50" i="63733"/>
  <c r="Q424" i="63733"/>
  <c r="N342" i="63733"/>
  <c r="T41" i="63802"/>
  <c r="S41" i="63802" s="1"/>
  <c r="I68" i="63733"/>
  <c r="J65" i="63733"/>
  <c r="K42" i="63802"/>
  <c r="K47" i="63802" s="1"/>
  <c r="F233" i="63733"/>
  <c r="F231" i="63733"/>
  <c r="K231" i="63733"/>
  <c r="AP47" i="63802"/>
  <c r="AF72" i="63802"/>
  <c r="AS47" i="63802"/>
  <c r="K72" i="63802"/>
  <c r="AO42" i="63802"/>
  <c r="AO47" i="63802" s="1"/>
  <c r="U41" i="63802"/>
  <c r="E165" i="1336"/>
  <c r="E286" i="1336" s="1"/>
  <c r="AR57" i="63802"/>
  <c r="AU44" i="63802"/>
  <c r="O41" i="63802"/>
  <c r="AR42" i="63802"/>
  <c r="AR47" i="63802" s="1"/>
  <c r="D42" i="63802"/>
  <c r="E139" i="1336"/>
  <c r="E33" i="1336"/>
  <c r="N344" i="63733"/>
  <c r="N236" i="1336" s="1"/>
  <c r="F59" i="1336"/>
  <c r="G68" i="63733"/>
  <c r="G55" i="63733"/>
  <c r="G56" i="63733" s="1"/>
  <c r="J67" i="63733"/>
  <c r="I55" i="63733"/>
  <c r="I56" i="63733" s="1"/>
  <c r="U213" i="63733" l="1"/>
  <c r="R234" i="1336"/>
  <c r="O159" i="63733"/>
  <c r="BJ259" i="63733"/>
  <c r="L163" i="63733"/>
  <c r="L162" i="63733"/>
  <c r="E22" i="1336"/>
  <c r="E68" i="1336" s="1"/>
  <c r="E11" i="1336"/>
  <c r="N57" i="63733"/>
  <c r="F22" i="1336"/>
  <c r="F68" i="1336" s="1"/>
  <c r="F28" i="63733"/>
  <c r="F29" i="63733" s="1"/>
  <c r="F11" i="1336"/>
  <c r="O24" i="63733"/>
  <c r="O25" i="63733" s="1"/>
  <c r="AF185" i="1336"/>
  <c r="AE185" i="1336" s="1"/>
  <c r="F190" i="1336"/>
  <c r="E190" i="1336"/>
  <c r="D165" i="1336"/>
  <c r="D69" i="1336"/>
  <c r="D64" i="1336"/>
  <c r="D67" i="1336"/>
  <c r="D62" i="1336"/>
  <c r="D65" i="1336"/>
  <c r="D10" i="1336"/>
  <c r="D61" i="1336" s="1"/>
  <c r="E61" i="1336"/>
  <c r="F109" i="1336"/>
  <c r="R42" i="63802"/>
  <c r="O42" i="63802"/>
  <c r="I42" i="63802"/>
  <c r="U42" i="63802"/>
  <c r="E28" i="63733"/>
  <c r="E29" i="63733" s="1"/>
  <c r="K333" i="63733"/>
  <c r="K354" i="63733"/>
  <c r="O215" i="63733"/>
  <c r="R212" i="63733"/>
  <c r="R55" i="63733"/>
  <c r="C26" i="63733"/>
  <c r="C360" i="63733"/>
  <c r="D9" i="63811"/>
  <c r="AX66" i="63733"/>
  <c r="BA66" i="63733" s="1"/>
  <c r="BD66" i="63733" s="1"/>
  <c r="BG66" i="63733" s="1"/>
  <c r="BJ66" i="63733" s="1"/>
  <c r="O344" i="63733"/>
  <c r="Q342" i="63733"/>
  <c r="Q344" i="63733"/>
  <c r="Q236" i="1336" s="1"/>
  <c r="K103" i="63821"/>
  <c r="I103" i="63821"/>
  <c r="AR50" i="63733"/>
  <c r="Q71" i="63733"/>
  <c r="Q72" i="63733" s="1"/>
  <c r="Q56" i="63733"/>
  <c r="H28" i="63811"/>
  <c r="H30" i="63811" s="1"/>
  <c r="H7" i="63811"/>
  <c r="I28" i="63811"/>
  <c r="I30" i="63811" s="1"/>
  <c r="I7" i="63811"/>
  <c r="M56" i="63733"/>
  <c r="J56" i="63733"/>
  <c r="J55" i="63733"/>
  <c r="L332" i="63733"/>
  <c r="L354" i="63733" s="1"/>
  <c r="L355" i="63733" s="1"/>
  <c r="AO49" i="63733"/>
  <c r="AO50" i="63733"/>
  <c r="E51" i="1336"/>
  <c r="C407" i="63733"/>
  <c r="C408" i="63733" s="1"/>
  <c r="C358" i="63733"/>
  <c r="F54" i="1336"/>
  <c r="E211" i="1336"/>
  <c r="F211" i="1336"/>
  <c r="I57" i="63733"/>
  <c r="AL49" i="63733"/>
  <c r="AL50" i="63733"/>
  <c r="E193" i="1336"/>
  <c r="F193" i="1336"/>
  <c r="E59" i="1336"/>
  <c r="O342" i="63733"/>
  <c r="N332" i="63733"/>
  <c r="H55" i="63733"/>
  <c r="J205" i="63733"/>
  <c r="M67" i="63733"/>
  <c r="M65" i="63733"/>
  <c r="N42" i="63802"/>
  <c r="N47" i="63802" s="1"/>
  <c r="Q42" i="63802"/>
  <c r="Q47" i="63802" s="1"/>
  <c r="E105" i="1336"/>
  <c r="K69" i="63802"/>
  <c r="T424" i="63733"/>
  <c r="H232" i="63733"/>
  <c r="N231" i="63733"/>
  <c r="J231" i="63733"/>
  <c r="G231" i="63733"/>
  <c r="J68" i="63733"/>
  <c r="D205" i="63733"/>
  <c r="AR56" i="63802"/>
  <c r="T42" i="63802"/>
  <c r="F83" i="1336"/>
  <c r="F84" i="1336" s="1"/>
  <c r="F44" i="1336"/>
  <c r="M197" i="63733"/>
  <c r="J233" i="63733"/>
  <c r="F57" i="63733"/>
  <c r="X213" i="63733" l="1"/>
  <c r="R159" i="63733"/>
  <c r="R158" i="63733" s="1"/>
  <c r="O158" i="63733"/>
  <c r="M55" i="63733"/>
  <c r="M71" i="63733" s="1"/>
  <c r="M234" i="1336"/>
  <c r="O332" i="63733"/>
  <c r="O354" i="63733" s="1"/>
  <c r="O236" i="1336"/>
  <c r="BJ50" i="63733"/>
  <c r="BJ49" i="63733"/>
  <c r="O217" i="63733"/>
  <c r="O216" i="63733"/>
  <c r="BG49" i="63733"/>
  <c r="BG50" i="63733"/>
  <c r="D22" i="1336"/>
  <c r="J16" i="63820"/>
  <c r="G119" i="63821"/>
  <c r="F119" i="63821" s="1"/>
  <c r="N60" i="63733"/>
  <c r="Q57" i="63733"/>
  <c r="Q60" i="63733" s="1"/>
  <c r="AI185" i="1336"/>
  <c r="BD49" i="63733"/>
  <c r="BD50" i="63733"/>
  <c r="BA49" i="63733"/>
  <c r="BA50" i="63733"/>
  <c r="J9" i="63733"/>
  <c r="J16" i="63733" s="1"/>
  <c r="J228" i="63733"/>
  <c r="F111" i="1336"/>
  <c r="F142" i="1336" s="1"/>
  <c r="F143" i="1336" s="1"/>
  <c r="G109" i="1336"/>
  <c r="V186" i="1336"/>
  <c r="AX49" i="63733"/>
  <c r="AX50" i="63733"/>
  <c r="E109" i="1336"/>
  <c r="E80" i="1336"/>
  <c r="E83" i="1336"/>
  <c r="F80" i="1336"/>
  <c r="F81" i="1336" s="1"/>
  <c r="D28" i="63733"/>
  <c r="D51" i="1336"/>
  <c r="F99" i="1336"/>
  <c r="F100" i="1336" s="1"/>
  <c r="AS69" i="63802"/>
  <c r="F26" i="1336"/>
  <c r="R24" i="63733"/>
  <c r="R25" i="63733" s="1"/>
  <c r="R215" i="63733"/>
  <c r="N354" i="63733"/>
  <c r="N333" i="63733"/>
  <c r="J198" i="63733"/>
  <c r="J239" i="63733"/>
  <c r="J240" i="63733" s="1"/>
  <c r="I199" i="63733"/>
  <c r="L195" i="63733" s="1"/>
  <c r="R344" i="63733"/>
  <c r="R342" i="63733"/>
  <c r="F137" i="1336"/>
  <c r="F27" i="1336"/>
  <c r="D16" i="63810"/>
  <c r="D14" i="63810" s="1"/>
  <c r="L333" i="63733"/>
  <c r="Q332" i="63733"/>
  <c r="E22" i="63822"/>
  <c r="E23" i="63822" s="1"/>
  <c r="J237" i="63733"/>
  <c r="I58" i="63821"/>
  <c r="N103" i="63821"/>
  <c r="AU50" i="63733"/>
  <c r="AU49" i="63733"/>
  <c r="J32" i="63811"/>
  <c r="N197" i="63733"/>
  <c r="M68" i="63733"/>
  <c r="E99" i="1336"/>
  <c r="AR69" i="63802"/>
  <c r="E137" i="1336"/>
  <c r="E27" i="1336"/>
  <c r="J19" i="63810"/>
  <c r="J20" i="63810" s="1"/>
  <c r="H56" i="63733"/>
  <c r="M231" i="63733"/>
  <c r="M233" i="63733"/>
  <c r="N69" i="63802"/>
  <c r="Q69" i="63802"/>
  <c r="G232" i="63733"/>
  <c r="G259" i="63733" s="1"/>
  <c r="E54" i="1336"/>
  <c r="W424" i="63733"/>
  <c r="T69" i="63802"/>
  <c r="AP69" i="63802"/>
  <c r="T342" i="63733"/>
  <c r="H207" i="63733"/>
  <c r="W72" i="63802"/>
  <c r="AC72" i="63802"/>
  <c r="S42" i="63802"/>
  <c r="T47" i="63802"/>
  <c r="AP71" i="63802"/>
  <c r="AS71" i="63802" s="1"/>
  <c r="T344" i="63733"/>
  <c r="T236" i="1336" s="1"/>
  <c r="E347" i="63733"/>
  <c r="H333" i="63733"/>
  <c r="C9" i="63811"/>
  <c r="H352" i="63733"/>
  <c r="H355" i="63733" s="1"/>
  <c r="G350" i="63733"/>
  <c r="G370" i="63733" s="1"/>
  <c r="H10" i="63733"/>
  <c r="H17" i="63733" s="1"/>
  <c r="I7" i="63733"/>
  <c r="I14" i="63733" s="1"/>
  <c r="I64" i="63733"/>
  <c r="I73" i="63733" s="1"/>
  <c r="AA213" i="63733" l="1"/>
  <c r="AD213" i="63733" s="1"/>
  <c r="R161" i="63733"/>
  <c r="R163" i="63733" s="1"/>
  <c r="R22" i="63733"/>
  <c r="R23" i="63733" s="1"/>
  <c r="U159" i="63733"/>
  <c r="U158" i="63733" s="1"/>
  <c r="O333" i="63733"/>
  <c r="R236" i="1336"/>
  <c r="O161" i="63733"/>
  <c r="O22" i="63733"/>
  <c r="P158" i="63733"/>
  <c r="AL185" i="1336"/>
  <c r="AH185" i="1336"/>
  <c r="R217" i="63733"/>
  <c r="R216" i="63733"/>
  <c r="D68" i="1336"/>
  <c r="N334" i="63733"/>
  <c r="M16" i="63820"/>
  <c r="G32" i="63823"/>
  <c r="K334" i="63733"/>
  <c r="G126" i="63821"/>
  <c r="Y186" i="1336"/>
  <c r="F129" i="1336"/>
  <c r="E111" i="1336"/>
  <c r="D111" i="1336" s="1"/>
  <c r="D109" i="1336"/>
  <c r="E103" i="1336"/>
  <c r="D99" i="1336"/>
  <c r="W344" i="63733"/>
  <c r="D80" i="1336"/>
  <c r="D83" i="1336"/>
  <c r="F103" i="1336"/>
  <c r="F145" i="1336"/>
  <c r="H12" i="63733"/>
  <c r="Q333" i="63733"/>
  <c r="Q354" i="63733"/>
  <c r="I71" i="63733"/>
  <c r="I72" i="63733" s="1"/>
  <c r="N198" i="63733"/>
  <c r="N209" i="63733"/>
  <c r="Q209" i="63733"/>
  <c r="Q210" i="63733" s="1"/>
  <c r="R332" i="63733"/>
  <c r="R357" i="63733"/>
  <c r="Z41" i="63802"/>
  <c r="D13" i="63810"/>
  <c r="L334" i="63733"/>
  <c r="C16" i="63810"/>
  <c r="C13" i="63810" s="1"/>
  <c r="G105" i="63821"/>
  <c r="S437" i="63733"/>
  <c r="U342" i="63733"/>
  <c r="U344" i="63733"/>
  <c r="U236" i="1336" s="1"/>
  <c r="J33" i="63811"/>
  <c r="J39" i="63811" s="1"/>
  <c r="J40" i="63811"/>
  <c r="F357" i="63733"/>
  <c r="F360" i="63733" s="1"/>
  <c r="S344" i="63733"/>
  <c r="S342" i="63733"/>
  <c r="P197" i="63733"/>
  <c r="H57" i="63733"/>
  <c r="K57" i="63733"/>
  <c r="L357" i="63733"/>
  <c r="I357" i="63733"/>
  <c r="I360" i="63733" s="1"/>
  <c r="I361" i="63733" s="1"/>
  <c r="E100" i="1336"/>
  <c r="D100" i="1336" s="1"/>
  <c r="I3" i="63810"/>
  <c r="I5" i="63810" s="1"/>
  <c r="H3" i="63810"/>
  <c r="G233" i="63733"/>
  <c r="P231" i="63733"/>
  <c r="P233" i="63733"/>
  <c r="AR61" i="63802"/>
  <c r="AR62" i="63802" s="1"/>
  <c r="Z424" i="63733"/>
  <c r="W342" i="63733"/>
  <c r="T231" i="63733"/>
  <c r="AS58" i="63802"/>
  <c r="T332" i="63733"/>
  <c r="D340" i="63733"/>
  <c r="D347" i="63733"/>
  <c r="I33" i="63733"/>
  <c r="H64" i="63733"/>
  <c r="H73" i="63733" s="1"/>
  <c r="G10" i="63733"/>
  <c r="G352" i="63733"/>
  <c r="G355" i="63733" s="1"/>
  <c r="H365" i="63733"/>
  <c r="G264" i="63733"/>
  <c r="T233" i="63733"/>
  <c r="H425" i="63733"/>
  <c r="H411" i="63733"/>
  <c r="E16" i="63810"/>
  <c r="AO61" i="63802"/>
  <c r="AO62" i="63802" s="1"/>
  <c r="AL61" i="63802"/>
  <c r="AL62" i="63802" s="1"/>
  <c r="AG213" i="63733" l="1"/>
  <c r="X159" i="63733"/>
  <c r="AA159" i="63733" s="1"/>
  <c r="R162" i="63733"/>
  <c r="W236" i="1336"/>
  <c r="S236" i="1336"/>
  <c r="U161" i="63733"/>
  <c r="U22" i="63733"/>
  <c r="U23" i="63733" s="1"/>
  <c r="O163" i="63733"/>
  <c r="O162" i="63733"/>
  <c r="AO185" i="1336"/>
  <c r="AR185" i="1336" s="1"/>
  <c r="AU185" i="1336" s="1"/>
  <c r="AX185" i="1336" s="1"/>
  <c r="BA185" i="1336" s="1"/>
  <c r="BD185" i="1336" s="1"/>
  <c r="BG185" i="1336" s="1"/>
  <c r="BJ185" i="1336" s="1"/>
  <c r="G120" i="63821"/>
  <c r="F120" i="63821" s="1"/>
  <c r="T333" i="63733"/>
  <c r="T400" i="63733"/>
  <c r="R333" i="63733"/>
  <c r="Q334" i="63733"/>
  <c r="G127" i="63821" s="1"/>
  <c r="E145" i="1336"/>
  <c r="I37" i="63733"/>
  <c r="I43" i="63733"/>
  <c r="F18" i="63733"/>
  <c r="G18" i="63733" s="1"/>
  <c r="H47" i="63733"/>
  <c r="N199" i="63733"/>
  <c r="G122" i="63821" s="1"/>
  <c r="F122" i="63821" s="1"/>
  <c r="Q199" i="63733"/>
  <c r="T354" i="63733"/>
  <c r="X342" i="63733"/>
  <c r="X344" i="63733"/>
  <c r="AF186" i="1336"/>
  <c r="AG186" i="1336" s="1"/>
  <c r="H6" i="1336"/>
  <c r="H39" i="63733"/>
  <c r="H282" i="1336"/>
  <c r="D3" i="63811"/>
  <c r="D7" i="63811" s="1"/>
  <c r="R354" i="63733"/>
  <c r="J199" i="63733"/>
  <c r="H71" i="63733"/>
  <c r="H72" i="63733" s="1"/>
  <c r="V83" i="63821"/>
  <c r="R26" i="63733"/>
  <c r="R407" i="63733"/>
  <c r="R408" i="63733" s="1"/>
  <c r="R360" i="63733"/>
  <c r="L360" i="63733"/>
  <c r="L361" i="63733" s="1"/>
  <c r="W41" i="63802"/>
  <c r="V41" i="63802" s="1"/>
  <c r="C14" i="63810"/>
  <c r="V342" i="63733"/>
  <c r="U332" i="63733"/>
  <c r="V344" i="63733"/>
  <c r="U231" i="63733"/>
  <c r="U233" i="63733"/>
  <c r="F26" i="63733"/>
  <c r="F407" i="63733"/>
  <c r="S332" i="63733"/>
  <c r="S233" i="63733"/>
  <c r="S197" i="63733"/>
  <c r="S209" i="63733" s="1"/>
  <c r="S231" i="63733"/>
  <c r="E142" i="1336"/>
  <c r="J3" i="63810"/>
  <c r="J5" i="63810" s="1"/>
  <c r="H403" i="63733"/>
  <c r="E129" i="1336"/>
  <c r="D129" i="1336" s="1"/>
  <c r="AR58" i="63802"/>
  <c r="E13" i="63810"/>
  <c r="E14" i="63810"/>
  <c r="H5" i="63810"/>
  <c r="I9" i="63810"/>
  <c r="I11" i="63810" s="1"/>
  <c r="I7" i="63810"/>
  <c r="G285" i="63733"/>
  <c r="G303" i="63733"/>
  <c r="G294" i="63733"/>
  <c r="G305" i="63733"/>
  <c r="AL72" i="63802"/>
  <c r="AC424" i="63733"/>
  <c r="Z342" i="63733"/>
  <c r="G366" i="63733"/>
  <c r="AA41" i="63802"/>
  <c r="AO72" i="63802"/>
  <c r="T197" i="63733"/>
  <c r="W231" i="63733"/>
  <c r="Z42" i="63802"/>
  <c r="AC41" i="63802"/>
  <c r="AO58" i="63802"/>
  <c r="AP58" i="63802"/>
  <c r="W332" i="63733"/>
  <c r="Z344" i="63733"/>
  <c r="Z236" i="1336" s="1"/>
  <c r="D32" i="63811"/>
  <c r="W233" i="63733"/>
  <c r="F282" i="63733"/>
  <c r="H373" i="63733"/>
  <c r="G410" i="63733"/>
  <c r="G412" i="63733" s="1"/>
  <c r="H374" i="63733"/>
  <c r="H36" i="63733"/>
  <c r="H83" i="63733"/>
  <c r="G7" i="63733"/>
  <c r="F16" i="63810"/>
  <c r="H426" i="63733"/>
  <c r="G425" i="63733"/>
  <c r="G426" i="63733" s="1"/>
  <c r="G365" i="63733"/>
  <c r="G64" i="63733"/>
  <c r="G73" i="63733" s="1"/>
  <c r="AD159" i="63733" l="1"/>
  <c r="AG159" i="63733" s="1"/>
  <c r="H45" i="1336"/>
  <c r="H215" i="1336"/>
  <c r="X236" i="1336"/>
  <c r="V236" i="1336"/>
  <c r="Z332" i="63733"/>
  <c r="Z354" i="63733" s="1"/>
  <c r="N49" i="63836" a="1"/>
  <c r="N49" i="63836" s="1"/>
  <c r="U163" i="63733"/>
  <c r="U162" i="63733"/>
  <c r="AE186" i="1336"/>
  <c r="R334" i="63733"/>
  <c r="W354" i="63733"/>
  <c r="W400" i="63733"/>
  <c r="W401" i="63733" s="1"/>
  <c r="AA344" i="63733"/>
  <c r="AA342" i="63733"/>
  <c r="AI186" i="1336"/>
  <c r="AH186" i="1336" s="1"/>
  <c r="H281" i="1336"/>
  <c r="H46" i="63733"/>
  <c r="H72" i="1336"/>
  <c r="V332" i="63733"/>
  <c r="V354" i="63733" s="1"/>
  <c r="U354" i="63733"/>
  <c r="U333" i="63733"/>
  <c r="T209" i="63733"/>
  <c r="T198" i="63733"/>
  <c r="T334" i="63733"/>
  <c r="E143" i="1336"/>
  <c r="D143" i="1336" s="1"/>
  <c r="D142" i="1336"/>
  <c r="X231" i="63733"/>
  <c r="X233" i="63733"/>
  <c r="Y344" i="63733"/>
  <c r="Y342" i="63733"/>
  <c r="X332" i="63733"/>
  <c r="X354" i="63733" s="1"/>
  <c r="H50" i="63829"/>
  <c r="G6" i="1336"/>
  <c r="H69" i="1336"/>
  <c r="H10" i="1336"/>
  <c r="H23" i="1336" s="1"/>
  <c r="H62" i="1336"/>
  <c r="H198" i="1336"/>
  <c r="H205" i="1336" s="1"/>
  <c r="H65" i="1336"/>
  <c r="H64" i="1336"/>
  <c r="H67" i="1336"/>
  <c r="U197" i="63733"/>
  <c r="V231" i="63733"/>
  <c r="V197" i="63733"/>
  <c r="V209" i="63733" s="1"/>
  <c r="V233" i="63733"/>
  <c r="D28" i="63811"/>
  <c r="D30" i="63811" s="1"/>
  <c r="R27" i="63733"/>
  <c r="F27" i="63733"/>
  <c r="F20" i="63733"/>
  <c r="R361" i="63733"/>
  <c r="G71" i="63733"/>
  <c r="G72" i="63733" s="1"/>
  <c r="F409" i="63733"/>
  <c r="F408" i="63733"/>
  <c r="D33" i="63811"/>
  <c r="D39" i="63811" s="1"/>
  <c r="D40" i="63811"/>
  <c r="J13" i="63810"/>
  <c r="F13" i="63810"/>
  <c r="F14" i="63810"/>
  <c r="D19" i="63810"/>
  <c r="D20" i="63810" s="1"/>
  <c r="AD1" i="63802"/>
  <c r="J14" i="63810"/>
  <c r="J9" i="63810"/>
  <c r="J11" i="63810" s="1"/>
  <c r="J7" i="63810"/>
  <c r="H7" i="63810"/>
  <c r="H9" i="63810"/>
  <c r="H11" i="63810" s="1"/>
  <c r="AM46" i="63802"/>
  <c r="AF424" i="63733"/>
  <c r="AI424" i="63733" s="1"/>
  <c r="AL424" i="63733" s="1"/>
  <c r="AO424" i="63733" s="1"/>
  <c r="AR424" i="63733" s="1"/>
  <c r="AU424" i="63733" s="1"/>
  <c r="AX424" i="63733" s="1"/>
  <c r="BA424" i="63733" s="1"/>
  <c r="BD424" i="63733" s="1"/>
  <c r="BG424" i="63733" s="1"/>
  <c r="BJ424" i="63733" s="1"/>
  <c r="Z69" i="63802"/>
  <c r="G411" i="63733"/>
  <c r="AC342" i="63733"/>
  <c r="AB41" i="63802"/>
  <c r="G281" i="63733"/>
  <c r="G280" i="63733"/>
  <c r="W197" i="63733"/>
  <c r="Z231" i="63733"/>
  <c r="F78" i="1336"/>
  <c r="AF41" i="63802"/>
  <c r="Z47" i="63802"/>
  <c r="AC344" i="63733"/>
  <c r="AD41" i="63802"/>
  <c r="G84" i="63733"/>
  <c r="G83" i="63733"/>
  <c r="G57" i="63733"/>
  <c r="AU74" i="63802"/>
  <c r="AU76" i="63802" s="1"/>
  <c r="H92" i="63733"/>
  <c r="H33" i="63733"/>
  <c r="H43" i="63733" s="1"/>
  <c r="H91" i="63733"/>
  <c r="G36" i="63733"/>
  <c r="G281" i="1336" s="1"/>
  <c r="G373" i="63733"/>
  <c r="G374" i="63733"/>
  <c r="Z233" i="63733"/>
  <c r="AC231" i="63733" l="1"/>
  <c r="AA236" i="1336"/>
  <c r="AB344" i="63733"/>
  <c r="AB342" i="63733"/>
  <c r="AC236" i="1336"/>
  <c r="AC332" i="63733"/>
  <c r="AC354" i="63733" s="1"/>
  <c r="G62" i="1336"/>
  <c r="G215" i="1336"/>
  <c r="Y236" i="1336"/>
  <c r="Z333" i="63733"/>
  <c r="O49" i="63836" a="1"/>
  <c r="O49" i="63836" s="1"/>
  <c r="Z197" i="63733"/>
  <c r="Z209" i="63733" s="1"/>
  <c r="N48" i="63836" a="1"/>
  <c r="N48" i="63836" s="1"/>
  <c r="AA332" i="63733"/>
  <c r="AD342" i="63733"/>
  <c r="AD344" i="63733"/>
  <c r="AD236" i="1336" s="1"/>
  <c r="AL186" i="1336"/>
  <c r="X333" i="63733"/>
  <c r="X334" i="63733" s="1"/>
  <c r="H22" i="1336"/>
  <c r="H68" i="1336" s="1"/>
  <c r="T199" i="63733"/>
  <c r="T201" i="63733" s="1"/>
  <c r="AA231" i="63733"/>
  <c r="AA233" i="63733"/>
  <c r="AA197" i="63733" s="1"/>
  <c r="W209" i="63733"/>
  <c r="W198" i="63733"/>
  <c r="G67" i="1336"/>
  <c r="G64" i="1336"/>
  <c r="G69" i="1336"/>
  <c r="U209" i="63733"/>
  <c r="U210" i="63733" s="1"/>
  <c r="U198" i="63733"/>
  <c r="U338" i="63733"/>
  <c r="U334" i="63733"/>
  <c r="U337" i="63733"/>
  <c r="T336" i="63733"/>
  <c r="G134" i="63821"/>
  <c r="H61" i="1336"/>
  <c r="Y231" i="63733"/>
  <c r="Y197" i="63733"/>
  <c r="Y209" i="63733" s="1"/>
  <c r="Y233" i="63733"/>
  <c r="G50" i="63829"/>
  <c r="X197" i="63733"/>
  <c r="G65" i="1336"/>
  <c r="Y332" i="63733"/>
  <c r="Y354" i="63733" s="1"/>
  <c r="G10" i="1336"/>
  <c r="G61" i="1336" s="1"/>
  <c r="H37" i="63733"/>
  <c r="H278" i="1336"/>
  <c r="C3" i="63811"/>
  <c r="C7" i="63811" s="1"/>
  <c r="E3" i="63811"/>
  <c r="E28" i="63811" s="1"/>
  <c r="E30" i="63811" s="1"/>
  <c r="F75" i="63733"/>
  <c r="F21" i="63733"/>
  <c r="U239" i="63733"/>
  <c r="U237" i="63733"/>
  <c r="U212" i="63733"/>
  <c r="Q10" i="63733"/>
  <c r="Q366" i="63733"/>
  <c r="Q374" i="63733"/>
  <c r="H404" i="63733"/>
  <c r="H405" i="63733" s="1"/>
  <c r="K384" i="63733"/>
  <c r="K383" i="63733"/>
  <c r="H207" i="1336"/>
  <c r="H201" i="1336"/>
  <c r="H210" i="1336"/>
  <c r="H204" i="1336"/>
  <c r="H200" i="1336"/>
  <c r="H209" i="1336"/>
  <c r="H208" i="1336"/>
  <c r="H202" i="1336"/>
  <c r="K16" i="63810"/>
  <c r="G288" i="63733"/>
  <c r="AF342" i="63733"/>
  <c r="H120" i="1336"/>
  <c r="AC42" i="63802"/>
  <c r="AU41" i="63802"/>
  <c r="AE41" i="63802"/>
  <c r="AG41" i="63802"/>
  <c r="W42" i="63802"/>
  <c r="H7" i="1336"/>
  <c r="AF344" i="63733"/>
  <c r="AF236" i="1336" s="1"/>
  <c r="C32" i="63811"/>
  <c r="AC233" i="63733"/>
  <c r="AC197" i="63733" s="1"/>
  <c r="AC198" i="63733" s="1"/>
  <c r="E32" i="63811"/>
  <c r="G33" i="63733"/>
  <c r="G278" i="1336" s="1"/>
  <c r="G91" i="63733"/>
  <c r="G92" i="63733"/>
  <c r="G289" i="63733"/>
  <c r="AB231" i="63733" l="1"/>
  <c r="AB197" i="63733"/>
  <c r="AB209" i="63733" s="1"/>
  <c r="AB233" i="63733"/>
  <c r="AB332" i="63733"/>
  <c r="AB236" i="1336"/>
  <c r="O48" i="63836" a="1"/>
  <c r="O48" i="63836" s="1"/>
  <c r="P49" i="63836" a="1"/>
  <c r="P49" i="63836" s="1"/>
  <c r="AO186" i="1336"/>
  <c r="AR186" i="1336" s="1"/>
  <c r="AU186" i="1336" s="1"/>
  <c r="AX186" i="1336" s="1"/>
  <c r="BA186" i="1336" s="1"/>
  <c r="BD186" i="1336" s="1"/>
  <c r="BG186" i="1336" s="1"/>
  <c r="BJ186" i="1336" s="1"/>
  <c r="AG342" i="63733"/>
  <c r="AG344" i="63733"/>
  <c r="AG236" i="1336" s="1"/>
  <c r="AA333" i="63733"/>
  <c r="AA334" i="63733" s="1"/>
  <c r="AA354" i="63733"/>
  <c r="Z198" i="63733"/>
  <c r="Z199" i="63733" s="1"/>
  <c r="AA198" i="63733"/>
  <c r="AB198" i="63733" s="1"/>
  <c r="AF332" i="63733"/>
  <c r="AI344" i="63733"/>
  <c r="AD233" i="63733"/>
  <c r="AD197" i="63733" s="1"/>
  <c r="AD209" i="63733" s="1"/>
  <c r="AD231" i="63733"/>
  <c r="AD332" i="63733"/>
  <c r="AD354" i="63733" s="1"/>
  <c r="AE342" i="63733"/>
  <c r="AE344" i="63733"/>
  <c r="G22" i="1336"/>
  <c r="U240" i="63733"/>
  <c r="X240" i="63733"/>
  <c r="X198" i="63733"/>
  <c r="X199" i="63733" s="1"/>
  <c r="X209" i="63733"/>
  <c r="X210" i="63733" s="1"/>
  <c r="G136" i="63821"/>
  <c r="Q281" i="1336"/>
  <c r="X350" i="63733"/>
  <c r="X338" i="63733"/>
  <c r="W199" i="63733"/>
  <c r="U199" i="63733"/>
  <c r="U24" i="63733"/>
  <c r="U25" i="63733" s="1"/>
  <c r="U215" i="63733"/>
  <c r="U220" i="63733"/>
  <c r="E71" i="63818"/>
  <c r="Q12" i="63733"/>
  <c r="C28" i="63811"/>
  <c r="C30" i="63811" s="1"/>
  <c r="E7" i="63811"/>
  <c r="AA42" i="63802"/>
  <c r="AA47" i="63802" s="1"/>
  <c r="H28" i="63733"/>
  <c r="F78" i="63733"/>
  <c r="F54" i="63733" s="1"/>
  <c r="F76" i="63733"/>
  <c r="B5" i="63820" s="1"/>
  <c r="F10" i="63822"/>
  <c r="F11" i="63822" s="1"/>
  <c r="H11" i="1336"/>
  <c r="E33" i="63811"/>
  <c r="E39" i="63811" s="1"/>
  <c r="E40" i="63811"/>
  <c r="C33" i="63811"/>
  <c r="C39" i="63811" s="1"/>
  <c r="C40" i="63811"/>
  <c r="C19" i="63810"/>
  <c r="C20" i="63810" s="1"/>
  <c r="K366" i="63733"/>
  <c r="N383" i="63733"/>
  <c r="N384" i="63733"/>
  <c r="AI342" i="63733"/>
  <c r="E19" i="63810"/>
  <c r="E20" i="63810" s="1"/>
  <c r="AC69" i="63802"/>
  <c r="W69" i="63802"/>
  <c r="G87" i="63733"/>
  <c r="AF231" i="63733"/>
  <c r="H173" i="1336"/>
  <c r="G173" i="1336" s="1"/>
  <c r="AC47" i="63802"/>
  <c r="V42" i="63802"/>
  <c r="W47" i="63802"/>
  <c r="T338" i="63733"/>
  <c r="AF233" i="63733"/>
  <c r="AD42" i="63802"/>
  <c r="AD47" i="63802" s="1"/>
  <c r="AC209" i="63733"/>
  <c r="AB354" i="63733" l="1"/>
  <c r="AB333" i="63733"/>
  <c r="AC199" i="63733"/>
  <c r="AE236" i="1336"/>
  <c r="AF354" i="63733"/>
  <c r="AF355" i="63733" s="1"/>
  <c r="AI236" i="1336"/>
  <c r="P48" i="63836" a="1"/>
  <c r="P48" i="63836" s="1"/>
  <c r="AI332" i="63733"/>
  <c r="Q49" i="63836" a="1"/>
  <c r="Q49" i="63836" s="1"/>
  <c r="AH342" i="63733"/>
  <c r="AG332" i="63733"/>
  <c r="AG354" i="63733" s="1"/>
  <c r="AG355" i="63733" s="1"/>
  <c r="AH344" i="63733"/>
  <c r="AG233" i="63733"/>
  <c r="AG231" i="63733"/>
  <c r="U217" i="63733"/>
  <c r="U216" i="63733"/>
  <c r="AE332" i="63733"/>
  <c r="AE354" i="63733" s="1"/>
  <c r="AE355" i="63733" s="1"/>
  <c r="AE231" i="63733"/>
  <c r="AE197" i="63733"/>
  <c r="AE209" i="63733" s="1"/>
  <c r="AE210" i="63733" s="1"/>
  <c r="AE233" i="63733"/>
  <c r="G68" i="1336"/>
  <c r="X366" i="63733"/>
  <c r="X370" i="63733"/>
  <c r="X374" i="63733"/>
  <c r="AA209" i="63733"/>
  <c r="U227" i="63733"/>
  <c r="H29" i="63733"/>
  <c r="F30" i="63733"/>
  <c r="G30" i="63733" s="1"/>
  <c r="Q6" i="1336"/>
  <c r="Q282" i="1336"/>
  <c r="AB42" i="63802"/>
  <c r="F79" i="63733"/>
  <c r="F80" i="63733"/>
  <c r="F12" i="63822"/>
  <c r="E5" i="63820"/>
  <c r="E4" i="63820" s="1"/>
  <c r="B4" i="63820"/>
  <c r="T337" i="63733"/>
  <c r="I10" i="63822"/>
  <c r="N366" i="63733"/>
  <c r="K3" i="63811"/>
  <c r="AL344" i="63733"/>
  <c r="AL236" i="1336" s="1"/>
  <c r="AL342" i="63733"/>
  <c r="AI233" i="63733"/>
  <c r="AI231" i="63733"/>
  <c r="AF197" i="63733"/>
  <c r="C178" i="63733"/>
  <c r="E178" i="63733"/>
  <c r="T350" i="63733"/>
  <c r="H32" i="1336"/>
  <c r="H139" i="1336"/>
  <c r="H33" i="1336"/>
  <c r="Q45" i="1336" l="1"/>
  <c r="Q215" i="1336"/>
  <c r="AH236" i="1336"/>
  <c r="AF209" i="63733"/>
  <c r="AI354" i="63733"/>
  <c r="AI355" i="63733" s="1"/>
  <c r="Q255" i="1336"/>
  <c r="Q229" i="1336"/>
  <c r="Q231" i="1336"/>
  <c r="Q230" i="1336"/>
  <c r="Q48" i="63836" a="1"/>
  <c r="Q48" i="63836" s="1"/>
  <c r="AH332" i="63733"/>
  <c r="AH354" i="63733" s="1"/>
  <c r="AH355" i="63733" s="1"/>
  <c r="AG197" i="63733"/>
  <c r="AH197" i="63733"/>
  <c r="AH209" i="63733" s="1"/>
  <c r="AH210" i="63733" s="1"/>
  <c r="AH233" i="63733"/>
  <c r="AH231" i="63733"/>
  <c r="U35" i="63733"/>
  <c r="X229" i="63733"/>
  <c r="X9" i="63733"/>
  <c r="Q72" i="1336"/>
  <c r="X212" i="63733"/>
  <c r="X215" i="63733" s="1"/>
  <c r="X216" i="63733" s="1"/>
  <c r="Q64" i="1336"/>
  <c r="Q10" i="1336"/>
  <c r="T370" i="63733"/>
  <c r="Q65" i="1336"/>
  <c r="Q67" i="1336"/>
  <c r="Q50" i="63829"/>
  <c r="Q198" i="1336"/>
  <c r="Q205" i="1336" s="1"/>
  <c r="Q62" i="1336"/>
  <c r="U228" i="63733"/>
  <c r="U229" i="63733"/>
  <c r="B3" i="63820"/>
  <c r="B6" i="63820"/>
  <c r="B7" i="63820" s="1"/>
  <c r="E6" i="63820"/>
  <c r="E3" i="63820"/>
  <c r="K32" i="63811"/>
  <c r="B2" i="63824" s="1"/>
  <c r="I12" i="63822"/>
  <c r="H12" i="63822" s="1"/>
  <c r="I11" i="63822"/>
  <c r="B20" i="63824"/>
  <c r="B10" i="63824"/>
  <c r="K28" i="63811"/>
  <c r="K7" i="63811"/>
  <c r="AO344" i="63733"/>
  <c r="AO236" i="1336" s="1"/>
  <c r="AO342" i="63733"/>
  <c r="T383" i="63733"/>
  <c r="AL233" i="63733"/>
  <c r="AL231" i="63733"/>
  <c r="AI197" i="63733"/>
  <c r="AL332" i="63733"/>
  <c r="AL354" i="63733" s="1"/>
  <c r="AL355" i="63733" s="1"/>
  <c r="H59" i="1336"/>
  <c r="E260" i="63733"/>
  <c r="C260" i="63733"/>
  <c r="D176" i="63733"/>
  <c r="D178" i="63733" s="1"/>
  <c r="F176" i="63733"/>
  <c r="F178" i="63733" s="1"/>
  <c r="H176" i="63733"/>
  <c r="H178" i="63733" s="1"/>
  <c r="AU45" i="63802"/>
  <c r="G32" i="1336"/>
  <c r="AI209" i="63733" l="1"/>
  <c r="AI210" i="63733" s="1"/>
  <c r="H288" i="1336"/>
  <c r="AG209" i="63733"/>
  <c r="AG210" i="63733" s="1"/>
  <c r="AA212" i="63733"/>
  <c r="AA215" i="63733" s="1"/>
  <c r="AA217" i="63733" s="1"/>
  <c r="AA237" i="63733"/>
  <c r="AA207" i="63733"/>
  <c r="AA210" i="63733" s="1"/>
  <c r="AA239" i="63733"/>
  <c r="AA240" i="63733" s="1"/>
  <c r="U45" i="63733"/>
  <c r="C110" i="63818"/>
  <c r="E110" i="63818" s="1"/>
  <c r="AA9" i="63733"/>
  <c r="X16" i="63733"/>
  <c r="D78" i="63818"/>
  <c r="E78" i="63818" s="1"/>
  <c r="X217" i="63733"/>
  <c r="X24" i="63733"/>
  <c r="X25" i="63733" s="1"/>
  <c r="Q61" i="1336"/>
  <c r="H111" i="1336"/>
  <c r="G111" i="1336" s="1"/>
  <c r="E7" i="63820"/>
  <c r="E23" i="63820"/>
  <c r="E25" i="63820" s="1"/>
  <c r="K19" i="63810"/>
  <c r="K20" i="63810" s="1"/>
  <c r="K40" i="63811"/>
  <c r="K33" i="63811"/>
  <c r="B3" i="63824" s="1"/>
  <c r="H51" i="1336"/>
  <c r="H83" i="1336" s="1"/>
  <c r="H84" i="1336" s="1"/>
  <c r="T369" i="63733"/>
  <c r="I13" i="63822"/>
  <c r="K30" i="63811"/>
  <c r="B18" i="63824"/>
  <c r="B8" i="63824"/>
  <c r="AR344" i="63733"/>
  <c r="AR342" i="63733"/>
  <c r="AO332" i="63733"/>
  <c r="AO354" i="63733" s="1"/>
  <c r="AO355" i="63733" s="1"/>
  <c r="AL197" i="63733"/>
  <c r="AL209" i="63733" s="1"/>
  <c r="AL210" i="63733" s="1"/>
  <c r="AO233" i="63733"/>
  <c r="AO231" i="63733"/>
  <c r="C261" i="63733"/>
  <c r="F260" i="63733"/>
  <c r="F146" i="63733"/>
  <c r="F155" i="63733" s="1"/>
  <c r="D260" i="63733"/>
  <c r="G176" i="63733"/>
  <c r="G178" i="63733" s="1"/>
  <c r="C262" i="63733"/>
  <c r="C263" i="63733" s="1"/>
  <c r="E261" i="63733"/>
  <c r="K176" i="63733"/>
  <c r="K178" i="63733" s="1"/>
  <c r="I176" i="63733"/>
  <c r="I178" i="63733" s="1"/>
  <c r="H146" i="63733"/>
  <c r="G146" i="63733"/>
  <c r="G155" i="63733" s="1"/>
  <c r="AD217" i="63733" l="1"/>
  <c r="AG217" i="63733" s="1"/>
  <c r="R49" i="63836" a="1"/>
  <c r="R49" i="63836" s="1"/>
  <c r="AR236" i="1336"/>
  <c r="AA216" i="63733"/>
  <c r="AA245" i="63733"/>
  <c r="AA24" i="63733"/>
  <c r="AA25" i="63733" s="1"/>
  <c r="AA220" i="63733"/>
  <c r="AA16" i="63733"/>
  <c r="C117" i="63818"/>
  <c r="E117" i="63818" s="1"/>
  <c r="X220" i="63733"/>
  <c r="H155" i="63733"/>
  <c r="J110" i="63818"/>
  <c r="X35" i="63733"/>
  <c r="H80" i="1336"/>
  <c r="K39" i="63811"/>
  <c r="X41" i="63802"/>
  <c r="Y41" i="63802" s="1"/>
  <c r="AU344" i="63733"/>
  <c r="AU236" i="1336" s="1"/>
  <c r="AU342" i="63733"/>
  <c r="B16" i="63824"/>
  <c r="B17" i="63824"/>
  <c r="AO197" i="63733"/>
  <c r="AO209" i="63733" s="1"/>
  <c r="AO210" i="63733" s="1"/>
  <c r="AR233" i="63733"/>
  <c r="R48" i="63836" s="1" a="1"/>
  <c r="R48" i="63836" s="1"/>
  <c r="AR231" i="63733"/>
  <c r="AR332" i="63733"/>
  <c r="AR354" i="63733" s="1"/>
  <c r="AR355" i="63733" s="1"/>
  <c r="L176" i="63733"/>
  <c r="L178" i="63733" s="1"/>
  <c r="L235" i="1336" s="1"/>
  <c r="L233" i="1336" s="1"/>
  <c r="K146" i="63733"/>
  <c r="H147" i="63733"/>
  <c r="N176" i="63733"/>
  <c r="N178" i="63733" s="1"/>
  <c r="N235" i="1336" s="1"/>
  <c r="N233" i="1336" s="1"/>
  <c r="I146" i="63733"/>
  <c r="G260" i="63733"/>
  <c r="J176" i="63733"/>
  <c r="J178" i="63733" s="1"/>
  <c r="D262" i="63733"/>
  <c r="E262" i="63733" s="1"/>
  <c r="D261" i="63733"/>
  <c r="F261" i="63733"/>
  <c r="F262" i="63733"/>
  <c r="AU71" i="63802"/>
  <c r="J146" i="63733"/>
  <c r="J155" i="63733" s="1"/>
  <c r="G59" i="1336"/>
  <c r="H44" i="1336"/>
  <c r="H54" i="1336"/>
  <c r="AA221" i="63733" l="1"/>
  <c r="AA227" i="63733"/>
  <c r="AA229" i="63733" s="1"/>
  <c r="X45" i="63733"/>
  <c r="H148" i="63733"/>
  <c r="J117" i="63818"/>
  <c r="AX344" i="63733"/>
  <c r="AX236" i="1336" s="1"/>
  <c r="AX342" i="63733"/>
  <c r="K147" i="63733"/>
  <c r="K155" i="63733"/>
  <c r="I147" i="63733"/>
  <c r="I155" i="63733"/>
  <c r="Q176" i="63733"/>
  <c r="Q178" i="63733" s="1"/>
  <c r="Q235" i="1336" s="1"/>
  <c r="Q233" i="1336" s="1"/>
  <c r="Q238" i="1336" s="1"/>
  <c r="AR197" i="63733"/>
  <c r="AR209" i="63733" s="1"/>
  <c r="AR210" i="63733" s="1"/>
  <c r="AU231" i="63733"/>
  <c r="AU233" i="63733"/>
  <c r="AU332" i="63733"/>
  <c r="AU354" i="63733" s="1"/>
  <c r="AU355" i="63733" s="1"/>
  <c r="O176" i="63733"/>
  <c r="O178" i="63733" s="1"/>
  <c r="O235" i="1336" s="1"/>
  <c r="K104" i="63821"/>
  <c r="I104" i="63821"/>
  <c r="G54" i="1336"/>
  <c r="L146" i="63733"/>
  <c r="L155" i="63733" s="1"/>
  <c r="L156" i="63733" s="1"/>
  <c r="M176" i="63733"/>
  <c r="M178" i="63733" s="1"/>
  <c r="H129" i="1336"/>
  <c r="K3" i="63810"/>
  <c r="K13" i="63810" s="1"/>
  <c r="M146" i="63733"/>
  <c r="E263" i="63733"/>
  <c r="F263" i="63733"/>
  <c r="G261" i="63733"/>
  <c r="G262" i="63733"/>
  <c r="D263" i="63733"/>
  <c r="N146" i="63733"/>
  <c r="G44" i="1336"/>
  <c r="G51" i="1336"/>
  <c r="G83" i="1336" s="1"/>
  <c r="G84" i="1336" s="1"/>
  <c r="AU61" i="63802"/>
  <c r="AU62" i="63802" s="1"/>
  <c r="AA35" i="63733" l="1"/>
  <c r="M235" i="1336"/>
  <c r="AA228" i="63733"/>
  <c r="K148" i="63733"/>
  <c r="BA344" i="63733"/>
  <c r="BA236" i="1336" s="1"/>
  <c r="BA342" i="63733"/>
  <c r="G129" i="1336"/>
  <c r="AU197" i="63733"/>
  <c r="AU209" i="63733" s="1"/>
  <c r="AU210" i="63733" s="1"/>
  <c r="AX233" i="63733"/>
  <c r="AX231" i="63733"/>
  <c r="AX332" i="63733"/>
  <c r="AX354" i="63733" s="1"/>
  <c r="AX355" i="63733" s="1"/>
  <c r="G80" i="1336"/>
  <c r="G81" i="1336" s="1"/>
  <c r="N147" i="63733"/>
  <c r="N155" i="63733"/>
  <c r="M147" i="63733"/>
  <c r="M155" i="63733"/>
  <c r="R176" i="63733"/>
  <c r="R178" i="63733" s="1"/>
  <c r="Q146" i="63733"/>
  <c r="L147" i="63733"/>
  <c r="O146" i="63733"/>
  <c r="N104" i="63821"/>
  <c r="I110" i="63821"/>
  <c r="M110" i="63821" s="1"/>
  <c r="K5" i="63810"/>
  <c r="K7" i="63810" s="1"/>
  <c r="H81" i="1336"/>
  <c r="P176" i="63733"/>
  <c r="P178" i="63733" s="1"/>
  <c r="T176" i="63733"/>
  <c r="T178" i="63733" s="1"/>
  <c r="T235" i="1336" s="1"/>
  <c r="G263" i="63733"/>
  <c r="AU58" i="63802"/>
  <c r="H189" i="1336"/>
  <c r="AA45" i="63733" l="1"/>
  <c r="P235" i="1336"/>
  <c r="R235" i="1336"/>
  <c r="R233" i="1336" s="1"/>
  <c r="Q147" i="63733"/>
  <c r="Q148" i="63733" s="1"/>
  <c r="L148" i="63733"/>
  <c r="N148" i="63733"/>
  <c r="BA332" i="63733"/>
  <c r="BA354" i="63733" s="1"/>
  <c r="BA355" i="63733" s="1"/>
  <c r="BD344" i="63733"/>
  <c r="BD236" i="1336" s="1"/>
  <c r="BD342" i="63733"/>
  <c r="AX197" i="63733"/>
  <c r="AX209" i="63733" s="1"/>
  <c r="AX210" i="63733" s="1"/>
  <c r="BA233" i="63733"/>
  <c r="BA231" i="63733"/>
  <c r="G189" i="1336"/>
  <c r="AT48" i="63802" s="1"/>
  <c r="T146" i="63733"/>
  <c r="X42" i="63802"/>
  <c r="Y42" i="63802" s="1"/>
  <c r="Q155" i="63733"/>
  <c r="Q156" i="63733" s="1"/>
  <c r="O147" i="63733"/>
  <c r="O155" i="63733"/>
  <c r="O156" i="63733" s="1"/>
  <c r="R146" i="63733"/>
  <c r="U176" i="63733"/>
  <c r="U178" i="63733" s="1"/>
  <c r="U235" i="1336" s="1"/>
  <c r="B11" i="63824"/>
  <c r="B19" i="63824"/>
  <c r="S176" i="63733"/>
  <c r="S178" i="63733" s="1"/>
  <c r="K14" i="63810"/>
  <c r="K9" i="63810"/>
  <c r="K11" i="63810" s="1"/>
  <c r="P146" i="63733"/>
  <c r="P155" i="63733" s="1"/>
  <c r="W176" i="63733"/>
  <c r="W178" i="63733" s="1"/>
  <c r="AU48" i="63802"/>
  <c r="H154" i="1336"/>
  <c r="G154" i="1336" s="1"/>
  <c r="X176" i="63733" l="1"/>
  <c r="W235" i="1336"/>
  <c r="S235" i="1336"/>
  <c r="V84" i="63821"/>
  <c r="BG344" i="63733"/>
  <c r="BG236" i="1336" s="1"/>
  <c r="BG342" i="63733"/>
  <c r="G121" i="63821"/>
  <c r="F121" i="63821" s="1"/>
  <c r="T147" i="63733"/>
  <c r="O148" i="63733"/>
  <c r="AC97" i="63821" s="1"/>
  <c r="BD231" i="63733"/>
  <c r="BD233" i="63733"/>
  <c r="BA197" i="63733"/>
  <c r="BA209" i="63733" s="1"/>
  <c r="BA210" i="63733" s="1"/>
  <c r="BD332" i="63733"/>
  <c r="BD354" i="63733" s="1"/>
  <c r="BD355" i="63733" s="1"/>
  <c r="U146" i="63733"/>
  <c r="U147" i="63733" s="1"/>
  <c r="R147" i="63733"/>
  <c r="X178" i="63733"/>
  <c r="X235" i="1336" s="1"/>
  <c r="T155" i="63733"/>
  <c r="G128" i="63821"/>
  <c r="R155" i="63733"/>
  <c r="R156" i="63733" s="1"/>
  <c r="V176" i="63733"/>
  <c r="V178" i="63733" s="1"/>
  <c r="S146" i="63733"/>
  <c r="Z176" i="63733"/>
  <c r="Z178" i="63733" s="1"/>
  <c r="Z235" i="1336" s="1"/>
  <c r="W146" i="63733"/>
  <c r="V235" i="1336" l="1"/>
  <c r="Z146" i="63733"/>
  <c r="Z147" i="63733" s="1"/>
  <c r="N47" i="63836" a="1"/>
  <c r="N47" i="63836" s="1"/>
  <c r="BJ342" i="63733"/>
  <c r="BJ344" i="63733"/>
  <c r="BJ236" i="1336" s="1"/>
  <c r="BG231" i="63733"/>
  <c r="BG233" i="63733"/>
  <c r="X146" i="63733"/>
  <c r="BG332" i="63733"/>
  <c r="BG354" i="63733" s="1"/>
  <c r="BG355" i="63733" s="1"/>
  <c r="K97" i="63821"/>
  <c r="D128" i="63821" s="1"/>
  <c r="X84" i="63821"/>
  <c r="W147" i="63733"/>
  <c r="F128" i="63821"/>
  <c r="T148" i="63733"/>
  <c r="G135" i="63821" s="1"/>
  <c r="AA176" i="63733"/>
  <c r="AA178" i="63733" s="1"/>
  <c r="BD197" i="63733"/>
  <c r="BD209" i="63733" s="1"/>
  <c r="BD210" i="63733" s="1"/>
  <c r="Y176" i="63733"/>
  <c r="Y178" i="63733" s="1"/>
  <c r="U148" i="63733"/>
  <c r="S155" i="63733"/>
  <c r="W155" i="63733"/>
  <c r="U155" i="63733"/>
  <c r="V146" i="63733"/>
  <c r="AC176" i="63733"/>
  <c r="AC178" i="63733" s="1"/>
  <c r="AA235" i="1336" l="1"/>
  <c r="AB176" i="63733"/>
  <c r="AB178" i="63733" s="1"/>
  <c r="AB235" i="1336" s="1"/>
  <c r="AC235" i="1336"/>
  <c r="AC146" i="63733"/>
  <c r="AC155" i="63733" s="1"/>
  <c r="Z155" i="63733"/>
  <c r="Y235" i="1336"/>
  <c r="O47" i="63836" a="1"/>
  <c r="O47" i="63836" s="1"/>
  <c r="BJ233" i="63733"/>
  <c r="BJ197" i="63733" s="1"/>
  <c r="BJ231" i="63733"/>
  <c r="BJ332" i="63733"/>
  <c r="BJ354" i="63733" s="1"/>
  <c r="BJ355" i="63733" s="1"/>
  <c r="AA146" i="63733"/>
  <c r="AA147" i="63733" s="1"/>
  <c r="Z148" i="63733"/>
  <c r="E142" i="63821"/>
  <c r="AD176" i="63733"/>
  <c r="AD178" i="63733" s="1"/>
  <c r="AD235" i="1336" s="1"/>
  <c r="BG197" i="63733"/>
  <c r="BG209" i="63733" s="1"/>
  <c r="BG210" i="63733" s="1"/>
  <c r="J110" i="63821"/>
  <c r="N110" i="63821" s="1"/>
  <c r="X147" i="63733"/>
  <c r="X155" i="63733"/>
  <c r="W148" i="63733"/>
  <c r="Y146" i="63733"/>
  <c r="V155" i="63733"/>
  <c r="AF176" i="63733"/>
  <c r="AF178" i="63733" s="1"/>
  <c r="AF235" i="1336" s="1"/>
  <c r="AB146" i="63733" l="1"/>
  <c r="AB155" i="63733" s="1"/>
  <c r="P47" i="63836" a="1"/>
  <c r="P47" i="63836" s="1"/>
  <c r="AG176" i="63733"/>
  <c r="AG178" i="63733" s="1"/>
  <c r="AG235" i="1336" s="1"/>
  <c r="BJ209" i="63733"/>
  <c r="BJ210" i="63733" s="1"/>
  <c r="AA148" i="63733"/>
  <c r="AE176" i="63733"/>
  <c r="AE178" i="63733" s="1"/>
  <c r="AD146" i="63733"/>
  <c r="AD155" i="63733" s="1"/>
  <c r="X148" i="63733"/>
  <c r="AA155" i="63733"/>
  <c r="Y155" i="63733"/>
  <c r="AF260" i="63733"/>
  <c r="AI176" i="63733"/>
  <c r="AI178" i="63733" s="1"/>
  <c r="AF146" i="63733"/>
  <c r="AE235" i="1336" l="1"/>
  <c r="AI235" i="1336"/>
  <c r="AF155" i="63733"/>
  <c r="AF156" i="63733" s="1"/>
  <c r="Q47" i="63836" a="1"/>
  <c r="Q47" i="63836" s="1"/>
  <c r="AG146" i="63733"/>
  <c r="AH176" i="63733"/>
  <c r="AH178" i="63733" s="1"/>
  <c r="AE146" i="63733"/>
  <c r="AE155" i="63733" s="1"/>
  <c r="AE156" i="63733" s="1"/>
  <c r="AI146" i="63733"/>
  <c r="AL176" i="63733"/>
  <c r="AL178" i="63733" s="1"/>
  <c r="AL235" i="1336" s="1"/>
  <c r="AI260" i="63733"/>
  <c r="AH235" i="1336" l="1"/>
  <c r="AI155" i="63733"/>
  <c r="AI156" i="63733" s="1"/>
  <c r="AH146" i="63733"/>
  <c r="AH155" i="63733" s="1"/>
  <c r="AH156" i="63733" s="1"/>
  <c r="AG155" i="63733"/>
  <c r="AG156" i="63733" s="1"/>
  <c r="AO176" i="63733"/>
  <c r="AO178" i="63733" s="1"/>
  <c r="AO235" i="1336" s="1"/>
  <c r="AI262" i="63733"/>
  <c r="AI261" i="63733"/>
  <c r="AL146" i="63733"/>
  <c r="AL155" i="63733" s="1"/>
  <c r="AL156" i="63733" s="1"/>
  <c r="AL260" i="63733"/>
  <c r="AR176" i="63733" l="1"/>
  <c r="AR178" i="63733" s="1"/>
  <c r="AO146" i="63733"/>
  <c r="AO155" i="63733" s="1"/>
  <c r="AO156" i="63733" s="1"/>
  <c r="AO260" i="63733"/>
  <c r="AL262" i="63733"/>
  <c r="AL263" i="63733" s="1"/>
  <c r="AL261" i="63733"/>
  <c r="AF262" i="63733"/>
  <c r="AI263" i="63733" s="1"/>
  <c r="AF261" i="63733"/>
  <c r="R47" i="63836" l="1" a="1"/>
  <c r="R47" i="63836" s="1"/>
  <c r="AR235" i="1336"/>
  <c r="AU176" i="63733"/>
  <c r="AU178" i="63733" s="1"/>
  <c r="AR146" i="63733"/>
  <c r="AR155" i="63733" s="1"/>
  <c r="AR156" i="63733" s="1"/>
  <c r="AR260" i="63733"/>
  <c r="AO262" i="63733"/>
  <c r="AO263" i="63733" s="1"/>
  <c r="AO261" i="63733"/>
  <c r="AF263" i="63733"/>
  <c r="AX176" i="63733" l="1"/>
  <c r="AX178" i="63733" s="1"/>
  <c r="AX146" i="63733" s="1"/>
  <c r="AU235" i="1336"/>
  <c r="AU260" i="63733"/>
  <c r="AU146" i="63733"/>
  <c r="AU155" i="63733" s="1"/>
  <c r="AU156" i="63733" s="1"/>
  <c r="AR261" i="63733"/>
  <c r="AR262" i="63733"/>
  <c r="AR263" i="63733" s="1"/>
  <c r="D172" i="63733"/>
  <c r="G174" i="63733" s="1"/>
  <c r="D227" i="63733"/>
  <c r="D152" i="63733"/>
  <c r="AX260" i="63733" l="1"/>
  <c r="AX262" i="63733" s="1"/>
  <c r="BA176" i="63733"/>
  <c r="BA178" i="63733" s="1"/>
  <c r="AX235" i="1336"/>
  <c r="AX155" i="63733"/>
  <c r="AX156" i="63733" s="1"/>
  <c r="AU262" i="63733"/>
  <c r="AU263" i="63733" s="1"/>
  <c r="AU261" i="63733"/>
  <c r="D173" i="63733"/>
  <c r="H153" i="63733"/>
  <c r="H156" i="63733" s="1"/>
  <c r="AX261" i="63733" l="1"/>
  <c r="BA235" i="1336"/>
  <c r="BA260" i="63733"/>
  <c r="BD176" i="63733"/>
  <c r="BD178" i="63733" s="1"/>
  <c r="BA146" i="63733"/>
  <c r="BA155" i="63733" s="1"/>
  <c r="BA156" i="63733" s="1"/>
  <c r="AX263" i="63733"/>
  <c r="G342" i="63733"/>
  <c r="BA262" i="63733" l="1"/>
  <c r="BA263" i="63733" s="1"/>
  <c r="BA261" i="63733"/>
  <c r="BG176" i="63733"/>
  <c r="BG178" i="63733" s="1"/>
  <c r="BD235" i="1336"/>
  <c r="BD146" i="63733"/>
  <c r="BD155" i="63733" s="1"/>
  <c r="BD156" i="63733" s="1"/>
  <c r="BD260" i="63733"/>
  <c r="J342" i="63733"/>
  <c r="J344" i="63733"/>
  <c r="BD261" i="63733" l="1"/>
  <c r="BD262" i="63733"/>
  <c r="BD263" i="63733" s="1"/>
  <c r="BJ176" i="63733"/>
  <c r="BJ178" i="63733" s="1"/>
  <c r="BG235" i="1336"/>
  <c r="BG260" i="63733"/>
  <c r="BG146" i="63733"/>
  <c r="BG155" i="63733" s="1"/>
  <c r="BG156" i="63733" s="1"/>
  <c r="J332" i="63733"/>
  <c r="J354" i="63733" s="1"/>
  <c r="M344" i="63733"/>
  <c r="M342" i="63733"/>
  <c r="J340" i="63733"/>
  <c r="BG261" i="63733" l="1"/>
  <c r="BG262" i="63733"/>
  <c r="BG263" i="63733" s="1"/>
  <c r="M236" i="1336"/>
  <c r="M233" i="1336" s="1"/>
  <c r="BJ235" i="1336"/>
  <c r="BJ146" i="63733"/>
  <c r="BJ155" i="63733" s="1"/>
  <c r="BJ156" i="63733" s="1"/>
  <c r="BJ260" i="63733"/>
  <c r="I56" i="63821"/>
  <c r="J333" i="63733"/>
  <c r="M332" i="63733"/>
  <c r="M354" i="63733" s="1"/>
  <c r="P344" i="63733"/>
  <c r="P342" i="63733"/>
  <c r="J350" i="63733"/>
  <c r="I423" i="63733"/>
  <c r="I10" i="63733"/>
  <c r="I352" i="63733"/>
  <c r="I355" i="63733" s="1"/>
  <c r="P236" i="1336" l="1"/>
  <c r="BJ262" i="63733"/>
  <c r="BJ263" i="63733" s="1"/>
  <c r="BJ261" i="63733"/>
  <c r="I46" i="63733"/>
  <c r="I17" i="63733"/>
  <c r="I12" i="63733"/>
  <c r="E10" i="63822"/>
  <c r="E11" i="63822" s="1"/>
  <c r="J370" i="63733"/>
  <c r="J366" i="63733"/>
  <c r="K97" i="63733"/>
  <c r="K100" i="63733"/>
  <c r="K7" i="63733"/>
  <c r="K14" i="63733" s="1"/>
  <c r="P332" i="63733"/>
  <c r="I413" i="63733"/>
  <c r="I411" i="63733"/>
  <c r="I26" i="63733"/>
  <c r="I407" i="63733"/>
  <c r="I425" i="63733"/>
  <c r="I426" i="63733" s="1"/>
  <c r="K64" i="63733"/>
  <c r="K73" i="63733" s="1"/>
  <c r="J63" i="63733"/>
  <c r="I47" i="63733" l="1"/>
  <c r="I6" i="1336"/>
  <c r="I39" i="63733"/>
  <c r="J104" i="63733"/>
  <c r="J88" i="63733"/>
  <c r="I27" i="63733"/>
  <c r="P354" i="63733"/>
  <c r="S354" i="63733"/>
  <c r="K71" i="63733"/>
  <c r="K72" i="63733" s="1"/>
  <c r="E3" i="63822"/>
  <c r="E4" i="63822" s="1"/>
  <c r="I55" i="63821"/>
  <c r="P70" i="63821"/>
  <c r="P62" i="63821" s="1"/>
  <c r="Q62" i="63821" s="1"/>
  <c r="L362" i="63733"/>
  <c r="F2" i="63820"/>
  <c r="K90" i="63733"/>
  <c r="K91" i="63733" s="1"/>
  <c r="J57" i="63733"/>
  <c r="I409" i="63733"/>
  <c r="I408" i="63733"/>
  <c r="J7" i="63733"/>
  <c r="J14" i="63733" s="1"/>
  <c r="J64" i="63733"/>
  <c r="J73" i="63733" s="1"/>
  <c r="I10" i="1336" l="1"/>
  <c r="I22" i="1336" s="1"/>
  <c r="I215" i="1336"/>
  <c r="I198" i="1336"/>
  <c r="I205" i="1336" s="1"/>
  <c r="I64" i="1336"/>
  <c r="I40" i="1336"/>
  <c r="I67" i="1336"/>
  <c r="I50" i="63829"/>
  <c r="I62" i="1336"/>
  <c r="I69" i="1336"/>
  <c r="I65" i="1336"/>
  <c r="F15" i="63820"/>
  <c r="F9" i="63820"/>
  <c r="F21" i="63820" s="1"/>
  <c r="J83" i="63733"/>
  <c r="J84" i="63733"/>
  <c r="I61" i="1336" l="1"/>
  <c r="I23" i="1336"/>
  <c r="I68" i="1336"/>
  <c r="H87" i="63733" l="1"/>
  <c r="K92" i="63733" l="1"/>
  <c r="J90" i="63733" l="1"/>
  <c r="K33" i="63733"/>
  <c r="K278" i="1336" l="1"/>
  <c r="K43" i="63733"/>
  <c r="J92" i="63733"/>
  <c r="J91" i="63733"/>
  <c r="J33" i="63733"/>
  <c r="J43" i="63733" s="1"/>
  <c r="J147" i="63733" l="1"/>
  <c r="J152" i="63733" l="1"/>
  <c r="J8" i="63733" s="1"/>
  <c r="K153" i="63733"/>
  <c r="K156" i="63733" s="1"/>
  <c r="M15" i="63733" l="1"/>
  <c r="J170" i="63733"/>
  <c r="J187" i="63733"/>
  <c r="E16" i="63822"/>
  <c r="E17" i="63822" s="1"/>
  <c r="I57" i="63821"/>
  <c r="N153" i="63733"/>
  <c r="N156" i="63733" s="1"/>
  <c r="M188" i="63733" l="1"/>
  <c r="Q185" i="63733"/>
  <c r="T187" i="63733" l="1"/>
  <c r="T188" i="63733" s="1"/>
  <c r="T8" i="63733"/>
  <c r="S169" i="63733"/>
  <c r="T158" i="63733"/>
  <c r="T161" i="63733" s="1"/>
  <c r="T185" i="63733"/>
  <c r="T182" i="63733"/>
  <c r="T153" i="63733"/>
  <c r="T15" i="63733" l="1"/>
  <c r="W15" i="63733"/>
  <c r="W158" i="63733"/>
  <c r="T162" i="63733"/>
  <c r="T279" i="1336"/>
  <c r="T156" i="63733"/>
  <c r="T22" i="63733"/>
  <c r="T193" i="63733"/>
  <c r="W187" i="63733"/>
  <c r="W188" i="63733" s="1"/>
  <c r="T167" i="63733"/>
  <c r="S158" i="63733"/>
  <c r="W182" i="63733"/>
  <c r="W185" i="63733"/>
  <c r="Z158" i="63733"/>
  <c r="W153" i="63733"/>
  <c r="W156" i="63733" s="1"/>
  <c r="Z193" i="63733" l="1"/>
  <c r="Z161" i="63733"/>
  <c r="Z22" i="63733"/>
  <c r="W22" i="63733"/>
  <c r="W23" i="63733" s="1"/>
  <c r="W193" i="63733"/>
  <c r="S22" i="63733"/>
  <c r="S161" i="63733"/>
  <c r="T163" i="63733"/>
  <c r="S166" i="63733"/>
  <c r="Z187" i="63733"/>
  <c r="Z188" i="63733" s="1"/>
  <c r="Z8" i="63733"/>
  <c r="N32" i="63836" s="1" a="1"/>
  <c r="N32" i="63836" s="1"/>
  <c r="T172" i="63733"/>
  <c r="Z185" i="63733"/>
  <c r="Z153" i="63733"/>
  <c r="Z156" i="63733" s="1"/>
  <c r="W174" i="63733" l="1"/>
  <c r="T174" i="63733"/>
  <c r="Z163" i="63733"/>
  <c r="Z23" i="63733"/>
  <c r="Z15" i="63733"/>
  <c r="T173" i="63733"/>
  <c r="T34" i="63733"/>
  <c r="T44" i="63733" l="1"/>
  <c r="D44" i="63812" l="1"/>
  <c r="M205" i="63733"/>
  <c r="M213" i="63733" s="1"/>
  <c r="K207" i="63733"/>
  <c r="K210" i="63733" s="1"/>
  <c r="N207" i="63733"/>
  <c r="N210" i="63733" s="1"/>
  <c r="M9" i="63733" l="1"/>
  <c r="M220" i="63733"/>
  <c r="M198" i="63733"/>
  <c r="M239" i="63733"/>
  <c r="M240" i="63733" s="1"/>
  <c r="M237" i="63733"/>
  <c r="H22" i="63822"/>
  <c r="E44" i="63812"/>
  <c r="P205" i="63733"/>
  <c r="P213" i="63733" s="1"/>
  <c r="M280" i="1336" l="1"/>
  <c r="M16" i="63733"/>
  <c r="M199" i="63733"/>
  <c r="P9" i="63733"/>
  <c r="P16" i="63733" s="1"/>
  <c r="P220" i="63733"/>
  <c r="P224" i="63733"/>
  <c r="P198" i="63733"/>
  <c r="P237" i="63733"/>
  <c r="P239" i="63733"/>
  <c r="P240" i="63733" s="1"/>
  <c r="F136" i="63821"/>
  <c r="K23" i="63822"/>
  <c r="H23" i="63822"/>
  <c r="Q403" i="63733"/>
  <c r="P207" i="63733"/>
  <c r="P199" i="63733" l="1"/>
  <c r="P280" i="1336"/>
  <c r="P45" i="63733"/>
  <c r="W85" i="63821"/>
  <c r="AA98" i="63821"/>
  <c r="M195" i="63733"/>
  <c r="I111" i="63821"/>
  <c r="M111" i="63821" s="1"/>
  <c r="D111" i="63821"/>
  <c r="F111" i="63821"/>
  <c r="H111" i="63821"/>
  <c r="C111" i="63821"/>
  <c r="B111" i="63821"/>
  <c r="J111" i="63821"/>
  <c r="N111" i="63821" s="1"/>
  <c r="E111" i="63821"/>
  <c r="G111" i="63821"/>
  <c r="Q208" i="1336" l="1"/>
  <c r="Q204" i="1336"/>
  <c r="Q207" i="1336"/>
  <c r="Q261" i="1336"/>
  <c r="Q120" i="1336"/>
  <c r="Q210" i="1336"/>
  <c r="Q201" i="1336"/>
  <c r="Q202" i="1336"/>
  <c r="Q200" i="1336"/>
  <c r="Q209" i="1336"/>
  <c r="Q28" i="63733" l="1"/>
  <c r="Q11" i="1336"/>
  <c r="Q29" i="63733" s="1"/>
  <c r="F207" i="63733"/>
  <c r="M207" i="63733" l="1"/>
  <c r="I404" i="63733" l="1"/>
  <c r="J207" i="63733"/>
  <c r="G207" i="63733"/>
  <c r="I403" i="63733" l="1"/>
  <c r="I405" i="63733" s="1"/>
  <c r="I23" i="63733"/>
  <c r="I204" i="1336" l="1"/>
  <c r="E290" i="63733"/>
  <c r="AV41" i="63802" l="1"/>
  <c r="I7" i="1336"/>
  <c r="I200" i="1336"/>
  <c r="I202" i="1336"/>
  <c r="I201" i="1336"/>
  <c r="I208" i="1336"/>
  <c r="I207" i="1336"/>
  <c r="I210" i="1336"/>
  <c r="I209" i="1336"/>
  <c r="AG1" i="63802"/>
  <c r="I16" i="63810"/>
  <c r="H16" i="63810"/>
  <c r="G16" i="63810"/>
  <c r="AO41" i="63802"/>
  <c r="AV74" i="63802"/>
  <c r="AV76" i="63802" s="1"/>
  <c r="AI41" i="63802"/>
  <c r="AL41" i="63802"/>
  <c r="I28" i="63733" l="1"/>
  <c r="I11" i="1336"/>
  <c r="H13" i="63810"/>
  <c r="H14" i="63810"/>
  <c r="I13" i="63810"/>
  <c r="I14" i="63810"/>
  <c r="H32" i="63811"/>
  <c r="AO74" i="63802"/>
  <c r="AO76" i="63802" s="1"/>
  <c r="I20" i="63733" l="1"/>
  <c r="I75" i="63733" s="1"/>
  <c r="I76" i="63733" s="1"/>
  <c r="I29" i="63733"/>
  <c r="G32" i="63811"/>
  <c r="G33" i="63811" s="1"/>
  <c r="G39" i="63811" s="1"/>
  <c r="H33" i="63811"/>
  <c r="H39" i="63811" s="1"/>
  <c r="H40" i="63811"/>
  <c r="I32" i="63811"/>
  <c r="H19" i="63810"/>
  <c r="H20" i="63810" s="1"/>
  <c r="I9" i="63811"/>
  <c r="I10" i="63811" s="1"/>
  <c r="AL69" i="63802"/>
  <c r="AL74" i="63802"/>
  <c r="AL76" i="63802" s="1"/>
  <c r="I21" i="63733" l="1"/>
  <c r="I78" i="63733"/>
  <c r="I80" i="63733" s="1"/>
  <c r="G19" i="63810"/>
  <c r="G20" i="63810" s="1"/>
  <c r="G40" i="63811"/>
  <c r="I33" i="63811"/>
  <c r="I39" i="63811" s="1"/>
  <c r="I40" i="63811"/>
  <c r="I19" i="63810"/>
  <c r="I20" i="63810" s="1"/>
  <c r="AO69" i="63802"/>
  <c r="I33" i="1336"/>
  <c r="AV57" i="63802"/>
  <c r="I32" i="1336"/>
  <c r="I79" i="63733" l="1"/>
  <c r="I54" i="1336"/>
  <c r="H369" i="63733" l="1"/>
  <c r="K423" i="63733" l="1"/>
  <c r="G424" i="63733"/>
  <c r="G369" i="63733"/>
  <c r="AU43" i="63802"/>
  <c r="J423" i="63733" l="1"/>
  <c r="N423" i="63733"/>
  <c r="AU42" i="63802"/>
  <c r="H140" i="1336"/>
  <c r="AU69" i="63802"/>
  <c r="H26" i="1336"/>
  <c r="H99" i="1336"/>
  <c r="H27" i="1336"/>
  <c r="H145" i="1336" l="1"/>
  <c r="G99" i="1336"/>
  <c r="Q423" i="63733"/>
  <c r="H100" i="1336"/>
  <c r="G100" i="1336" s="1"/>
  <c r="H103" i="1336"/>
  <c r="H163" i="1336"/>
  <c r="G163" i="1336" l="1"/>
  <c r="T423" i="63733"/>
  <c r="H142" i="1336"/>
  <c r="H165" i="1336"/>
  <c r="G165" i="1336" l="1"/>
  <c r="H143" i="1336"/>
  <c r="G143" i="1336" s="1"/>
  <c r="G142" i="1336"/>
  <c r="H211" i="1336"/>
  <c r="H193" i="1336"/>
  <c r="H180" i="1336" l="1"/>
  <c r="G180" i="1336" l="1"/>
  <c r="H137" i="1336"/>
  <c r="AU46" i="63802"/>
  <c r="H133" i="1336"/>
  <c r="K131" i="1336"/>
  <c r="H182" i="1336"/>
  <c r="G182" i="1336" l="1"/>
  <c r="G286" i="1336" s="1"/>
  <c r="H286" i="1336"/>
  <c r="H287" i="1336" s="1"/>
  <c r="H289" i="1336" s="1"/>
  <c r="H194" i="1336"/>
  <c r="H190" i="1336"/>
  <c r="AU49" i="63802"/>
  <c r="AU54" i="63802"/>
  <c r="AU55" i="63802" s="1"/>
  <c r="AU47" i="63802"/>
  <c r="I135" i="1336" l="1"/>
  <c r="AU57" i="63802"/>
  <c r="AU56" i="63802"/>
  <c r="AX44" i="63802"/>
  <c r="J135" i="1336" l="1"/>
  <c r="I136" i="1336"/>
  <c r="I139" i="1336"/>
  <c r="AV44" i="63802"/>
  <c r="C9" i="63824" l="1"/>
  <c r="J136" i="1336"/>
  <c r="D9" i="63824" s="1"/>
  <c r="I105" i="1336"/>
  <c r="I109" i="1336" l="1"/>
  <c r="I111" i="1336" s="1"/>
  <c r="I59" i="1336"/>
  <c r="AV45" i="63802"/>
  <c r="I288" i="1336" l="1"/>
  <c r="AV71" i="63802"/>
  <c r="I56" i="1336"/>
  <c r="AV59" i="63802" s="1"/>
  <c r="I93" i="1336"/>
  <c r="I44" i="1336"/>
  <c r="I51" i="1336"/>
  <c r="I80" i="1336" l="1"/>
  <c r="I81" i="1336" s="1"/>
  <c r="I83" i="1336"/>
  <c r="I84" i="1336" s="1"/>
  <c r="L10" i="63810" l="1"/>
  <c r="K127" i="1336"/>
  <c r="AV58" i="63802"/>
  <c r="I189" i="1336"/>
  <c r="J127" i="1336" l="1"/>
  <c r="F9" i="63818"/>
  <c r="C19" i="63824"/>
  <c r="C11" i="63824"/>
  <c r="C9" i="63818"/>
  <c r="AV48" i="63802"/>
  <c r="H9" i="63818" l="1"/>
  <c r="E9" i="63818"/>
  <c r="K372" i="63733" l="1"/>
  <c r="K36" i="63733" l="1"/>
  <c r="N352" i="63733"/>
  <c r="N355" i="63733" s="1"/>
  <c r="N410" i="63733"/>
  <c r="N10" i="63733"/>
  <c r="N372" i="63733"/>
  <c r="K373" i="63733"/>
  <c r="K374" i="63733"/>
  <c r="K352" i="63733"/>
  <c r="K355" i="63733" s="1"/>
  <c r="K410" i="63733"/>
  <c r="K10" i="63733"/>
  <c r="K17" i="63733" s="1"/>
  <c r="N17" i="63733" l="1"/>
  <c r="Q17" i="63733"/>
  <c r="K46" i="63733"/>
  <c r="N281" i="1336"/>
  <c r="K37" i="63733"/>
  <c r="K281" i="1336"/>
  <c r="P71" i="63821"/>
  <c r="P63" i="63821" s="1"/>
  <c r="Q63" i="63821" s="1"/>
  <c r="K12" i="63733"/>
  <c r="I6" i="63733" s="1"/>
  <c r="M372" i="63733"/>
  <c r="Q373" i="63733"/>
  <c r="K403" i="63733"/>
  <c r="N425" i="63733"/>
  <c r="J10" i="63733"/>
  <c r="J17" i="63733" s="1"/>
  <c r="K425" i="63733"/>
  <c r="J410" i="63733"/>
  <c r="K411" i="63733"/>
  <c r="Q352" i="63733"/>
  <c r="Q355" i="63733" s="1"/>
  <c r="Q410" i="63733"/>
  <c r="N411" i="63733"/>
  <c r="T410" i="63733"/>
  <c r="T352" i="63733"/>
  <c r="T10" i="63733"/>
  <c r="T17" i="63733" s="1"/>
  <c r="J352" i="63733"/>
  <c r="J355" i="63733" s="1"/>
  <c r="I18" i="63733" l="1"/>
  <c r="J18" i="63733" s="1"/>
  <c r="K47" i="63733"/>
  <c r="T281" i="1336"/>
  <c r="T355" i="63733"/>
  <c r="P74" i="63821"/>
  <c r="P66" i="63821" s="1"/>
  <c r="Q66" i="63821" s="1"/>
  <c r="K6" i="1336"/>
  <c r="K215" i="1336" s="1"/>
  <c r="K39" i="63733"/>
  <c r="K282" i="1336"/>
  <c r="J403" i="63733"/>
  <c r="J12" i="63733"/>
  <c r="F10" i="63818"/>
  <c r="N36" i="63733"/>
  <c r="N46" i="63733" s="1"/>
  <c r="C10" i="63818"/>
  <c r="N3" i="63811"/>
  <c r="Q411" i="63733"/>
  <c r="N426" i="63733"/>
  <c r="T425" i="63733"/>
  <c r="N374" i="63733"/>
  <c r="N373" i="63733"/>
  <c r="J411" i="63733"/>
  <c r="J412" i="63733"/>
  <c r="T411" i="63733"/>
  <c r="J424" i="63733"/>
  <c r="Q425" i="63733"/>
  <c r="J425" i="63733"/>
  <c r="J426" i="63733" s="1"/>
  <c r="K426" i="63733"/>
  <c r="K45" i="1336" l="1"/>
  <c r="J39" i="63733"/>
  <c r="J47" i="63733"/>
  <c r="K72" i="1336"/>
  <c r="K50" i="63829"/>
  <c r="K69" i="1336"/>
  <c r="J6" i="1336"/>
  <c r="K198" i="1336"/>
  <c r="K205" i="1336" s="1"/>
  <c r="K65" i="1336"/>
  <c r="K10" i="1336"/>
  <c r="K23" i="1336" s="1"/>
  <c r="K67" i="1336"/>
  <c r="K62" i="1336"/>
  <c r="K64" i="1336"/>
  <c r="Q36" i="63733"/>
  <c r="H10" i="63818"/>
  <c r="E10" i="63824"/>
  <c r="N28" i="63811"/>
  <c r="N7" i="63811"/>
  <c r="K33" i="1336"/>
  <c r="T426" i="63733"/>
  <c r="K7" i="1336"/>
  <c r="AX41" i="63802"/>
  <c r="L16" i="63810"/>
  <c r="K207" i="1336"/>
  <c r="K201" i="1336"/>
  <c r="K204" i="1336"/>
  <c r="K209" i="1336"/>
  <c r="K208" i="1336"/>
  <c r="K202" i="1336"/>
  <c r="K210" i="1336"/>
  <c r="K200" i="1336"/>
  <c r="K140" i="1336"/>
  <c r="K139" i="1336"/>
  <c r="K32" i="1336"/>
  <c r="E10" i="63818"/>
  <c r="Q426" i="63733"/>
  <c r="AX74" i="63802"/>
  <c r="AX76" i="63802" s="1"/>
  <c r="K173" i="1336"/>
  <c r="J173" i="1336" s="1"/>
  <c r="J67" i="1336" l="1"/>
  <c r="J215" i="1336"/>
  <c r="K61" i="1336"/>
  <c r="Q46" i="63733"/>
  <c r="J65" i="1336"/>
  <c r="J62" i="1336"/>
  <c r="J69" i="1336"/>
  <c r="K22" i="1336"/>
  <c r="J10" i="1336"/>
  <c r="J23" i="1336" s="1"/>
  <c r="J50" i="63829"/>
  <c r="J64" i="1336"/>
  <c r="N30" i="63811"/>
  <c r="E18" i="63824"/>
  <c r="K105" i="1336"/>
  <c r="K59" i="1336"/>
  <c r="K288" i="1336" l="1"/>
  <c r="J61" i="1336"/>
  <c r="J22" i="1336"/>
  <c r="K68" i="1336"/>
  <c r="K109" i="1336"/>
  <c r="K54" i="1336"/>
  <c r="AX45" i="63802"/>
  <c r="C35" i="63807"/>
  <c r="C37" i="63807" s="1"/>
  <c r="K44" i="1336"/>
  <c r="K51" i="1336"/>
  <c r="J68" i="1336" l="1"/>
  <c r="K83" i="1336"/>
  <c r="K84" i="1336" s="1"/>
  <c r="K111" i="1336"/>
  <c r="J111" i="1336" s="1"/>
  <c r="J109" i="1336"/>
  <c r="C38" i="63807"/>
  <c r="J51" i="1336"/>
  <c r="K80" i="1336"/>
  <c r="J59" i="1336"/>
  <c r="D20" i="63824"/>
  <c r="J288" i="1336" l="1"/>
  <c r="K81" i="1336"/>
  <c r="J80" i="1336"/>
  <c r="J81" i="1336" s="1"/>
  <c r="J83" i="1336"/>
  <c r="J84" i="1336" s="1"/>
  <c r="J44" i="1336"/>
  <c r="J54" i="1336"/>
  <c r="L3" i="63810"/>
  <c r="L13" i="63810" s="1"/>
  <c r="K142" i="1336"/>
  <c r="J93" i="1336"/>
  <c r="AX71" i="63802"/>
  <c r="K56" i="1336"/>
  <c r="AX59" i="63802" s="1"/>
  <c r="K93" i="1336"/>
  <c r="J56" i="1336"/>
  <c r="BI55" i="63802"/>
  <c r="BI57" i="63802" s="1"/>
  <c r="BI61" i="63802" s="1"/>
  <c r="AX58" i="63802"/>
  <c r="K189" i="1336"/>
  <c r="AX61" i="63802"/>
  <c r="AX62" i="63802" s="1"/>
  <c r="AX63" i="63802" s="1"/>
  <c r="K143" i="1336" l="1"/>
  <c r="J189" i="1336"/>
  <c r="K94" i="1336"/>
  <c r="N94" i="1336"/>
  <c r="AX48" i="63802"/>
  <c r="D19" i="63824" l="1"/>
  <c r="D11" i="63824"/>
  <c r="AW48" i="63802"/>
  <c r="AI43" i="63802" l="1"/>
  <c r="AI42" i="63802"/>
  <c r="AI47" i="63802" l="1"/>
  <c r="G4" i="63810"/>
  <c r="G3" i="63810" l="1"/>
  <c r="G5" i="63810" l="1"/>
  <c r="G13" i="63810"/>
  <c r="AI72" i="63802" l="1"/>
  <c r="G9" i="63810"/>
  <c r="G11" i="63810" s="1"/>
  <c r="G7" i="63810"/>
  <c r="G14" i="63810"/>
  <c r="AX43" i="63802"/>
  <c r="AX42" i="63802"/>
  <c r="L4" i="63810" l="1"/>
  <c r="L5" i="63810" s="1"/>
  <c r="C43" i="63807"/>
  <c r="K120" i="1336"/>
  <c r="C47" i="63807" l="1"/>
  <c r="C49" i="63807" s="1"/>
  <c r="L9" i="63810"/>
  <c r="L11" i="63810" s="1"/>
  <c r="L7" i="63810"/>
  <c r="L14" i="63810"/>
  <c r="K129" i="1336"/>
  <c r="K132" i="1336" l="1"/>
  <c r="N36" i="63811" s="1"/>
  <c r="E6" i="63824" s="1"/>
  <c r="K163" i="1336"/>
  <c r="N37" i="63811" l="1"/>
  <c r="E14" i="63824" s="1"/>
  <c r="J163" i="1336"/>
  <c r="E11" i="63824"/>
  <c r="E7" i="63824"/>
  <c r="K154" i="1336"/>
  <c r="J154" i="1336" s="1"/>
  <c r="E19" i="63824" l="1"/>
  <c r="E15" i="63824"/>
  <c r="K165" i="1336"/>
  <c r="L18" i="63810"/>
  <c r="K133" i="1336"/>
  <c r="AX46" i="63802"/>
  <c r="N131" i="1336"/>
  <c r="J165" i="1336" l="1"/>
  <c r="K211" i="1336"/>
  <c r="K193" i="1336"/>
  <c r="AX47" i="63802"/>
  <c r="AX49" i="63802"/>
  <c r="AX54" i="63802"/>
  <c r="AX55" i="63802" s="1"/>
  <c r="K180" i="1336" l="1"/>
  <c r="J180" i="1336" s="1"/>
  <c r="BA44" i="63802"/>
  <c r="AX57" i="63802"/>
  <c r="AX56" i="63802"/>
  <c r="K182" i="1336" l="1"/>
  <c r="J182" i="1336" l="1"/>
  <c r="J286" i="1336" s="1"/>
  <c r="K286" i="1336"/>
  <c r="K287" i="1336" s="1"/>
  <c r="K289" i="1336" s="1"/>
  <c r="K194" i="1336"/>
  <c r="K190" i="1336"/>
  <c r="P42" i="63811"/>
  <c r="G18" i="63824" s="1"/>
  <c r="P44" i="63811"/>
  <c r="G10" i="63824" s="1"/>
  <c r="C25" i="63823"/>
  <c r="BA61" i="63802" l="1"/>
  <c r="BA62" i="63802" s="1"/>
  <c r="BA63" i="63802" s="1"/>
  <c r="BD61" i="63802" l="1"/>
  <c r="BD62" i="63802" s="1"/>
  <c r="BG61" i="63802" l="1"/>
  <c r="BG62" i="63802" s="1"/>
  <c r="AI69" i="63802" l="1"/>
  <c r="AJ42" i="63802" l="1"/>
  <c r="AJ47" i="63802" s="1"/>
  <c r="I99" i="1336" l="1"/>
  <c r="I100" i="1336" s="1"/>
  <c r="AV42" i="63802"/>
  <c r="I140" i="1336"/>
  <c r="AV43" i="63802"/>
  <c r="I103" i="1336" l="1"/>
  <c r="I145" i="1336"/>
  <c r="I27" i="1336"/>
  <c r="I120" i="1336"/>
  <c r="AV69" i="63802"/>
  <c r="I26" i="1336"/>
  <c r="AV56" i="63802"/>
  <c r="I142" i="1336"/>
  <c r="I143" i="1336" l="1"/>
  <c r="J143" i="1336" s="1"/>
  <c r="J142" i="1336"/>
  <c r="I129" i="1336"/>
  <c r="I150" i="1336" l="1"/>
  <c r="I213" i="1336" s="1"/>
  <c r="J129" i="1336"/>
  <c r="I163" i="1336"/>
  <c r="I154" i="1336" l="1"/>
  <c r="I165" i="1336" s="1"/>
  <c r="C15" i="63824"/>
  <c r="C17" i="63824" s="1"/>
  <c r="C7" i="63824"/>
  <c r="I132" i="1336"/>
  <c r="I137" i="1336" s="1"/>
  <c r="C20" i="63824" l="1"/>
  <c r="L131" i="1336"/>
  <c r="K138" i="1336"/>
  <c r="I211" i="1336"/>
  <c r="I193" i="1336"/>
  <c r="AV46" i="63802"/>
  <c r="AV49" i="63802" s="1"/>
  <c r="I133" i="1336"/>
  <c r="I180" i="1336" l="1"/>
  <c r="I182" i="1336" s="1"/>
  <c r="I286" i="1336" s="1"/>
  <c r="AV47" i="63802"/>
  <c r="I194" i="1336" l="1"/>
  <c r="I190" i="1336"/>
  <c r="J372" i="63733"/>
  <c r="J36" i="63733" l="1"/>
  <c r="J46" i="63733" s="1"/>
  <c r="J374" i="63733"/>
  <c r="J373" i="63733"/>
  <c r="I153" i="63733"/>
  <c r="I156" i="63733" s="1"/>
  <c r="F153" i="63733"/>
  <c r="F156" i="63733" s="1"/>
  <c r="G152" i="63733"/>
  <c r="F227" i="63733"/>
  <c r="F35" i="63733" s="1"/>
  <c r="F147" i="63733"/>
  <c r="F37" i="63733" l="1"/>
  <c r="F280" i="1336"/>
  <c r="G170" i="63733"/>
  <c r="G8" i="63733"/>
  <c r="J15" i="63733" s="1"/>
  <c r="F215" i="63733"/>
  <c r="G227" i="63733"/>
  <c r="G35" i="63733" s="1"/>
  <c r="F228" i="63733"/>
  <c r="G167" i="63733"/>
  <c r="G147" i="63733"/>
  <c r="G153" i="63733"/>
  <c r="G156" i="63733" s="1"/>
  <c r="G173" i="63733"/>
  <c r="F148" i="63733"/>
  <c r="I148" i="63733"/>
  <c r="J153" i="63733"/>
  <c r="J156" i="63733" s="1"/>
  <c r="F217" i="63733" l="1"/>
  <c r="F216" i="63733"/>
  <c r="I216" i="63733"/>
  <c r="G148" i="63733"/>
  <c r="G12" i="63733"/>
  <c r="G282" i="1336" s="1"/>
  <c r="G279" i="1336"/>
  <c r="G37" i="63733"/>
  <c r="G280" i="1336"/>
  <c r="G228" i="63733"/>
  <c r="P147" i="63733"/>
  <c r="J148" i="63733"/>
  <c r="G7" i="1336" l="1"/>
  <c r="G33" i="1336"/>
  <c r="J7" i="1336"/>
  <c r="O185" i="63733"/>
  <c r="S152" i="63733"/>
  <c r="S170" i="63733" s="1"/>
  <c r="P152" i="63733"/>
  <c r="P8" i="63733" s="1"/>
  <c r="P15" i="63733" s="1"/>
  <c r="J32" i="1336"/>
  <c r="J33" i="1336"/>
  <c r="M153" i="63733"/>
  <c r="M148" i="63733"/>
  <c r="P279" i="1336" l="1"/>
  <c r="P44" i="63733"/>
  <c r="S8" i="63733"/>
  <c r="S15" i="63733" s="1"/>
  <c r="S163" i="63733"/>
  <c r="G28" i="63733"/>
  <c r="G29" i="63733" s="1"/>
  <c r="G11" i="1336"/>
  <c r="S187" i="63733"/>
  <c r="S182" i="63733"/>
  <c r="P170" i="63733"/>
  <c r="P187" i="63733"/>
  <c r="P188" i="63733" s="1"/>
  <c r="S159" i="63733"/>
  <c r="S167" i="63733"/>
  <c r="P167" i="63733"/>
  <c r="W84" i="63821"/>
  <c r="P173" i="63733"/>
  <c r="AA97" i="63821"/>
  <c r="P185" i="63733"/>
  <c r="P182" i="63733"/>
  <c r="S153" i="63733"/>
  <c r="P153" i="63733"/>
  <c r="M173" i="63733"/>
  <c r="I9" i="63818"/>
  <c r="J9" i="63818" s="1"/>
  <c r="P148" i="63733"/>
  <c r="AB97" i="63821" s="1"/>
  <c r="L23" i="63733"/>
  <c r="R103" i="63818" l="1"/>
  <c r="S156" i="63733"/>
  <c r="S188" i="63733"/>
  <c r="O23" i="63733"/>
  <c r="N97" i="63821"/>
  <c r="Y84" i="63821"/>
  <c r="AK97" i="63821"/>
  <c r="G27" i="1336" l="1"/>
  <c r="G26" i="1336"/>
  <c r="AD97" i="63821"/>
  <c r="O110" i="63821" s="1"/>
  <c r="AC77" i="63821"/>
  <c r="Y77" i="63821"/>
  <c r="G340" i="63733"/>
  <c r="I334" i="63733"/>
  <c r="G333" i="63733" l="1"/>
  <c r="J334" i="63733" l="1"/>
  <c r="R352" i="63733"/>
  <c r="G334" i="63733"/>
  <c r="M340" i="63733"/>
  <c r="M350" i="63733" s="1"/>
  <c r="M353" i="63733" s="1"/>
  <c r="L414" i="63733"/>
  <c r="P340" i="63733"/>
  <c r="R355" i="63733" l="1"/>
  <c r="P383" i="63733"/>
  <c r="P333" i="63733"/>
  <c r="P350" i="63733"/>
  <c r="P353" i="63733" s="1"/>
  <c r="O366" i="63733"/>
  <c r="O374" i="63733"/>
  <c r="O414" i="63733"/>
  <c r="P368" i="63733"/>
  <c r="M368" i="63733"/>
  <c r="M383" i="63733"/>
  <c r="M333" i="63733"/>
  <c r="L10" i="63733"/>
  <c r="L410" i="63733"/>
  <c r="O352" i="63733"/>
  <c r="O355" i="63733" s="1"/>
  <c r="O357" i="63733"/>
  <c r="O10" i="63733"/>
  <c r="O410" i="63733"/>
  <c r="H10" i="63822"/>
  <c r="AB338" i="63733" l="1"/>
  <c r="O17" i="63733"/>
  <c r="R17" i="63733"/>
  <c r="L281" i="1336"/>
  <c r="L17" i="63733"/>
  <c r="M334" i="63733"/>
  <c r="P370" i="63733"/>
  <c r="I10" i="63818"/>
  <c r="J10" i="63818" s="1"/>
  <c r="O281" i="1336"/>
  <c r="P334" i="63733"/>
  <c r="AB96" i="63821" s="1"/>
  <c r="M369" i="63733"/>
  <c r="M370" i="63733"/>
  <c r="O360" i="63733"/>
  <c r="R411" i="63733"/>
  <c r="R413" i="63733"/>
  <c r="S340" i="63733"/>
  <c r="H11" i="63822"/>
  <c r="K11" i="63822"/>
  <c r="P369" i="63733"/>
  <c r="O423" i="63733"/>
  <c r="L407" i="63733"/>
  <c r="L26" i="63733"/>
  <c r="P352" i="63733"/>
  <c r="P355" i="63733" s="1"/>
  <c r="L413" i="63733"/>
  <c r="L411" i="63733"/>
  <c r="M410" i="63733"/>
  <c r="M364" i="63733"/>
  <c r="M352" i="63733"/>
  <c r="M355" i="63733" s="1"/>
  <c r="O413" i="63733"/>
  <c r="O411" i="63733"/>
  <c r="P410" i="63733"/>
  <c r="O407" i="63733"/>
  <c r="R409" i="63733" s="1"/>
  <c r="O26" i="63733"/>
  <c r="L423" i="63733"/>
  <c r="P10" i="63733"/>
  <c r="M10" i="63733"/>
  <c r="P281" i="1336" l="1"/>
  <c r="P17" i="63733"/>
  <c r="AA96" i="63821"/>
  <c r="W83" i="63821"/>
  <c r="M281" i="1336"/>
  <c r="M17" i="63733"/>
  <c r="S333" i="63733"/>
  <c r="S337" i="63733" s="1"/>
  <c r="S383" i="63733"/>
  <c r="O27" i="63733"/>
  <c r="L27" i="63733"/>
  <c r="R362" i="63733"/>
  <c r="O361" i="63733"/>
  <c r="S350" i="63733"/>
  <c r="G109" i="63821"/>
  <c r="C109" i="63821"/>
  <c r="D109" i="63821"/>
  <c r="F109" i="63821"/>
  <c r="B109" i="63821"/>
  <c r="E109" i="63821"/>
  <c r="H109" i="63821"/>
  <c r="I109" i="63821"/>
  <c r="M109" i="63821" s="1"/>
  <c r="N96" i="63821"/>
  <c r="S410" i="63733"/>
  <c r="Y83" i="63821"/>
  <c r="AK96" i="63821"/>
  <c r="S10" i="63733"/>
  <c r="S17" i="63733" s="1"/>
  <c r="O362" i="63733"/>
  <c r="O36" i="63733"/>
  <c r="O46" i="63733" s="1"/>
  <c r="L36" i="63733"/>
  <c r="L46" i="63733" s="1"/>
  <c r="L409" i="63733"/>
  <c r="L408" i="63733"/>
  <c r="P372" i="63733"/>
  <c r="P411" i="63733"/>
  <c r="P412" i="63733"/>
  <c r="O408" i="63733"/>
  <c r="O409" i="63733"/>
  <c r="M411" i="63733"/>
  <c r="M412" i="63733"/>
  <c r="P365" i="63733"/>
  <c r="P366" i="63733"/>
  <c r="L425" i="63733"/>
  <c r="M366" i="63733"/>
  <c r="M365" i="63733"/>
  <c r="O425" i="63733"/>
  <c r="S334" i="63733" l="1"/>
  <c r="R105" i="63818"/>
  <c r="S352" i="63733"/>
  <c r="S338" i="63733"/>
  <c r="I16" i="63818"/>
  <c r="N45" i="63818"/>
  <c r="P45" i="63818" s="1"/>
  <c r="M45" i="63818"/>
  <c r="F134" i="63821"/>
  <c r="S411" i="63733"/>
  <c r="S412" i="63733"/>
  <c r="AD96" i="63821"/>
  <c r="O109" i="63821" s="1"/>
  <c r="AC76" i="63821"/>
  <c r="Y76" i="63821"/>
  <c r="P36" i="63733"/>
  <c r="P46" i="63733" s="1"/>
  <c r="M36" i="63733"/>
  <c r="M46" i="63733" s="1"/>
  <c r="L426" i="63733"/>
  <c r="M425" i="63733"/>
  <c r="M426" i="63733" s="1"/>
  <c r="O426" i="63733"/>
  <c r="P425" i="63733"/>
  <c r="P426" i="63733" s="1"/>
  <c r="M423" i="63733"/>
  <c r="M424" i="63733" s="1"/>
  <c r="P373" i="63733"/>
  <c r="P374" i="63733"/>
  <c r="P423" i="63733"/>
  <c r="P424" i="63733" s="1"/>
  <c r="M374" i="63733"/>
  <c r="M373" i="63733"/>
  <c r="S355" i="63733" l="1"/>
  <c r="AA83" i="63821"/>
  <c r="Z96" i="63821"/>
  <c r="T96" i="63821" s="1"/>
  <c r="Q45" i="63818"/>
  <c r="S22" i="63818"/>
  <c r="L7" i="63733"/>
  <c r="L14" i="63733" s="1"/>
  <c r="V104" i="63821" l="1"/>
  <c r="L12" i="63733"/>
  <c r="L47" i="63733" s="1"/>
  <c r="L278" i="1336"/>
  <c r="L403" i="63733"/>
  <c r="L33" i="63733"/>
  <c r="L43" i="63733" s="1"/>
  <c r="L6" i="1336" l="1"/>
  <c r="L282" i="1336"/>
  <c r="L39" i="63733"/>
  <c r="M44" i="63818"/>
  <c r="S21" i="63818" s="1"/>
  <c r="L37" i="63733"/>
  <c r="L45" i="1336" l="1"/>
  <c r="L215" i="1336"/>
  <c r="L255" i="1336"/>
  <c r="L230" i="1336"/>
  <c r="L231" i="1336"/>
  <c r="L229" i="1336"/>
  <c r="L258" i="1336"/>
  <c r="O258" i="1336" s="1"/>
  <c r="L40" i="1336"/>
  <c r="L204" i="1336"/>
  <c r="Q44" i="63818"/>
  <c r="L69" i="1336"/>
  <c r="L198" i="1336"/>
  <c r="L205" i="1336" s="1"/>
  <c r="L64" i="1336"/>
  <c r="L10" i="1336"/>
  <c r="L23" i="1336" s="1"/>
  <c r="L62" i="1336"/>
  <c r="L207" i="1336"/>
  <c r="L65" i="1336"/>
  <c r="L67" i="1336"/>
  <c r="L202" i="1336"/>
  <c r="L7" i="1336"/>
  <c r="L200" i="1336"/>
  <c r="L140" i="1336"/>
  <c r="L120" i="1336"/>
  <c r="L261" i="1336"/>
  <c r="L201" i="1336"/>
  <c r="B2" i="63823"/>
  <c r="L61" i="1336" l="1"/>
  <c r="L22" i="1336"/>
  <c r="L28" i="63733"/>
  <c r="B21" i="63823"/>
  <c r="L11" i="1336"/>
  <c r="L29" i="63733" s="1"/>
  <c r="B7" i="63823"/>
  <c r="B8" i="63823" s="1"/>
  <c r="E8" i="63823" s="1"/>
  <c r="H8" i="63823" s="1"/>
  <c r="L20" i="63733" l="1"/>
  <c r="L21" i="63733" s="1"/>
  <c r="L68" i="1336"/>
  <c r="L75" i="63733" l="1"/>
  <c r="L78" i="63733" s="1"/>
  <c r="L80" i="63733" s="1"/>
  <c r="E272" i="63733"/>
  <c r="L79" i="63733" l="1"/>
  <c r="L76" i="63733"/>
  <c r="B37" i="63823" s="1"/>
  <c r="B36" i="63823" s="1"/>
  <c r="B39" i="63823" s="1"/>
  <c r="G272" i="63733"/>
  <c r="G275" i="63733" s="1"/>
  <c r="G277" i="63733" s="1"/>
  <c r="H23" i="63733"/>
  <c r="D272" i="63733"/>
  <c r="E23" i="63733" l="1"/>
  <c r="D22" i="63733"/>
  <c r="D273" i="63733"/>
  <c r="G273" i="63733"/>
  <c r="G22" i="63733" l="1"/>
  <c r="G23" i="63733" s="1"/>
  <c r="G212" i="63733"/>
  <c r="G24" i="63733" s="1"/>
  <c r="G25" i="63733" s="1"/>
  <c r="D158" i="63733"/>
  <c r="D212" i="63733"/>
  <c r="K23" i="63733"/>
  <c r="G215" i="63733" l="1"/>
  <c r="G213" i="63733"/>
  <c r="G161" i="63733"/>
  <c r="G159" i="63733"/>
  <c r="N23" i="63733"/>
  <c r="G217" i="63733" l="1"/>
  <c r="G216" i="63733"/>
  <c r="G163" i="63733"/>
  <c r="G162" i="63733"/>
  <c r="J22" i="63733"/>
  <c r="J23" i="63733" s="1"/>
  <c r="J213" i="63733" l="1"/>
  <c r="J24" i="63733"/>
  <c r="J25" i="63733" s="1"/>
  <c r="J161" i="63733"/>
  <c r="J159" i="63733"/>
  <c r="M22" i="63733"/>
  <c r="M23" i="63733" s="1"/>
  <c r="Q23" i="63733"/>
  <c r="J163" i="63733" l="1"/>
  <c r="J162" i="63733"/>
  <c r="M24" i="63733"/>
  <c r="M25" i="63733" s="1"/>
  <c r="M161" i="63733"/>
  <c r="M159" i="63733"/>
  <c r="P22" i="63733"/>
  <c r="P23" i="63733" s="1"/>
  <c r="M163" i="63733" l="1"/>
  <c r="M162" i="63733"/>
  <c r="P24" i="63733"/>
  <c r="P25" i="63733" s="1"/>
  <c r="P161" i="63733"/>
  <c r="P159" i="63733"/>
  <c r="K28" i="63733"/>
  <c r="I30" i="63733" s="1"/>
  <c r="J30" i="63733" s="1"/>
  <c r="K11" i="1336"/>
  <c r="AF273" i="63733"/>
  <c r="P163" i="63733" l="1"/>
  <c r="P162" i="63733"/>
  <c r="S162" i="63733"/>
  <c r="K29" i="63733"/>
  <c r="J28" i="63733"/>
  <c r="J11" i="1336"/>
  <c r="AI273" i="63733"/>
  <c r="J29" i="63733" l="1"/>
  <c r="K99" i="1336"/>
  <c r="N32" i="63811"/>
  <c r="AL273" i="63733"/>
  <c r="AX69" i="63802"/>
  <c r="L19" i="63810"/>
  <c r="L20" i="63810" s="1"/>
  <c r="K137" i="1336"/>
  <c r="K27" i="1336"/>
  <c r="K26" i="1336"/>
  <c r="K100" i="1336" l="1"/>
  <c r="J100" i="1336" s="1"/>
  <c r="J99" i="1336"/>
  <c r="K145" i="1336"/>
  <c r="N33" i="63811"/>
  <c r="E2" i="63824"/>
  <c r="N40" i="63811"/>
  <c r="AO273" i="63733"/>
  <c r="E8" i="63824" l="1"/>
  <c r="E3" i="63824"/>
  <c r="N39" i="63811"/>
  <c r="AR273" i="63733"/>
  <c r="E16" i="63824" l="1"/>
  <c r="E17" i="63824"/>
  <c r="AU273" i="63733"/>
  <c r="AX273" i="63733" s="1"/>
  <c r="BA273" i="63733" s="1"/>
  <c r="BD273" i="63733" s="1"/>
  <c r="BG273" i="63733" s="1"/>
  <c r="BJ273" i="63733" s="1"/>
  <c r="J172" i="63733" l="1"/>
  <c r="J35" i="63733"/>
  <c r="J45" i="63733" s="1"/>
  <c r="J34" i="63733" l="1"/>
  <c r="J44" i="63733" s="1"/>
  <c r="J174" i="63733"/>
  <c r="M174" i="63733"/>
  <c r="J215" i="63733"/>
  <c r="J173" i="63733"/>
  <c r="K228" i="63733"/>
  <c r="C45" i="63812"/>
  <c r="C46" i="63812" s="1"/>
  <c r="K404" i="63733"/>
  <c r="K405" i="63733" s="1"/>
  <c r="J404" i="63733" l="1"/>
  <c r="J405" i="63733" s="1"/>
  <c r="J37" i="63733"/>
  <c r="J217" i="63733"/>
  <c r="J216" i="63733"/>
  <c r="H343" i="63733"/>
  <c r="G343" i="63733" l="1"/>
  <c r="G344" i="63733" s="1"/>
  <c r="K51" i="63733" l="1"/>
  <c r="K52" i="63733" s="1"/>
  <c r="C32" i="63812"/>
  <c r="D36" i="63812"/>
  <c r="D32" i="63812" s="1"/>
  <c r="N51" i="63733" l="1"/>
  <c r="N52" i="63733" s="1"/>
  <c r="E36" i="63812"/>
  <c r="E32" i="63812" s="1"/>
  <c r="I51" i="63733"/>
  <c r="C25" i="63812"/>
  <c r="D25" i="63812" s="1"/>
  <c r="Q51" i="63733" l="1"/>
  <c r="Q52" i="63733" s="1"/>
  <c r="J51" i="63733"/>
  <c r="M52" i="63733" s="1"/>
  <c r="L52" i="63733"/>
  <c r="F36" i="63812"/>
  <c r="G36" i="63812" s="1"/>
  <c r="G32" i="63812" s="1"/>
  <c r="D39" i="63812"/>
  <c r="D41" i="63812" s="1"/>
  <c r="E25" i="63812"/>
  <c r="D29" i="63812"/>
  <c r="C39" i="63812"/>
  <c r="C41" i="63812" s="1"/>
  <c r="F32" i="63812" l="1"/>
  <c r="E39" i="63812"/>
  <c r="E41" i="63812" s="1"/>
  <c r="F25" i="63812"/>
  <c r="E29" i="63812"/>
  <c r="F29" i="63812" l="1"/>
  <c r="F39" i="63812"/>
  <c r="F41" i="63812" s="1"/>
  <c r="G25" i="63812"/>
  <c r="G39" i="63812" l="1"/>
  <c r="G41" i="63812" s="1"/>
  <c r="G29" i="63812"/>
  <c r="J2" i="1336" l="1"/>
  <c r="J27" i="1336" l="1"/>
  <c r="J26" i="1336"/>
  <c r="J71" i="63733" l="1"/>
  <c r="J72" i="63733" s="1"/>
  <c r="M46" i="63818" l="1"/>
  <c r="Q46" i="63818" s="1"/>
  <c r="L404" i="63733"/>
  <c r="L405" i="63733" s="1"/>
  <c r="L228" i="63733"/>
  <c r="L32" i="1336" l="1"/>
  <c r="L139" i="1336"/>
  <c r="L33" i="1336"/>
  <c r="M47" i="63818" s="1"/>
  <c r="B10" i="63823" l="1"/>
  <c r="B14" i="63823" s="1"/>
  <c r="L51" i="1336"/>
  <c r="L59" i="1336"/>
  <c r="L105" i="1336"/>
  <c r="L288" i="1336" l="1"/>
  <c r="L109" i="1336"/>
  <c r="L80" i="1336"/>
  <c r="L81" i="1336" s="1"/>
  <c r="L83" i="1336"/>
  <c r="L84" i="1336" s="1"/>
  <c r="B17" i="63823"/>
  <c r="B22" i="63823" s="1"/>
  <c r="B23" i="63823" s="1"/>
  <c r="L54" i="1336"/>
  <c r="L44" i="1336"/>
  <c r="L27" i="1336"/>
  <c r="L26" i="1336"/>
  <c r="L99" i="1336"/>
  <c r="L111" i="1336" l="1"/>
  <c r="B28" i="63823"/>
  <c r="B18" i="63823"/>
  <c r="L100" i="1336"/>
  <c r="L103" i="1336"/>
  <c r="L142" i="1336" l="1"/>
  <c r="L143" i="1336" s="1"/>
  <c r="L145" i="1336"/>
  <c r="L129" i="1336"/>
  <c r="L150" i="1336" s="1"/>
  <c r="L213" i="1336" s="1"/>
  <c r="M111" i="1336"/>
  <c r="L132" i="1336" l="1"/>
  <c r="O131" i="1336" s="1"/>
  <c r="F7" i="63824"/>
  <c r="L154" i="1336"/>
  <c r="B39" i="63821"/>
  <c r="B40" i="63821" s="1"/>
  <c r="B42" i="63821" s="1"/>
  <c r="F15" i="63824"/>
  <c r="F17" i="63824" s="1"/>
  <c r="M10" i="63810"/>
  <c r="B50" i="63821" l="1"/>
  <c r="C50" i="63821"/>
  <c r="L138" i="1336"/>
  <c r="L137" i="1336" l="1"/>
  <c r="L133" i="1336"/>
  <c r="L165" i="1336" l="1"/>
  <c r="L286" i="1336" s="1"/>
  <c r="L287" i="1336" s="1"/>
  <c r="L289" i="1336" s="1"/>
  <c r="L193" i="1336" l="1"/>
  <c r="L190" i="1336"/>
  <c r="O65" i="63733" l="1"/>
  <c r="J17" i="63820"/>
  <c r="J15" i="63820" s="1"/>
  <c r="J2" i="63820" s="1"/>
  <c r="O67" i="63733"/>
  <c r="O234" i="1336" s="1"/>
  <c r="O233" i="1336" s="1"/>
  <c r="O238" i="1336" l="1"/>
  <c r="R238" i="1336"/>
  <c r="O55" i="63733"/>
  <c r="R68" i="63733"/>
  <c r="N7" i="63733"/>
  <c r="N71" i="63733"/>
  <c r="T67" i="63733"/>
  <c r="T234" i="1336" s="1"/>
  <c r="T233" i="1336" s="1"/>
  <c r="T238" i="1336" s="1"/>
  <c r="O68" i="63733"/>
  <c r="P67" i="63733"/>
  <c r="P65" i="63733"/>
  <c r="K17" i="63820"/>
  <c r="N64" i="63733"/>
  <c r="N73" i="63733" s="1"/>
  <c r="N97" i="63733"/>
  <c r="N100" i="63733"/>
  <c r="M63" i="63733"/>
  <c r="M104" i="63733" s="1"/>
  <c r="M17" i="63820"/>
  <c r="M15" i="63820" s="1"/>
  <c r="M2" i="63820" s="1"/>
  <c r="I2" i="63820"/>
  <c r="P55" i="63733" l="1"/>
  <c r="P71" i="63733" s="1"/>
  <c r="P234" i="1336"/>
  <c r="P233" i="1336" s="1"/>
  <c r="P238" i="1336" s="1"/>
  <c r="N14" i="63733"/>
  <c r="Q14" i="63733"/>
  <c r="N278" i="1336"/>
  <c r="U67" i="63733"/>
  <c r="W67" i="63733"/>
  <c r="W234" i="1336" s="1"/>
  <c r="W233" i="1336" s="1"/>
  <c r="W238" i="1336" s="1"/>
  <c r="T51" i="63733"/>
  <c r="T52" i="63733" s="1"/>
  <c r="T68" i="63733"/>
  <c r="N72" i="63733"/>
  <c r="N12" i="63733"/>
  <c r="M105" i="63733"/>
  <c r="P105" i="63733"/>
  <c r="O56" i="63733"/>
  <c r="R71" i="63733"/>
  <c r="C31" i="63823"/>
  <c r="H3" i="63822"/>
  <c r="M97" i="63733"/>
  <c r="U65" i="63733"/>
  <c r="G31" i="63823"/>
  <c r="M86" i="63733"/>
  <c r="M88" i="63733" s="1"/>
  <c r="S67" i="63733"/>
  <c r="S65" i="63733"/>
  <c r="N90" i="63733"/>
  <c r="M82" i="63733"/>
  <c r="N403" i="63733"/>
  <c r="N83" i="63733"/>
  <c r="M7" i="63733"/>
  <c r="M14" i="63733" s="1"/>
  <c r="W65" i="63733"/>
  <c r="N17" i="63820"/>
  <c r="T55" i="63733"/>
  <c r="P68" i="63733"/>
  <c r="M57" i="63733"/>
  <c r="M64" i="63733"/>
  <c r="M73" i="63733" s="1"/>
  <c r="O64" i="63733"/>
  <c r="O73" i="63733" s="1"/>
  <c r="O7" i="63733"/>
  <c r="O14" i="63733" s="1"/>
  <c r="S234" i="1336" l="1"/>
  <c r="S233" i="1336" s="1"/>
  <c r="S238" i="1336" s="1"/>
  <c r="U234" i="1336"/>
  <c r="U233" i="1336" s="1"/>
  <c r="U238" i="1336" s="1"/>
  <c r="Z67" i="63733"/>
  <c r="Z234" i="1336" s="1"/>
  <c r="Z233" i="1336" s="1"/>
  <c r="Z238" i="1336" s="1"/>
  <c r="N18" i="63733"/>
  <c r="Q18" i="63733"/>
  <c r="O57" i="63733"/>
  <c r="E32" i="63823" s="1"/>
  <c r="E33" i="63823" s="1"/>
  <c r="T56" i="63733"/>
  <c r="T61" i="63733" s="1"/>
  <c r="W55" i="63733"/>
  <c r="W51" i="63733"/>
  <c r="Z51" i="63733" s="1"/>
  <c r="N50" i="63836" s="1" a="1"/>
  <c r="N50" i="63836" s="1"/>
  <c r="L18" i="63733"/>
  <c r="M18" i="63733" s="1"/>
  <c r="N47" i="63733"/>
  <c r="U55" i="63733"/>
  <c r="U51" i="63733"/>
  <c r="U52" i="63733" s="1"/>
  <c r="X67" i="63733"/>
  <c r="X234" i="1336" s="1"/>
  <c r="X233" i="1336" s="1"/>
  <c r="X65" i="63733"/>
  <c r="O12" i="63733"/>
  <c r="O18" i="63733" s="1"/>
  <c r="O278" i="1336"/>
  <c r="N6" i="1336"/>
  <c r="N282" i="1336"/>
  <c r="N39" i="63733"/>
  <c r="M12" i="63733"/>
  <c r="M47" i="63733" s="1"/>
  <c r="M278" i="1336"/>
  <c r="V65" i="63733"/>
  <c r="V67" i="63733"/>
  <c r="V234" i="1336" s="1"/>
  <c r="V233" i="1336" s="1"/>
  <c r="O71" i="63733"/>
  <c r="O72" i="63733" s="1"/>
  <c r="M70" i="63733"/>
  <c r="M72" i="63733" s="1"/>
  <c r="T71" i="63733"/>
  <c r="M403" i="63733"/>
  <c r="C46" i="63823"/>
  <c r="M87" i="63733"/>
  <c r="H4" i="63822"/>
  <c r="K4" i="63822"/>
  <c r="M90" i="63733"/>
  <c r="M91" i="63733" s="1"/>
  <c r="Q91" i="63733"/>
  <c r="U68" i="63733"/>
  <c r="W82" i="63821"/>
  <c r="AA95" i="63821"/>
  <c r="E46" i="63823"/>
  <c r="S55" i="63733"/>
  <c r="S71" i="63733" s="1"/>
  <c r="P97" i="63733"/>
  <c r="F31" i="63823"/>
  <c r="G46" i="63823"/>
  <c r="G34" i="63823"/>
  <c r="G33" i="63823" s="1"/>
  <c r="S68" i="63733"/>
  <c r="F8" i="63818"/>
  <c r="M83" i="63733"/>
  <c r="M84" i="63733"/>
  <c r="N92" i="63733"/>
  <c r="N91" i="63733"/>
  <c r="N33" i="63733"/>
  <c r="P7" i="63733"/>
  <c r="P14" i="63733" s="1"/>
  <c r="P82" i="63733"/>
  <c r="Q33" i="63733"/>
  <c r="L2" i="63820"/>
  <c r="P64" i="63733"/>
  <c r="P73" i="63733" s="1"/>
  <c r="P56" i="63733"/>
  <c r="O403" i="63733"/>
  <c r="W68" i="63733"/>
  <c r="Z65" i="63733"/>
  <c r="N45" i="1336" l="1"/>
  <c r="N215" i="1336"/>
  <c r="V238" i="1336"/>
  <c r="X238" i="1336"/>
  <c r="N230" i="1336"/>
  <c r="N229" i="1336"/>
  <c r="N255" i="1336"/>
  <c r="N231" i="1336"/>
  <c r="N258" i="1336"/>
  <c r="Z55" i="63733"/>
  <c r="Z56" i="63733" s="1"/>
  <c r="N46" i="63836" a="1"/>
  <c r="N46" i="63836" s="1"/>
  <c r="X82" i="63821"/>
  <c r="Z52" i="63733"/>
  <c r="W52" i="63733"/>
  <c r="K16" i="63820"/>
  <c r="K15" i="63820" s="1"/>
  <c r="K2" i="63820" s="1"/>
  <c r="K95" i="63821"/>
  <c r="D126" i="63821" s="1"/>
  <c r="AC95" i="63821"/>
  <c r="F126" i="63821"/>
  <c r="O60" i="63733"/>
  <c r="X51" i="63733"/>
  <c r="AA51" i="63733" s="1"/>
  <c r="AC51" i="63733"/>
  <c r="T57" i="63733"/>
  <c r="G133" i="63821" s="1"/>
  <c r="N72" i="1336"/>
  <c r="T60" i="63733"/>
  <c r="AA67" i="63733"/>
  <c r="AA65" i="63733"/>
  <c r="W56" i="63733"/>
  <c r="W71" i="63733"/>
  <c r="Q43" i="63733"/>
  <c r="U71" i="63733"/>
  <c r="U72" i="63733" s="1"/>
  <c r="U56" i="63733"/>
  <c r="O47" i="63733"/>
  <c r="N37" i="63733"/>
  <c r="N43" i="63733"/>
  <c r="V55" i="63733"/>
  <c r="V71" i="63733" s="1"/>
  <c r="V51" i="63733"/>
  <c r="N67" i="1336"/>
  <c r="M33" i="63733"/>
  <c r="M43" i="63733" s="1"/>
  <c r="V68" i="63733"/>
  <c r="S63" i="63733"/>
  <c r="S97" i="63733" s="1"/>
  <c r="X55" i="63733"/>
  <c r="Y67" i="63733"/>
  <c r="X68" i="63733"/>
  <c r="Y65" i="63733"/>
  <c r="N65" i="1336"/>
  <c r="N198" i="1336"/>
  <c r="N205" i="1336" s="1"/>
  <c r="N50" i="63829"/>
  <c r="N41" i="63802"/>
  <c r="N69" i="1336"/>
  <c r="M6" i="1336"/>
  <c r="N64" i="1336"/>
  <c r="M282" i="1336"/>
  <c r="M39" i="63733"/>
  <c r="P12" i="63733"/>
  <c r="P278" i="1336"/>
  <c r="N10" i="1336"/>
  <c r="N62" i="1336"/>
  <c r="O6" i="1336"/>
  <c r="O282" i="1336"/>
  <c r="O39" i="63733"/>
  <c r="P57" i="63733"/>
  <c r="P60" i="63733" s="1"/>
  <c r="P70" i="63733"/>
  <c r="P72" i="63733" s="1"/>
  <c r="T104" i="63733"/>
  <c r="T105" i="63733" s="1"/>
  <c r="M92" i="63733"/>
  <c r="I8" i="63818"/>
  <c r="I12" i="63818" s="1"/>
  <c r="B108" i="63821"/>
  <c r="H108" i="63821"/>
  <c r="D108" i="63821"/>
  <c r="F108" i="63821"/>
  <c r="C108" i="63821"/>
  <c r="E108" i="63821"/>
  <c r="G108" i="63821"/>
  <c r="I108" i="63821"/>
  <c r="M108" i="63821" s="1"/>
  <c r="Q7" i="1336"/>
  <c r="N261" i="1336"/>
  <c r="M261" i="1336" s="1"/>
  <c r="H8" i="63818"/>
  <c r="D2" i="63823"/>
  <c r="D21" i="63823" s="1"/>
  <c r="N210" i="1336"/>
  <c r="N204" i="1336"/>
  <c r="N200" i="1336"/>
  <c r="N209" i="1336"/>
  <c r="N208" i="1336"/>
  <c r="N202" i="1336"/>
  <c r="N207" i="1336"/>
  <c r="N201" i="1336"/>
  <c r="F46" i="63823"/>
  <c r="J31" i="63823"/>
  <c r="F34" i="63823"/>
  <c r="BA41" i="63802"/>
  <c r="N7" i="1336"/>
  <c r="M16" i="63810"/>
  <c r="T64" i="63733"/>
  <c r="F12" i="63818"/>
  <c r="C12" i="63818"/>
  <c r="Z68" i="63733"/>
  <c r="AC65" i="63733"/>
  <c r="AC67" i="63733"/>
  <c r="AC234" i="1336" s="1"/>
  <c r="AC233" i="1336" s="1"/>
  <c r="AC238" i="1336" s="1"/>
  <c r="P83" i="63733"/>
  <c r="P84" i="63733"/>
  <c r="T100" i="63733"/>
  <c r="T97" i="63733"/>
  <c r="T7" i="63733"/>
  <c r="P403" i="63733"/>
  <c r="N22" i="1336" l="1"/>
  <c r="N23" i="1336"/>
  <c r="Q23" i="1336"/>
  <c r="AA234" i="1336"/>
  <c r="AA233" i="1336" s="1"/>
  <c r="AA238" i="1336" s="1"/>
  <c r="AB65" i="63733"/>
  <c r="AB67" i="63733"/>
  <c r="AB55" i="63733" s="1"/>
  <c r="M45" i="1336"/>
  <c r="M215" i="1336"/>
  <c r="O45" i="1336"/>
  <c r="O215" i="1336"/>
  <c r="Z71" i="63733"/>
  <c r="Z72" i="63733" s="1"/>
  <c r="AA52" i="63733"/>
  <c r="AD52" i="63733"/>
  <c r="Y234" i="1336"/>
  <c r="Y233" i="1336" s="1"/>
  <c r="Y238" i="1336" s="1"/>
  <c r="O231" i="1336"/>
  <c r="O230" i="1336"/>
  <c r="O229" i="1336"/>
  <c r="O257" i="1336"/>
  <c r="O259" i="1336" s="1"/>
  <c r="M231" i="1336"/>
  <c r="M230" i="1336"/>
  <c r="M229" i="1336"/>
  <c r="M258" i="1336"/>
  <c r="P258" i="1336" s="1"/>
  <c r="S258" i="1336" s="1"/>
  <c r="V258" i="1336" s="1"/>
  <c r="Y258" i="1336" s="1"/>
  <c r="O46" i="63836" a="1"/>
  <c r="O46" i="63836" s="1"/>
  <c r="O50" i="63836" a="1"/>
  <c r="O50" i="63836" s="1"/>
  <c r="AA55" i="63733"/>
  <c r="AA56" i="63733" s="1"/>
  <c r="AD56" i="63733" s="1"/>
  <c r="AG56" i="63733" s="1"/>
  <c r="X52" i="63733"/>
  <c r="Y52" i="63733"/>
  <c r="V52" i="63733"/>
  <c r="AF51" i="63733"/>
  <c r="AC52" i="63733"/>
  <c r="J108" i="63821"/>
  <c r="N108" i="63821" s="1"/>
  <c r="E140" i="63821"/>
  <c r="Z57" i="63733"/>
  <c r="N16" i="63820"/>
  <c r="N15" i="63820" s="1"/>
  <c r="N2" i="63820" s="1"/>
  <c r="J32" i="63823"/>
  <c r="AD65" i="63733"/>
  <c r="AD67" i="63733"/>
  <c r="AD234" i="1336" s="1"/>
  <c r="AD233" i="1336" s="1"/>
  <c r="P282" i="1336"/>
  <c r="P18" i="63733"/>
  <c r="X56" i="63733"/>
  <c r="X57" i="63733" s="1"/>
  <c r="X71" i="63733"/>
  <c r="T14" i="63733"/>
  <c r="W14" i="63733"/>
  <c r="M64" i="1336"/>
  <c r="N61" i="1336"/>
  <c r="M7" i="1336"/>
  <c r="AA68" i="63733"/>
  <c r="O200" i="1336"/>
  <c r="O40" i="1336"/>
  <c r="S104" i="63733"/>
  <c r="S105" i="63733" s="1"/>
  <c r="J12" i="63818"/>
  <c r="O201" i="1336"/>
  <c r="O204" i="1336"/>
  <c r="T278" i="1336"/>
  <c r="T73" i="63733"/>
  <c r="T72" i="63733" s="1"/>
  <c r="M69" i="1336"/>
  <c r="M62" i="1336"/>
  <c r="Y68" i="63733"/>
  <c r="O7" i="1336"/>
  <c r="Y55" i="63733"/>
  <c r="Y71" i="63733" s="1"/>
  <c r="O202" i="1336"/>
  <c r="M67" i="1336"/>
  <c r="O207" i="1336"/>
  <c r="M65" i="1336"/>
  <c r="M10" i="1336"/>
  <c r="M23" i="1336" s="1"/>
  <c r="O64" i="1336"/>
  <c r="O255" i="1336" s="1"/>
  <c r="O67" i="1336"/>
  <c r="O69" i="1336"/>
  <c r="O62" i="1336"/>
  <c r="O65" i="1336"/>
  <c r="P6" i="1336"/>
  <c r="P215" i="1336" s="1"/>
  <c r="O10" i="1336"/>
  <c r="O23" i="1336" s="1"/>
  <c r="O198" i="1336"/>
  <c r="O205" i="1336" s="1"/>
  <c r="AK95" i="63821"/>
  <c r="Y75" i="63821" s="1"/>
  <c r="O120" i="1336"/>
  <c r="F32" i="63823"/>
  <c r="F33" i="63823" s="1"/>
  <c r="Y82" i="63821"/>
  <c r="W104" i="63733"/>
  <c r="AB95" i="63821"/>
  <c r="J8" i="63818"/>
  <c r="N28" i="63733"/>
  <c r="L30" i="63733" s="1"/>
  <c r="M30" i="63733" s="1"/>
  <c r="C20" i="63823"/>
  <c r="O261" i="1336"/>
  <c r="P261" i="1336" s="1"/>
  <c r="H12" i="63818"/>
  <c r="N11" i="1336"/>
  <c r="N29" i="63733" s="1"/>
  <c r="D7" i="63823"/>
  <c r="C2" i="63823"/>
  <c r="G2" i="63823"/>
  <c r="J3" i="63823"/>
  <c r="J34" i="63823"/>
  <c r="E2" i="63823"/>
  <c r="M219" i="1336"/>
  <c r="N120" i="1336"/>
  <c r="E12" i="63818"/>
  <c r="T87" i="63733"/>
  <c r="AC68" i="63733"/>
  <c r="AF65" i="63733"/>
  <c r="AC55" i="63733"/>
  <c r="AC56" i="63733" s="1"/>
  <c r="AC57" i="63733" s="1"/>
  <c r="AF67" i="63733"/>
  <c r="AF234" i="1336" s="1"/>
  <c r="AF233" i="1336" s="1"/>
  <c r="AF238" i="1336" s="1"/>
  <c r="W97" i="63733"/>
  <c r="W64" i="63733"/>
  <c r="W73" i="63733" s="1"/>
  <c r="W72" i="63733" s="1"/>
  <c r="BD41" i="63802"/>
  <c r="N16" i="63810"/>
  <c r="AD238" i="1336" l="1"/>
  <c r="AB56" i="63733"/>
  <c r="AB71" i="63733"/>
  <c r="AB258" i="1336"/>
  <c r="AE258" i="1336" s="1"/>
  <c r="AH258" i="1336" s="1"/>
  <c r="AB234" i="1336"/>
  <c r="AB233" i="1336" s="1"/>
  <c r="AB238" i="1336" s="1"/>
  <c r="AB68" i="63733"/>
  <c r="AF56" i="63733"/>
  <c r="AI56" i="63733" s="1"/>
  <c r="AI62" i="63733" s="1"/>
  <c r="P45" i="1336"/>
  <c r="P50" i="63836" a="1"/>
  <c r="P50" i="63836" s="1"/>
  <c r="P46" i="63836" a="1"/>
  <c r="P46" i="63836" s="1"/>
  <c r="AG67" i="63733"/>
  <c r="AG234" i="1336" s="1"/>
  <c r="AG233" i="1336" s="1"/>
  <c r="AG238" i="1336" s="1"/>
  <c r="AG65" i="63733"/>
  <c r="AG54" i="63733"/>
  <c r="AA71" i="63733"/>
  <c r="AA57" i="63733"/>
  <c r="X72" i="63733"/>
  <c r="J33" i="63823"/>
  <c r="AI51" i="63733"/>
  <c r="AF52" i="63733"/>
  <c r="W105" i="63733"/>
  <c r="Z105" i="63733"/>
  <c r="AE67" i="63733"/>
  <c r="AE65" i="63733"/>
  <c r="AD68" i="63733"/>
  <c r="AD55" i="63733"/>
  <c r="AD71" i="63733" s="1"/>
  <c r="M61" i="1336"/>
  <c r="O11" i="1336"/>
  <c r="O29" i="63733" s="1"/>
  <c r="AC71" i="63733"/>
  <c r="N95" i="63821"/>
  <c r="AC75" i="63821" s="1"/>
  <c r="N68" i="1336"/>
  <c r="AD95" i="63821"/>
  <c r="O108" i="63821" s="1"/>
  <c r="M22" i="1336"/>
  <c r="P62" i="1336"/>
  <c r="P64" i="1336"/>
  <c r="P65" i="1336"/>
  <c r="P67" i="1336"/>
  <c r="O61" i="1336"/>
  <c r="O22" i="1336"/>
  <c r="P10" i="1336"/>
  <c r="O28" i="63733"/>
  <c r="Q27" i="1336"/>
  <c r="M28" i="63733"/>
  <c r="C21" i="63823"/>
  <c r="F2" i="63823"/>
  <c r="F5" i="63823" s="1"/>
  <c r="D8" i="63823"/>
  <c r="G8" i="63823" s="1"/>
  <c r="J8" i="63823" s="1"/>
  <c r="K8" i="63823" s="1"/>
  <c r="L8" i="63823" s="1"/>
  <c r="M11" i="1336"/>
  <c r="M29" i="63733" s="1"/>
  <c r="C7" i="63823"/>
  <c r="G5" i="63823"/>
  <c r="E5" i="63823"/>
  <c r="E7" i="63823"/>
  <c r="BD74" i="63802"/>
  <c r="BD76" i="63802" s="1"/>
  <c r="BA74" i="63802"/>
  <c r="BA76" i="63802" s="1"/>
  <c r="N140" i="1336"/>
  <c r="BA43" i="63802"/>
  <c r="W87" i="63733"/>
  <c r="P7" i="1336"/>
  <c r="AI65" i="63733"/>
  <c r="AF68" i="63733"/>
  <c r="AF55" i="63733"/>
  <c r="AI67" i="63733"/>
  <c r="P61" i="1336" l="1"/>
  <c r="AI234" i="1336"/>
  <c r="AI233" i="1336" s="1"/>
  <c r="AI238" i="1336" s="1"/>
  <c r="AF71" i="63733"/>
  <c r="AF72" i="63733" s="1"/>
  <c r="AL56" i="63733"/>
  <c r="AE55" i="63733"/>
  <c r="AE71" i="63733" s="1"/>
  <c r="AE72" i="63733" s="1"/>
  <c r="AE234" i="1336"/>
  <c r="AE233" i="1336" s="1"/>
  <c r="AE238" i="1336" s="1"/>
  <c r="Q46" i="63836" a="1"/>
  <c r="Q46" i="63836" s="1"/>
  <c r="Q50" i="63836" a="1"/>
  <c r="Q50" i="63836" s="1"/>
  <c r="AI52" i="63733"/>
  <c r="AH65" i="63733"/>
  <c r="AG68" i="63733"/>
  <c r="AH67" i="63733"/>
  <c r="AG55" i="63733"/>
  <c r="AL51" i="63733"/>
  <c r="AE68" i="63733"/>
  <c r="O20" i="63733"/>
  <c r="O30" i="63733"/>
  <c r="P30" i="63733" s="1"/>
  <c r="M68" i="1336"/>
  <c r="O68" i="1336"/>
  <c r="Q103" i="1336"/>
  <c r="Q100" i="1336"/>
  <c r="G7" i="63823"/>
  <c r="C8" i="63823"/>
  <c r="F8" i="63823" s="1"/>
  <c r="AL65" i="63733"/>
  <c r="AI68" i="63733"/>
  <c r="AL67" i="63733"/>
  <c r="AL234" i="1336" s="1"/>
  <c r="AL233" i="1336" s="1"/>
  <c r="AI55" i="63733"/>
  <c r="D43" i="63807"/>
  <c r="D47" i="63807" s="1"/>
  <c r="M4" i="63810"/>
  <c r="AO56" i="63733" l="1"/>
  <c r="AR56" i="63733" s="1"/>
  <c r="AU56" i="63733" s="1"/>
  <c r="AL238" i="1336"/>
  <c r="AI71" i="63733"/>
  <c r="AI72" i="63733" s="1"/>
  <c r="AL52" i="63733"/>
  <c r="AH55" i="63733"/>
  <c r="AH71" i="63733" s="1"/>
  <c r="AH72" i="63733" s="1"/>
  <c r="AH234" i="1336"/>
  <c r="AH233" i="1336" s="1"/>
  <c r="AH238" i="1336" s="1"/>
  <c r="AG71" i="63733"/>
  <c r="AG72" i="63733" s="1"/>
  <c r="AG63" i="63733"/>
  <c r="AH68" i="63733"/>
  <c r="AO51" i="63733"/>
  <c r="AO52" i="63733" s="1"/>
  <c r="O21" i="63733"/>
  <c r="O75" i="63733"/>
  <c r="O76" i="63733" s="1"/>
  <c r="I8" i="63823"/>
  <c r="F7" i="63823"/>
  <c r="AL68" i="63733"/>
  <c r="AO65" i="63733"/>
  <c r="AL55" i="63733"/>
  <c r="AL71" i="63733" s="1"/>
  <c r="AL72" i="63733" s="1"/>
  <c r="AO67" i="63733"/>
  <c r="AO234" i="1336" s="1"/>
  <c r="AO233" i="1336" s="1"/>
  <c r="M22" i="63810"/>
  <c r="AO238" i="1336" l="1"/>
  <c r="AG104" i="63733"/>
  <c r="AG7" i="63733"/>
  <c r="AG97" i="63733"/>
  <c r="AR51" i="63733"/>
  <c r="AR52" i="63733" s="1"/>
  <c r="E37" i="63823"/>
  <c r="E36" i="63823" s="1"/>
  <c r="E39" i="63823" s="1"/>
  <c r="O78" i="63733"/>
  <c r="AR65" i="63733"/>
  <c r="AR67" i="63733"/>
  <c r="AO68" i="63733"/>
  <c r="AO55" i="63733"/>
  <c r="AO71" i="63733" s="1"/>
  <c r="AO72" i="63733" s="1"/>
  <c r="R46" i="63836" l="1" a="1"/>
  <c r="R46" i="63836" s="1"/>
  <c r="AR234" i="1336"/>
  <c r="AR233" i="1336" s="1"/>
  <c r="AR238" i="1336" s="1"/>
  <c r="AU51" i="63733"/>
  <c r="R50" i="63836" a="1"/>
  <c r="R50" i="63836" s="1"/>
  <c r="O79" i="63733"/>
  <c r="O80" i="63733"/>
  <c r="AU65" i="63733"/>
  <c r="AU67" i="63733"/>
  <c r="AU234" i="1336" s="1"/>
  <c r="AU233" i="1336" s="1"/>
  <c r="AR55" i="63733"/>
  <c r="AR68" i="63733"/>
  <c r="AU238" i="1336" l="1"/>
  <c r="AX51" i="63733"/>
  <c r="AU52" i="63733"/>
  <c r="AX67" i="63733"/>
  <c r="AX234" i="1336" s="1"/>
  <c r="AX233" i="1336" s="1"/>
  <c r="AX238" i="1336" s="1"/>
  <c r="AX65" i="63733"/>
  <c r="AU55" i="63733"/>
  <c r="AU68" i="63733"/>
  <c r="AR71" i="63733"/>
  <c r="AR72" i="63733" s="1"/>
  <c r="BA51" i="63733" l="1"/>
  <c r="AX52" i="63733"/>
  <c r="BA65" i="63733"/>
  <c r="BA67" i="63733"/>
  <c r="BA234" i="1336" s="1"/>
  <c r="BA233" i="1336" s="1"/>
  <c r="BA238" i="1336" s="1"/>
  <c r="AX68" i="63733"/>
  <c r="AX55" i="63733"/>
  <c r="AU71" i="63733"/>
  <c r="AU72" i="63733" s="1"/>
  <c r="BD51" i="63733" l="1"/>
  <c r="BA52" i="63733"/>
  <c r="BD65" i="63733"/>
  <c r="BD67" i="63733"/>
  <c r="BD234" i="1336" s="1"/>
  <c r="BD233" i="1336" s="1"/>
  <c r="BD238" i="1336" s="1"/>
  <c r="BA68" i="63733"/>
  <c r="BA55" i="63733"/>
  <c r="AX71" i="63733"/>
  <c r="AX72" i="63733" s="1"/>
  <c r="BG51" i="63733" l="1"/>
  <c r="BD52" i="63733"/>
  <c r="BG67" i="63733"/>
  <c r="BG234" i="1336" s="1"/>
  <c r="BG233" i="1336" s="1"/>
  <c r="BG65" i="63733"/>
  <c r="BD68" i="63733"/>
  <c r="BD55" i="63733"/>
  <c r="BA71" i="63733"/>
  <c r="BA72" i="63733" s="1"/>
  <c r="BG238" i="1336" l="1"/>
  <c r="BJ51" i="63733"/>
  <c r="BJ52" i="63733" s="1"/>
  <c r="BG52" i="63733"/>
  <c r="BJ65" i="63733"/>
  <c r="BJ67" i="63733"/>
  <c r="BJ234" i="1336" s="1"/>
  <c r="BJ233" i="1336" s="1"/>
  <c r="BJ238" i="1336" s="1"/>
  <c r="BG68" i="63733"/>
  <c r="BG55" i="63733"/>
  <c r="BG71" i="63733" s="1"/>
  <c r="BG72" i="63733" s="1"/>
  <c r="BD71" i="63733"/>
  <c r="BD72" i="63733" s="1"/>
  <c r="F18" i="63818"/>
  <c r="BJ55" i="63733" l="1"/>
  <c r="BJ71" i="63733" s="1"/>
  <c r="BJ72" i="63733" s="1"/>
  <c r="BJ68" i="63733"/>
  <c r="O47" i="63818"/>
  <c r="H18" i="63818"/>
  <c r="Q47" i="63818" l="1"/>
  <c r="N404" i="63733" l="1"/>
  <c r="N405" i="63733" s="1"/>
  <c r="N215" i="63733"/>
  <c r="N228" i="63733"/>
  <c r="N33" i="1336"/>
  <c r="N32" i="1336"/>
  <c r="N139" i="1336"/>
  <c r="BA42" i="63802"/>
  <c r="N229" i="63733"/>
  <c r="D45" i="63812"/>
  <c r="D46" i="63812" s="1"/>
  <c r="M227" i="63733"/>
  <c r="M35" i="63733" s="1"/>
  <c r="N217" i="63733" l="1"/>
  <c r="N216" i="63733"/>
  <c r="M37" i="63733"/>
  <c r="M45" i="63733"/>
  <c r="M215" i="63733"/>
  <c r="D10" i="63823"/>
  <c r="N59" i="1336"/>
  <c r="N105" i="1336"/>
  <c r="N109" i="1336" s="1"/>
  <c r="M109" i="1336" s="1"/>
  <c r="D27" i="63807"/>
  <c r="Q44" i="1336"/>
  <c r="Q26" i="1336"/>
  <c r="M229" i="63733"/>
  <c r="D29" i="63821"/>
  <c r="M228" i="63733"/>
  <c r="N288" i="1336" l="1"/>
  <c r="M217" i="63733"/>
  <c r="M216" i="63733"/>
  <c r="N99" i="1336"/>
  <c r="H3" i="63824"/>
  <c r="Q32" i="63811"/>
  <c r="D14" i="63823"/>
  <c r="D17" i="63823"/>
  <c r="N44" i="1336"/>
  <c r="N51" i="1336"/>
  <c r="N83" i="1336" s="1"/>
  <c r="BA45" i="63802"/>
  <c r="D35" i="63807"/>
  <c r="D37" i="63807" s="1"/>
  <c r="M19" i="63810"/>
  <c r="BA69" i="63802"/>
  <c r="N26" i="1336"/>
  <c r="M23" i="63810"/>
  <c r="N27" i="1336"/>
  <c r="N100" i="1336" l="1"/>
  <c r="M100" i="1336" s="1"/>
  <c r="M99" i="1336"/>
  <c r="N84" i="1336"/>
  <c r="Q84" i="1336"/>
  <c r="M51" i="1336"/>
  <c r="N80" i="1336"/>
  <c r="Q81" i="1336" s="1"/>
  <c r="AF284" i="63733"/>
  <c r="AO284" i="63733" s="1"/>
  <c r="AX284" i="63733" s="1"/>
  <c r="BG284" i="63733" s="1"/>
  <c r="H2" i="63824"/>
  <c r="Q33" i="63811"/>
  <c r="M54" i="1336"/>
  <c r="C26" i="63823"/>
  <c r="Q3" i="63811"/>
  <c r="D38" i="63807"/>
  <c r="D49" i="63807" s="1"/>
  <c r="D22" i="63823"/>
  <c r="D18" i="63823"/>
  <c r="M59" i="1336"/>
  <c r="M404" i="63733"/>
  <c r="M405" i="63733" s="1"/>
  <c r="M288" i="1336" l="1"/>
  <c r="N81" i="1336"/>
  <c r="M80" i="1336"/>
  <c r="M81" i="1336" s="1"/>
  <c r="M83" i="1336"/>
  <c r="M84" i="1336" s="1"/>
  <c r="M44" i="1336"/>
  <c r="H10" i="63824"/>
  <c r="Q7" i="63811"/>
  <c r="Q28" i="63811"/>
  <c r="Q30" i="63811" s="1"/>
  <c r="D23" i="63823"/>
  <c r="D28" i="63823"/>
  <c r="N129" i="1336"/>
  <c r="M129" i="1336" s="1"/>
  <c r="N142" i="1336"/>
  <c r="M3" i="63810"/>
  <c r="M5" i="63810" s="1"/>
  <c r="N145" i="1336"/>
  <c r="BA58" i="63802"/>
  <c r="N143" i="1336" l="1"/>
  <c r="M143" i="1336" s="1"/>
  <c r="M142" i="1336"/>
  <c r="N150" i="1336"/>
  <c r="M13" i="63810"/>
  <c r="M32" i="1336"/>
  <c r="M33" i="1336"/>
  <c r="M7" i="63810"/>
  <c r="M9" i="63810"/>
  <c r="M11" i="63810" s="1"/>
  <c r="M14" i="63810"/>
  <c r="N132" i="1336" l="1"/>
  <c r="BA46" i="63802" s="1"/>
  <c r="N213" i="1336"/>
  <c r="N214" i="1336" s="1"/>
  <c r="M150" i="1336"/>
  <c r="M213" i="1336" s="1"/>
  <c r="C10" i="63823"/>
  <c r="AF283" i="63733"/>
  <c r="N154" i="1336"/>
  <c r="M56" i="1336"/>
  <c r="M18" i="63810" l="1"/>
  <c r="M20" i="63810" s="1"/>
  <c r="N137" i="1336"/>
  <c r="Q36" i="63811"/>
  <c r="H6" i="63824" s="1"/>
  <c r="N165" i="1336"/>
  <c r="M154" i="1336"/>
  <c r="Q131" i="1336"/>
  <c r="M132" i="1336"/>
  <c r="G15" i="63824"/>
  <c r="G17" i="63824" s="1"/>
  <c r="G7" i="63824"/>
  <c r="N133" i="1336"/>
  <c r="N138" i="1336"/>
  <c r="O138" i="1336" s="1"/>
  <c r="M27" i="1336"/>
  <c r="M26" i="1336"/>
  <c r="C17" i="63823"/>
  <c r="C14" i="63823"/>
  <c r="AI283" i="63733"/>
  <c r="I9" i="63824"/>
  <c r="BA54" i="63802"/>
  <c r="BA55" i="63802" s="1"/>
  <c r="BA47" i="63802"/>
  <c r="BA49" i="63802"/>
  <c r="N56" i="1336"/>
  <c r="N55" i="1336"/>
  <c r="M24" i="63810" l="1"/>
  <c r="N211" i="1336"/>
  <c r="N286" i="1336"/>
  <c r="N287" i="1336" s="1"/>
  <c r="N289" i="1336" s="1"/>
  <c r="N190" i="1336"/>
  <c r="N193" i="1336"/>
  <c r="Q37" i="63811"/>
  <c r="Q39" i="63811" s="1"/>
  <c r="Q40" i="63811"/>
  <c r="P131" i="1336"/>
  <c r="M137" i="1336"/>
  <c r="M165" i="1336"/>
  <c r="M286" i="1336" s="1"/>
  <c r="M287" i="1336" s="1"/>
  <c r="M289" i="1336" s="1"/>
  <c r="C18" i="63823"/>
  <c r="C22" i="63823"/>
  <c r="AL283" i="63733"/>
  <c r="H14" i="63824"/>
  <c r="H8" i="63824"/>
  <c r="H11" i="63824"/>
  <c r="H7" i="63824"/>
  <c r="BA59" i="63802"/>
  <c r="N54" i="1336"/>
  <c r="BA71" i="63802"/>
  <c r="BA56" i="63802"/>
  <c r="BA57" i="63802"/>
  <c r="C23" i="63823" l="1"/>
  <c r="C28" i="63823"/>
  <c r="AO283" i="63733"/>
  <c r="H19" i="63824"/>
  <c r="H16" i="63824"/>
  <c r="H15" i="63824"/>
  <c r="AR283" i="63733" l="1"/>
  <c r="H20" i="63824"/>
  <c r="H17" i="63824"/>
  <c r="BA48" i="63802"/>
  <c r="AU283" i="63733" l="1"/>
  <c r="AX283" i="63733" s="1"/>
  <c r="BA283" i="63733" s="1"/>
  <c r="BD283" i="63733" s="1"/>
  <c r="BG283" i="63733" s="1"/>
  <c r="BJ283" i="63733" s="1"/>
  <c r="E25" i="63823" l="1"/>
  <c r="F21" i="63818" l="1"/>
  <c r="H21" i="63818" l="1"/>
  <c r="J21" i="63818"/>
  <c r="C24" i="63818"/>
  <c r="F24" i="63818"/>
  <c r="I14" i="63824"/>
  <c r="H24" i="63818" l="1"/>
  <c r="F32" i="63818"/>
  <c r="F26" i="63818"/>
  <c r="H26" i="63818" s="1"/>
  <c r="E24" i="63818"/>
  <c r="H32" i="63818" l="1"/>
  <c r="C28" i="63818" l="1"/>
  <c r="F28" i="63818"/>
  <c r="H28" i="63818" l="1"/>
  <c r="E28" i="63818"/>
  <c r="C31" i="63818" l="1"/>
  <c r="T118" i="1336"/>
  <c r="O4" i="63810"/>
  <c r="F43" i="63807"/>
  <c r="S118" i="1336" l="1"/>
  <c r="H31" i="63818"/>
  <c r="E31" i="63818"/>
  <c r="N4" i="63810" l="1"/>
  <c r="E43" i="63807"/>
  <c r="E47" i="63807" s="1"/>
  <c r="C32" i="63818" l="1"/>
  <c r="P90" i="63733"/>
  <c r="P91" i="63733" s="1"/>
  <c r="O33" i="63733"/>
  <c r="O37" i="63733" l="1"/>
  <c r="O43" i="63733"/>
  <c r="N44" i="63818"/>
  <c r="P44" i="63818" s="1"/>
  <c r="O87" i="63733"/>
  <c r="E32" i="63818"/>
  <c r="P33" i="63733"/>
  <c r="P43" i="63733" s="1"/>
  <c r="P92" i="63733"/>
  <c r="P86" i="63733"/>
  <c r="P88" i="63733" s="1"/>
  <c r="I14" i="63818" l="1"/>
  <c r="P87" i="63733"/>
  <c r="E20" i="63823" l="1"/>
  <c r="O140" i="1336"/>
  <c r="E21" i="63823" l="1"/>
  <c r="O228" i="63733" l="1"/>
  <c r="N46" i="63818" l="1"/>
  <c r="P46" i="63818" s="1"/>
  <c r="O404" i="63733" l="1"/>
  <c r="O405" i="63733" s="1"/>
  <c r="I15" i="63818"/>
  <c r="I18" i="63818" s="1"/>
  <c r="J18" i="63818" s="1"/>
  <c r="O32" i="1336"/>
  <c r="O105" i="1336"/>
  <c r="O109" i="1336" s="1"/>
  <c r="O33" i="1336"/>
  <c r="N47" i="63818" s="1"/>
  <c r="P47" i="63818" s="1"/>
  <c r="O27" i="1336" l="1"/>
  <c r="I24" i="63818"/>
  <c r="J24" i="63818" s="1"/>
  <c r="I18" i="63824"/>
  <c r="O139" i="1336"/>
  <c r="O44" i="1336" l="1"/>
  <c r="O54" i="1336"/>
  <c r="O26" i="1336"/>
  <c r="O99" i="1336"/>
  <c r="O129" i="1336"/>
  <c r="O150" i="1336" s="1"/>
  <c r="I32" i="63818"/>
  <c r="J32" i="63818" s="1"/>
  <c r="O132" i="1336" l="1"/>
  <c r="O213" i="1336"/>
  <c r="O103" i="1336"/>
  <c r="P99" i="1336"/>
  <c r="O100" i="1336"/>
  <c r="P100" i="1336" s="1"/>
  <c r="O154" i="1336"/>
  <c r="O165" i="1336" s="1"/>
  <c r="O286" i="1336" s="1"/>
  <c r="O287" i="1336" s="1"/>
  <c r="I31" i="63818"/>
  <c r="J31" i="63818" s="1"/>
  <c r="O59" i="1336"/>
  <c r="O51" i="1336"/>
  <c r="I3" i="63824"/>
  <c r="O288" i="1336" l="1"/>
  <c r="O289" i="1336" s="1"/>
  <c r="O190" i="1336"/>
  <c r="O80" i="1336"/>
  <c r="O81" i="1336" s="1"/>
  <c r="O83" i="1336"/>
  <c r="O84" i="1336" s="1"/>
  <c r="O193" i="1336"/>
  <c r="O145" i="1336"/>
  <c r="O142" i="1336"/>
  <c r="I28" i="63818" l="1"/>
  <c r="J28" i="63818" s="1"/>
  <c r="O56" i="1336" l="1"/>
  <c r="O93" i="1336"/>
  <c r="I11" i="63824" l="1"/>
  <c r="I19" i="63824"/>
  <c r="O143" i="1336"/>
  <c r="N10" i="63810" l="1"/>
  <c r="I15" i="63824" l="1"/>
  <c r="I7" i="63824"/>
  <c r="I17" i="63824" l="1"/>
  <c r="I20" i="63824"/>
  <c r="O133" i="1336"/>
  <c r="G25" i="63823" l="1"/>
  <c r="T44" i="63811"/>
  <c r="BD44" i="63802"/>
  <c r="T6" i="63811" l="1"/>
  <c r="S42" i="63811"/>
  <c r="F25" i="63823"/>
  <c r="S44" i="63811"/>
  <c r="N22" i="63810" l="1"/>
  <c r="F14" i="63818" l="1"/>
  <c r="J14" i="63818" s="1"/>
  <c r="C14" i="63818"/>
  <c r="E15" i="63818"/>
  <c r="F15" i="63818"/>
  <c r="J15" i="63818" s="1"/>
  <c r="F16" i="63818"/>
  <c r="J16" i="63818" s="1"/>
  <c r="F17" i="63818"/>
  <c r="H17" i="63818" l="1"/>
  <c r="J17" i="63818"/>
  <c r="H14" i="63818"/>
  <c r="H15" i="63818"/>
  <c r="E14" i="63818"/>
  <c r="H16" i="63818"/>
  <c r="C16" i="63818"/>
  <c r="E16" i="63818" s="1"/>
  <c r="C17" i="63818"/>
  <c r="E17" i="63818" s="1"/>
  <c r="C18" i="63818" l="1"/>
  <c r="E18" i="63818" l="1"/>
  <c r="C29" i="63818" l="1"/>
  <c r="F29" i="63818" s="1"/>
  <c r="J29" i="63818" s="1"/>
  <c r="E29" i="63818" l="1"/>
  <c r="H29" i="63818"/>
  <c r="Q215" i="63733" l="1"/>
  <c r="Q404" i="63733"/>
  <c r="Q405" i="63733" s="1"/>
  <c r="Q229" i="63733"/>
  <c r="E45" i="63812"/>
  <c r="E46" i="63812" s="1"/>
  <c r="Q228" i="63733"/>
  <c r="Q217" i="63733" l="1"/>
  <c r="Q216" i="63733"/>
  <c r="P215" i="63733"/>
  <c r="P228" i="63733"/>
  <c r="P229" i="63733"/>
  <c r="P217" i="63733" l="1"/>
  <c r="P216" i="63733"/>
  <c r="P404" i="63733"/>
  <c r="P405" i="63733" s="1"/>
  <c r="BD69" i="63802"/>
  <c r="T32" i="63811"/>
  <c r="N19" i="63810"/>
  <c r="K3" i="63824"/>
  <c r="N23" i="63810"/>
  <c r="K2" i="63824" l="1"/>
  <c r="Q78" i="1336" l="1"/>
  <c r="BD58" i="63802" l="1"/>
  <c r="P44" i="1336" l="1"/>
  <c r="P51" i="1336"/>
  <c r="P80" i="1336" l="1"/>
  <c r="P81" i="1336" s="1"/>
  <c r="P83" i="1336"/>
  <c r="P84" i="1336" s="1"/>
  <c r="P78" i="1336" l="1"/>
  <c r="U44" i="63811" l="1"/>
  <c r="U42" i="63811"/>
  <c r="H25" i="63823"/>
  <c r="R6" i="63811" l="1"/>
  <c r="P56" i="1336" l="1"/>
  <c r="Q92" i="1336"/>
  <c r="Q55" i="1336" s="1"/>
  <c r="P93" i="1336"/>
  <c r="Q56" i="1336" l="1"/>
  <c r="S125" i="1336"/>
  <c r="P55" i="1336"/>
  <c r="P54" i="1336" s="1"/>
  <c r="Q93" i="1336"/>
  <c r="Q94" i="1336" s="1"/>
  <c r="BD59" i="63802" l="1"/>
  <c r="Q54" i="1336"/>
  <c r="BD48" i="63802" l="1"/>
  <c r="O10" i="63810" l="1"/>
  <c r="R7" i="63733" l="1"/>
  <c r="R56" i="63733"/>
  <c r="S56" i="63733"/>
  <c r="AB61" i="63733" s="1"/>
  <c r="R64" i="63733"/>
  <c r="R83" i="63733"/>
  <c r="S86" i="63733"/>
  <c r="S88" i="63733" s="1"/>
  <c r="R87" i="63733"/>
  <c r="R90" i="63733"/>
  <c r="H31" i="63823"/>
  <c r="H34" i="63823" s="1"/>
  <c r="H46" i="63823"/>
  <c r="R14" i="63733" l="1"/>
  <c r="U14" i="63733"/>
  <c r="S57" i="63733"/>
  <c r="Z95" i="63821" s="1"/>
  <c r="T95" i="63821" s="1"/>
  <c r="R403" i="63733"/>
  <c r="R57" i="63733"/>
  <c r="U57" i="63733"/>
  <c r="R278" i="1336"/>
  <c r="R33" i="63733"/>
  <c r="R73" i="63733"/>
  <c r="R72" i="63733" s="1"/>
  <c r="R61" i="63733"/>
  <c r="S7" i="63733"/>
  <c r="S14" i="63733" s="1"/>
  <c r="R12" i="63733"/>
  <c r="R60" i="63733"/>
  <c r="I31" i="63823"/>
  <c r="I34" i="63823" s="1"/>
  <c r="S64" i="63733"/>
  <c r="R91" i="63733"/>
  <c r="R92" i="63733"/>
  <c r="S87" i="63733"/>
  <c r="S60" i="63733"/>
  <c r="S61" i="63733"/>
  <c r="R47" i="63733" l="1"/>
  <c r="R18" i="63733"/>
  <c r="U18" i="63733"/>
  <c r="R102" i="63818"/>
  <c r="R43" i="63733"/>
  <c r="V63" i="63733"/>
  <c r="M38" i="63818"/>
  <c r="P38" i="63818" s="1"/>
  <c r="H32" i="63823"/>
  <c r="H33" i="63823" s="1"/>
  <c r="Z82" i="63821"/>
  <c r="S73" i="63733"/>
  <c r="S72" i="63733" s="1"/>
  <c r="U97" i="63733"/>
  <c r="U104" i="63733"/>
  <c r="R6" i="1336"/>
  <c r="R282" i="1336"/>
  <c r="R39" i="63733"/>
  <c r="AD199" i="1336"/>
  <c r="AG199" i="1336" s="1"/>
  <c r="AJ199" i="1336" s="1"/>
  <c r="V103" i="63821"/>
  <c r="AA82" i="63821"/>
  <c r="F133" i="63821"/>
  <c r="I32" i="63823"/>
  <c r="I33" i="63823" s="1"/>
  <c r="R45" i="1336" l="1"/>
  <c r="R215" i="1336"/>
  <c r="AM199" i="1336"/>
  <c r="AJ205" i="1336"/>
  <c r="R230" i="1336"/>
  <c r="R229" i="1336"/>
  <c r="R231" i="1336"/>
  <c r="R258" i="1336"/>
  <c r="U258" i="1336" s="1"/>
  <c r="U105" i="63733"/>
  <c r="X105" i="63733"/>
  <c r="R40" i="1336"/>
  <c r="V64" i="63733"/>
  <c r="V56" i="63733"/>
  <c r="E69" i="63818"/>
  <c r="V104" i="63733"/>
  <c r="V105" i="63733" s="1"/>
  <c r="V97" i="63733"/>
  <c r="U87" i="63733"/>
  <c r="R62" i="1336"/>
  <c r="R7" i="1336"/>
  <c r="V7" i="63733"/>
  <c r="R67" i="1336"/>
  <c r="R201" i="1336"/>
  <c r="H2" i="63823"/>
  <c r="H5" i="63823" s="1"/>
  <c r="R198" i="1336"/>
  <c r="R205" i="1336" s="1"/>
  <c r="R120" i="1336"/>
  <c r="R50" i="63829"/>
  <c r="R202" i="1336"/>
  <c r="R261" i="1336"/>
  <c r="R10" i="1336"/>
  <c r="R64" i="1336"/>
  <c r="R255" i="1336" s="1"/>
  <c r="R204" i="1336"/>
  <c r="R65" i="1336"/>
  <c r="R200" i="1336"/>
  <c r="R207" i="1336"/>
  <c r="R69" i="1336"/>
  <c r="R12" i="1336" l="1"/>
  <c r="R23" i="1336"/>
  <c r="V57" i="63733"/>
  <c r="AB60" i="63733"/>
  <c r="AP199" i="1336"/>
  <c r="AM205" i="1336"/>
  <c r="X258" i="1336"/>
  <c r="V14" i="63733"/>
  <c r="R22" i="1336"/>
  <c r="H7" i="63823"/>
  <c r="R28" i="63733"/>
  <c r="R20" i="63733" s="1"/>
  <c r="R11" i="1336"/>
  <c r="R61" i="1336"/>
  <c r="V73" i="63733"/>
  <c r="V61" i="63733"/>
  <c r="V60" i="63733"/>
  <c r="AS199" i="1336" l="1"/>
  <c r="AP205" i="1336"/>
  <c r="AA258" i="1336"/>
  <c r="R68" i="1336"/>
  <c r="R29" i="63733"/>
  <c r="R75" i="63733"/>
  <c r="R21" i="63733"/>
  <c r="L14" i="63824"/>
  <c r="AV199" i="1336" l="1"/>
  <c r="AS205" i="1336"/>
  <c r="AD258" i="1336"/>
  <c r="R76" i="63733"/>
  <c r="R78" i="63733"/>
  <c r="AY199" i="1336" l="1"/>
  <c r="AV205" i="1336"/>
  <c r="AG258" i="1336"/>
  <c r="H37" i="63823"/>
  <c r="H36" i="63823" s="1"/>
  <c r="H39" i="63823" s="1"/>
  <c r="R80" i="63733"/>
  <c r="R79" i="63733"/>
  <c r="BB199" i="1336" l="1"/>
  <c r="AY205" i="1336"/>
  <c r="S147" i="63733"/>
  <c r="R148" i="63733"/>
  <c r="BE199" i="1336" l="1"/>
  <c r="BB205" i="1336"/>
  <c r="U182" i="63733"/>
  <c r="Z84" i="63821"/>
  <c r="U187" i="63733"/>
  <c r="M40" i="63818"/>
  <c r="P40" i="63818" s="1"/>
  <c r="S148" i="63733"/>
  <c r="V147" i="63733"/>
  <c r="V148" i="63733" s="1"/>
  <c r="BH199" i="1336" l="1"/>
  <c r="BH205" i="1336" s="1"/>
  <c r="BE205" i="1336"/>
  <c r="U188" i="63733"/>
  <c r="X188" i="63733"/>
  <c r="X153" i="63733"/>
  <c r="U153" i="63733"/>
  <c r="U156" i="63733" s="1"/>
  <c r="V152" i="63733"/>
  <c r="V8" i="63733" s="1"/>
  <c r="V169" i="63733"/>
  <c r="E70" i="63818"/>
  <c r="Y147" i="63733"/>
  <c r="Z97" i="63821"/>
  <c r="F135" i="63821"/>
  <c r="AA84" i="63821"/>
  <c r="V15" i="63733" l="1"/>
  <c r="AD147" i="63733"/>
  <c r="AG147" i="63733" s="1"/>
  <c r="X156" i="63733"/>
  <c r="AA182" i="63733"/>
  <c r="X158" i="63733"/>
  <c r="V187" i="63733"/>
  <c r="V188" i="63733" s="1"/>
  <c r="V153" i="63733"/>
  <c r="V170" i="63733"/>
  <c r="V182" i="63733"/>
  <c r="Y148" i="63733"/>
  <c r="X8" i="63733"/>
  <c r="Y152" i="63733"/>
  <c r="AB153" i="63733" s="1"/>
  <c r="AB156" i="63733" s="1"/>
  <c r="V105" i="63821"/>
  <c r="T97" i="63821"/>
  <c r="AG152" i="63733" l="1"/>
  <c r="X15" i="63733"/>
  <c r="AD152" i="63733"/>
  <c r="X161" i="63733"/>
  <c r="X193" i="63733"/>
  <c r="AA158" i="63733"/>
  <c r="AB158" i="63733" s="1"/>
  <c r="AA8" i="63733"/>
  <c r="AA187" i="63733"/>
  <c r="AA188" i="63733" s="1"/>
  <c r="Y158" i="63733"/>
  <c r="Y159" i="63733" s="1"/>
  <c r="X22" i="63733"/>
  <c r="Y153" i="63733"/>
  <c r="Y169" i="63733"/>
  <c r="Y170" i="63733" s="1"/>
  <c r="Y8" i="63733"/>
  <c r="AB15" i="63733" s="1"/>
  <c r="AB22" i="63733" l="1"/>
  <c r="AB23" i="63733" s="1"/>
  <c r="AB159" i="63733"/>
  <c r="Y15" i="63733"/>
  <c r="AG169" i="63733"/>
  <c r="AG158" i="63733"/>
  <c r="AG8" i="63733"/>
  <c r="AG187" i="63733"/>
  <c r="AG153" i="63733"/>
  <c r="AG154" i="63733" s="1"/>
  <c r="AG182" i="63733"/>
  <c r="X163" i="63733"/>
  <c r="X162" i="63733"/>
  <c r="AA193" i="63733"/>
  <c r="AA161" i="63733"/>
  <c r="AA15" i="63733"/>
  <c r="AD153" i="63733"/>
  <c r="AD154" i="63733" s="1"/>
  <c r="AD182" i="63733"/>
  <c r="AD169" i="63733"/>
  <c r="AD158" i="63733"/>
  <c r="AD8" i="63733"/>
  <c r="AD15" i="63733" s="1"/>
  <c r="AD187" i="63733"/>
  <c r="AD188" i="63733" s="1"/>
  <c r="AA22" i="63733"/>
  <c r="AA23" i="63733" s="1"/>
  <c r="Y154" i="63733"/>
  <c r="Y22" i="63733"/>
  <c r="Y23" i="63733" s="1"/>
  <c r="X23" i="63733"/>
  <c r="AG15" i="63733" l="1"/>
  <c r="AG22" i="63733"/>
  <c r="AG23" i="63733" s="1"/>
  <c r="AG188" i="63733"/>
  <c r="AA163" i="63733"/>
  <c r="AD163" i="63733" s="1"/>
  <c r="AA162" i="63733"/>
  <c r="AD22" i="63733"/>
  <c r="AD23" i="63733" s="1"/>
  <c r="AA167" i="63733"/>
  <c r="AA173" i="63733"/>
  <c r="AA34" i="63733"/>
  <c r="R36" i="63733"/>
  <c r="R373" i="63733"/>
  <c r="R374" i="63733"/>
  <c r="R140" i="1336"/>
  <c r="H20" i="63823"/>
  <c r="H21" i="63823" s="1"/>
  <c r="AG163" i="63733" l="1"/>
  <c r="AG161" i="63733" s="1"/>
  <c r="AD161" i="63733"/>
  <c r="AA44" i="63733"/>
  <c r="R46" i="63733"/>
  <c r="R37" i="63733"/>
  <c r="R139" i="1336"/>
  <c r="R404" i="63733"/>
  <c r="R405" i="63733" s="1"/>
  <c r="R369" i="63733"/>
  <c r="R370" i="63733"/>
  <c r="R423" i="63733"/>
  <c r="R425" i="63733" s="1"/>
  <c r="S425" i="63733" s="1"/>
  <c r="S426" i="63733" s="1"/>
  <c r="S368" i="63733"/>
  <c r="S370" i="63733" s="1"/>
  <c r="R32" i="1336"/>
  <c r="AD166" i="63733" l="1"/>
  <c r="AD162" i="63733"/>
  <c r="AG162" i="63733"/>
  <c r="AG166" i="63733"/>
  <c r="L18" i="63824"/>
  <c r="R33" i="1336"/>
  <c r="R426" i="63733"/>
  <c r="S369" i="63733"/>
  <c r="S423" i="63733"/>
  <c r="S424" i="63733" s="1"/>
  <c r="R99" i="1336"/>
  <c r="AG172" i="63733" l="1"/>
  <c r="AG167" i="63733"/>
  <c r="AD167" i="63733"/>
  <c r="AD172" i="63733"/>
  <c r="R109" i="1336"/>
  <c r="S105" i="1336"/>
  <c r="S109" i="1336" s="1"/>
  <c r="R100" i="1336"/>
  <c r="R103" i="1336"/>
  <c r="R44" i="1336"/>
  <c r="R51" i="1336"/>
  <c r="R59" i="1336"/>
  <c r="R26" i="1336"/>
  <c r="R27" i="1336"/>
  <c r="L3" i="63824"/>
  <c r="AD174" i="63733" l="1"/>
  <c r="AD34" i="63733"/>
  <c r="AD44" i="63733" s="1"/>
  <c r="AD173" i="63733"/>
  <c r="AJ174" i="63733"/>
  <c r="AG34" i="63733"/>
  <c r="AG44" i="63733" s="1"/>
  <c r="AG174" i="63733"/>
  <c r="AG173" i="63733"/>
  <c r="R288" i="1336"/>
  <c r="R80" i="1336"/>
  <c r="R81" i="1336" s="1"/>
  <c r="R83" i="1336"/>
  <c r="R84" i="1336" s="1"/>
  <c r="R145" i="1336"/>
  <c r="R142" i="1336" l="1"/>
  <c r="R78" i="1336" l="1"/>
  <c r="R56" i="1336" l="1"/>
  <c r="R93" i="1336"/>
  <c r="R143" i="1336" l="1"/>
  <c r="R129" i="1336" l="1"/>
  <c r="R54" i="1336" l="1"/>
  <c r="L11" i="63824" l="1"/>
  <c r="L19" i="63824"/>
  <c r="AF69" i="63802" l="1"/>
  <c r="F32" i="63811"/>
  <c r="F40" i="63811" s="1"/>
  <c r="F19" i="63810"/>
  <c r="F20" i="63810" s="1"/>
  <c r="F3" i="63811"/>
  <c r="F28" i="63811" s="1"/>
  <c r="F30" i="63811" s="1"/>
  <c r="AF42" i="63802"/>
  <c r="AF47" i="63802" s="1"/>
  <c r="F33" i="63811" l="1"/>
  <c r="F39" i="63811" s="1"/>
  <c r="F7" i="63811"/>
  <c r="AE42" i="63802"/>
  <c r="AG42" i="63802"/>
  <c r="AG47" i="63802" l="1"/>
  <c r="Z173" i="63733" l="1"/>
  <c r="Z167" i="63733"/>
  <c r="Z34" i="63733" l="1"/>
  <c r="S172" i="63733"/>
  <c r="S174" i="63733" s="1"/>
  <c r="Z44" i="63733" l="1"/>
  <c r="N40" i="63836" s="1" a="1"/>
  <c r="N40" i="63836" s="1"/>
  <c r="S34" i="63733"/>
  <c r="S173" i="63733"/>
  <c r="S44" i="63733" l="1"/>
  <c r="R109" i="63818"/>
  <c r="V198" i="63733"/>
  <c r="AB202" i="63733" s="1"/>
  <c r="R116" i="63818" l="1"/>
  <c r="V202" i="63733"/>
  <c r="V203" i="63733"/>
  <c r="T203" i="63733"/>
  <c r="T202" i="63733"/>
  <c r="G129" i="63821"/>
  <c r="F129" i="63821" s="1"/>
  <c r="G3" i="63823"/>
  <c r="G4" i="63823" s="1"/>
  <c r="G12" i="63823" s="1"/>
  <c r="G13" i="63823" s="1"/>
  <c r="G10" i="63823" s="1"/>
  <c r="Y85" i="63821"/>
  <c r="AK98" i="63821"/>
  <c r="AB98" i="63821"/>
  <c r="N98" i="63821" s="1"/>
  <c r="AC78" i="63821" s="1"/>
  <c r="AC79" i="63821" s="1"/>
  <c r="F3" i="63823"/>
  <c r="F4" i="63823" s="1"/>
  <c r="F12" i="63823" s="1"/>
  <c r="F13" i="63823" s="1"/>
  <c r="F10" i="63823" s="1"/>
  <c r="Y198" i="63733" l="1"/>
  <c r="V205" i="63733"/>
  <c r="T9" i="63733"/>
  <c r="S223" i="63733"/>
  <c r="T239" i="63733"/>
  <c r="T240" i="63733" s="1"/>
  <c r="T237" i="63733"/>
  <c r="W239" i="63733"/>
  <c r="Z240" i="63733" s="1"/>
  <c r="W237" i="63733"/>
  <c r="T212" i="63733"/>
  <c r="T245" i="63733" s="1"/>
  <c r="W212" i="63733"/>
  <c r="W245" i="63733" s="1"/>
  <c r="G14" i="63823"/>
  <c r="G17" i="63823"/>
  <c r="T207" i="63733"/>
  <c r="F44" i="63812"/>
  <c r="S205" i="63733"/>
  <c r="S198" i="63733" s="1"/>
  <c r="AB203" i="63733" s="1"/>
  <c r="G44" i="63812"/>
  <c r="W207" i="63733"/>
  <c r="W210" i="63733" s="1"/>
  <c r="Y78" i="63821"/>
  <c r="AD98" i="63821"/>
  <c r="O111" i="63821" s="1"/>
  <c r="F14" i="63823"/>
  <c r="F17" i="63823"/>
  <c r="Y199" i="63733" l="1"/>
  <c r="AB199" i="63733"/>
  <c r="Z207" i="63733"/>
  <c r="Z210" i="63733" s="1"/>
  <c r="T16" i="63733"/>
  <c r="W16" i="63733"/>
  <c r="Y203" i="63733"/>
  <c r="V199" i="63733"/>
  <c r="W24" i="63733"/>
  <c r="W25" i="63733" s="1"/>
  <c r="V237" i="63733"/>
  <c r="S203" i="63733"/>
  <c r="S202" i="63733"/>
  <c r="V9" i="63733"/>
  <c r="V239" i="63733"/>
  <c r="Y202" i="63733"/>
  <c r="S199" i="63733"/>
  <c r="I3" i="63823" s="1"/>
  <c r="V223" i="63733"/>
  <c r="V224" i="63733" s="1"/>
  <c r="Y205" i="63733"/>
  <c r="T210" i="63733"/>
  <c r="S9" i="63733"/>
  <c r="S16" i="63733" s="1"/>
  <c r="T215" i="63733"/>
  <c r="T216" i="63733" s="1"/>
  <c r="T280" i="1336"/>
  <c r="W240" i="63733"/>
  <c r="V212" i="63733"/>
  <c r="V207" i="63733"/>
  <c r="S224" i="63733"/>
  <c r="Z9" i="63733"/>
  <c r="Y223" i="63733"/>
  <c r="T12" i="63733"/>
  <c r="T18" i="63733" s="1"/>
  <c r="S212" i="63733"/>
  <c r="T24" i="63733"/>
  <c r="T25" i="63733" s="1"/>
  <c r="S239" i="63733"/>
  <c r="S240" i="63733" s="1"/>
  <c r="S237" i="63733"/>
  <c r="Z212" i="63733"/>
  <c r="F18" i="63823"/>
  <c r="S207" i="63733"/>
  <c r="AF198" i="63733"/>
  <c r="G18" i="63823"/>
  <c r="AB207" i="63733" l="1"/>
  <c r="AB210" i="63733" s="1"/>
  <c r="N33" i="63836" a="1"/>
  <c r="N33" i="63836" s="1"/>
  <c r="Z215" i="63733"/>
  <c r="Z245" i="63733"/>
  <c r="Z24" i="63733"/>
  <c r="Z25" i="63733" s="1"/>
  <c r="Z16" i="63733"/>
  <c r="V16" i="63733"/>
  <c r="R104" i="63818"/>
  <c r="D97" i="63818"/>
  <c r="E97" i="63818" s="1"/>
  <c r="Z98" i="63821"/>
  <c r="V106" i="63821" s="1"/>
  <c r="AA85" i="63821"/>
  <c r="Y237" i="63733"/>
  <c r="Y9" i="63733"/>
  <c r="AB16" i="63733" s="1"/>
  <c r="Y207" i="63733"/>
  <c r="Y239" i="63733"/>
  <c r="Y224" i="63733"/>
  <c r="T217" i="63733"/>
  <c r="S215" i="63733"/>
  <c r="S216" i="63733" s="1"/>
  <c r="S210" i="63733"/>
  <c r="S12" i="63733"/>
  <c r="S18" i="63733" s="1"/>
  <c r="S24" i="63733"/>
  <c r="S25" i="63733" s="1"/>
  <c r="T6" i="1336"/>
  <c r="Y212" i="63733"/>
  <c r="V240" i="63733"/>
  <c r="V213" i="63733"/>
  <c r="V24" i="63733"/>
  <c r="V25" i="63733" s="1"/>
  <c r="S18" i="1336"/>
  <c r="S19" i="1336" s="1"/>
  <c r="S213" i="63733"/>
  <c r="AC9" i="63733"/>
  <c r="T220" i="63733"/>
  <c r="AC239" i="63733"/>
  <c r="AC240" i="63733" s="1"/>
  <c r="AC237" i="63733"/>
  <c r="AC212" i="63733"/>
  <c r="AB212" i="63733" s="1"/>
  <c r="AF205" i="63733"/>
  <c r="AI198" i="63733"/>
  <c r="T403" i="63733"/>
  <c r="AC207" i="63733"/>
  <c r="AC210" i="63733" s="1"/>
  <c r="Y240" i="63733" l="1"/>
  <c r="AB240" i="63733"/>
  <c r="AB213" i="63733"/>
  <c r="AB24" i="63733"/>
  <c r="AB25" i="63733" s="1"/>
  <c r="AC215" i="63733"/>
  <c r="AC245" i="63733"/>
  <c r="T45" i="1336"/>
  <c r="T215" i="1336"/>
  <c r="O33" i="63836" a="1"/>
  <c r="O33" i="63836" s="1"/>
  <c r="AI205" i="63733"/>
  <c r="AI207" i="63733" s="1"/>
  <c r="AI208" i="63733" s="1"/>
  <c r="Z217" i="63733"/>
  <c r="Y215" i="63733"/>
  <c r="Y208" i="63733"/>
  <c r="AC16" i="63733"/>
  <c r="Y16" i="63733"/>
  <c r="T72" i="1336"/>
  <c r="R122" i="63818"/>
  <c r="R106" i="63818"/>
  <c r="T98" i="63821"/>
  <c r="AC24" i="63733"/>
  <c r="AC25" i="63733" s="1"/>
  <c r="T228" i="63733"/>
  <c r="S16" i="1336"/>
  <c r="S17" i="1336" s="1"/>
  <c r="T10" i="1336"/>
  <c r="T23" i="1336" s="1"/>
  <c r="T207" i="1336"/>
  <c r="T201" i="1336"/>
  <c r="T65" i="1336"/>
  <c r="T208" i="1336"/>
  <c r="T198" i="1336"/>
  <c r="T210" i="1336"/>
  <c r="T204" i="1336"/>
  <c r="T200" i="1336"/>
  <c r="T64" i="1336"/>
  <c r="T255" i="1336" s="1"/>
  <c r="T261" i="1336"/>
  <c r="S261" i="1336" s="1"/>
  <c r="T67" i="1336"/>
  <c r="T209" i="1336"/>
  <c r="T69" i="1336"/>
  <c r="T62" i="1336"/>
  <c r="T202" i="1336"/>
  <c r="T50" i="63829"/>
  <c r="S20" i="1336"/>
  <c r="S21" i="1336" s="1"/>
  <c r="S6" i="1336"/>
  <c r="S151" i="1336"/>
  <c r="S14" i="1336"/>
  <c r="S15" i="1336" s="1"/>
  <c r="Y24" i="63733"/>
  <c r="Y25" i="63733" s="1"/>
  <c r="Y213" i="63733"/>
  <c r="AF9" i="63733"/>
  <c r="AF223" i="63733"/>
  <c r="AF239" i="63733"/>
  <c r="AF240" i="63733" s="1"/>
  <c r="AF237" i="63733"/>
  <c r="AF212" i="63733"/>
  <c r="S403" i="63733"/>
  <c r="AL198" i="63733"/>
  <c r="T23" i="63733"/>
  <c r="AF207" i="63733"/>
  <c r="AF208" i="63733" s="1"/>
  <c r="AC217" i="63733" l="1"/>
  <c r="AB215" i="63733"/>
  <c r="P33" i="63836" a="1"/>
  <c r="P33" i="63836" s="1"/>
  <c r="AF16" i="63733"/>
  <c r="AF24" i="63733"/>
  <c r="AF25" i="63733" s="1"/>
  <c r="T22" i="1336"/>
  <c r="S22" i="1336" s="1"/>
  <c r="S50" i="63829"/>
  <c r="T11" i="1336"/>
  <c r="T28" i="63733"/>
  <c r="T205" i="1336"/>
  <c r="AI9" i="63733"/>
  <c r="AI223" i="63733"/>
  <c r="AI239" i="63733"/>
  <c r="AI240" i="63733" s="1"/>
  <c r="AI237" i="63733"/>
  <c r="AI212" i="63733"/>
  <c r="BH74" i="63802"/>
  <c r="BH76" i="63802" s="1"/>
  <c r="S23" i="63733"/>
  <c r="AL205" i="63733"/>
  <c r="AO198" i="63733"/>
  <c r="BG74" i="63802"/>
  <c r="BG76" i="63802" s="1"/>
  <c r="O16" i="63810"/>
  <c r="BG41" i="63802"/>
  <c r="T120" i="1336"/>
  <c r="T7" i="1336"/>
  <c r="J2" i="63823"/>
  <c r="AF217" i="63733" l="1"/>
  <c r="AI217" i="63733" s="1"/>
  <c r="AL217" i="63733" s="1"/>
  <c r="AO217" i="63733" s="1"/>
  <c r="AR217" i="63733" s="1"/>
  <c r="AU217" i="63733" s="1"/>
  <c r="AX217" i="63733" s="1"/>
  <c r="BA217" i="63733" s="1"/>
  <c r="BD217" i="63733" s="1"/>
  <c r="BG217" i="63733" s="1"/>
  <c r="BJ217" i="63733" s="1"/>
  <c r="AB217" i="63733"/>
  <c r="AB216" i="63733"/>
  <c r="AB219" i="63733"/>
  <c r="Q33" i="63836" a="1"/>
  <c r="Q33" i="63836" s="1"/>
  <c r="AI24" i="63733"/>
  <c r="AI25" i="63733" s="1"/>
  <c r="AI16" i="63733"/>
  <c r="T29" i="63733"/>
  <c r="AC216" i="63733"/>
  <c r="S171" i="1336"/>
  <c r="AL9" i="63733"/>
  <c r="AL223" i="63733"/>
  <c r="AL239" i="63733"/>
  <c r="AL240" i="63733" s="1"/>
  <c r="AL237" i="63733"/>
  <c r="AL212" i="63733"/>
  <c r="AL24" i="63733" s="1"/>
  <c r="S7" i="1336"/>
  <c r="I2" i="63823"/>
  <c r="BI74" i="63802"/>
  <c r="BI76" i="63802" s="1"/>
  <c r="AR198" i="63733"/>
  <c r="AO205" i="63733"/>
  <c r="J5" i="63823"/>
  <c r="J4" i="63823" s="1"/>
  <c r="J12" i="63823" s="1"/>
  <c r="J13" i="63823" s="1"/>
  <c r="J10" i="63823" s="1"/>
  <c r="J7" i="63823"/>
  <c r="AL207" i="63733"/>
  <c r="AL208" i="63733" s="1"/>
  <c r="AB227" i="63733" l="1"/>
  <c r="AB220" i="63733"/>
  <c r="AL16" i="63733"/>
  <c r="V113" i="1336"/>
  <c r="Z220" i="63733"/>
  <c r="Y217" i="63733"/>
  <c r="Y219" i="63733"/>
  <c r="AF215" i="63733"/>
  <c r="AF216" i="63733" s="1"/>
  <c r="AO9" i="63733"/>
  <c r="AO16" i="63733" s="1"/>
  <c r="AO223" i="63733"/>
  <c r="AL25" i="63733"/>
  <c r="AO239" i="63733"/>
  <c r="AO240" i="63733" s="1"/>
  <c r="AO237" i="63733"/>
  <c r="AO212" i="63733"/>
  <c r="AO24" i="63733" s="1"/>
  <c r="BJ74" i="63802"/>
  <c r="BJ76" i="63802" s="1"/>
  <c r="J17" i="63823"/>
  <c r="AO207" i="63733"/>
  <c r="AO208" i="63733" s="1"/>
  <c r="J14" i="63823"/>
  <c r="AR205" i="63733"/>
  <c r="AR223" i="63733" s="1"/>
  <c r="AU198" i="63733"/>
  <c r="I5" i="63823"/>
  <c r="I4" i="63823" s="1"/>
  <c r="I12" i="63823" s="1"/>
  <c r="I13" i="63823" s="1"/>
  <c r="I10" i="63823" s="1"/>
  <c r="I14" i="63823" s="1"/>
  <c r="I7" i="63823"/>
  <c r="AB35" i="63733" l="1"/>
  <c r="AB228" i="63733"/>
  <c r="AC220" i="63733"/>
  <c r="AC221" i="63733" s="1"/>
  <c r="AF219" i="63733"/>
  <c r="AF221" i="63733" s="1"/>
  <c r="AC227" i="63733"/>
  <c r="AC228" i="63733" s="1"/>
  <c r="AI215" i="63733"/>
  <c r="Z35" i="63733"/>
  <c r="Y227" i="63733"/>
  <c r="AB229" i="63733" s="1"/>
  <c r="Y220" i="63733"/>
  <c r="AU205" i="63733"/>
  <c r="AU212" i="63733" s="1"/>
  <c r="AU24" i="63733" s="1"/>
  <c r="AX198" i="63733"/>
  <c r="AO25" i="63733"/>
  <c r="AR9" i="63733"/>
  <c r="AR239" i="63733"/>
  <c r="AR240" i="63733" s="1"/>
  <c r="AR237" i="63733"/>
  <c r="AR212" i="63733"/>
  <c r="AR24" i="63733" s="1"/>
  <c r="I17" i="63823"/>
  <c r="F47" i="63807"/>
  <c r="BK74" i="63802"/>
  <c r="BK76" i="63802" s="1"/>
  <c r="J18" i="63823"/>
  <c r="AR207" i="63733"/>
  <c r="AR208" i="63733" s="1"/>
  <c r="AB45" i="63733" l="1"/>
  <c r="AR16" i="63733"/>
  <c r="R33" i="63836" a="1"/>
  <c r="R33" i="63836" s="1"/>
  <c r="AI216" i="63733"/>
  <c r="AF220" i="63733"/>
  <c r="AF227" i="63733"/>
  <c r="AC229" i="63733"/>
  <c r="AI219" i="63733"/>
  <c r="AI220" i="63733" s="1"/>
  <c r="AC35" i="63733"/>
  <c r="Z45" i="63733"/>
  <c r="N41" i="63836" s="1" a="1"/>
  <c r="N41" i="63836" s="1"/>
  <c r="AX205" i="63733"/>
  <c r="AX223" i="63733" s="1"/>
  <c r="BA198" i="63733"/>
  <c r="AU237" i="63733"/>
  <c r="AU223" i="63733"/>
  <c r="AU207" i="63733"/>
  <c r="AU208" i="63733" s="1"/>
  <c r="AU239" i="63733"/>
  <c r="AU240" i="63733" s="1"/>
  <c r="Y228" i="63733"/>
  <c r="Y35" i="63733"/>
  <c r="Y45" i="63733" s="1"/>
  <c r="AL215" i="63733"/>
  <c r="AL216" i="63733" s="1"/>
  <c r="AU9" i="63733"/>
  <c r="AU16" i="63733" s="1"/>
  <c r="AR25" i="63733"/>
  <c r="BL74" i="63802"/>
  <c r="BL76" i="63802" s="1"/>
  <c r="I18" i="63823"/>
  <c r="AF228" i="63733" l="1"/>
  <c r="AF229" i="63733"/>
  <c r="AF35" i="63733"/>
  <c r="AI227" i="63733"/>
  <c r="AI228" i="63733" s="1"/>
  <c r="AL219" i="63733"/>
  <c r="AL220" i="63733" s="1"/>
  <c r="AC45" i="63733"/>
  <c r="O41" i="63836" s="1" a="1"/>
  <c r="O41" i="63836" s="1"/>
  <c r="AX212" i="63733"/>
  <c r="AX24" i="63733" s="1"/>
  <c r="AX239" i="63733"/>
  <c r="AX240" i="63733" s="1"/>
  <c r="AX237" i="63733"/>
  <c r="AX9" i="63733"/>
  <c r="AX16" i="63733" s="1"/>
  <c r="AX207" i="63733"/>
  <c r="AX208" i="63733" s="1"/>
  <c r="BA205" i="63733"/>
  <c r="BA215" i="63733" s="1"/>
  <c r="BD198" i="63733"/>
  <c r="AU25" i="63733"/>
  <c r="AO215" i="63733"/>
  <c r="BM74" i="63802"/>
  <c r="BM76" i="63802" s="1"/>
  <c r="G43" i="63807"/>
  <c r="AO219" i="63733" l="1"/>
  <c r="AO220" i="63733" s="1"/>
  <c r="AO216" i="63733"/>
  <c r="AF45" i="63733"/>
  <c r="AI229" i="63733"/>
  <c r="AI35" i="63733"/>
  <c r="BD205" i="63733"/>
  <c r="BD215" i="63733" s="1"/>
  <c r="BD216" i="63733" s="1"/>
  <c r="BG198" i="63733"/>
  <c r="AL227" i="63733"/>
  <c r="AL229" i="63733" s="1"/>
  <c r="AX25" i="63733"/>
  <c r="BA239" i="63733"/>
  <c r="BA240" i="63733" s="1"/>
  <c r="BA223" i="63733"/>
  <c r="BA9" i="63733"/>
  <c r="BA16" i="63733" s="1"/>
  <c r="BA237" i="63733"/>
  <c r="BA212" i="63733"/>
  <c r="BA219" i="63733" s="1"/>
  <c r="BA207" i="63733"/>
  <c r="BA208" i="63733" s="1"/>
  <c r="AR215" i="63733"/>
  <c r="BN74" i="63802"/>
  <c r="BN76" i="63802" s="1"/>
  <c r="T163" i="1336"/>
  <c r="S163" i="1336" s="1"/>
  <c r="P41" i="63836" l="1" a="1"/>
  <c r="P41" i="63836" s="1"/>
  <c r="AO227" i="63733"/>
  <c r="BG205" i="63733"/>
  <c r="BG207" i="63733" s="1"/>
  <c r="BG208" i="63733" s="1"/>
  <c r="BJ198" i="63733"/>
  <c r="BJ205" i="63733" s="1"/>
  <c r="AR219" i="63733"/>
  <c r="AR227" i="63733" s="1"/>
  <c r="AR216" i="63733"/>
  <c r="AI45" i="63733"/>
  <c r="BD237" i="63733"/>
  <c r="AL228" i="63733"/>
  <c r="BD212" i="63733"/>
  <c r="BD24" i="63733" s="1"/>
  <c r="BD207" i="63733"/>
  <c r="BD208" i="63733" s="1"/>
  <c r="BD223" i="63733"/>
  <c r="BD239" i="63733"/>
  <c r="BD240" i="63733" s="1"/>
  <c r="AL35" i="63733"/>
  <c r="BD9" i="63733"/>
  <c r="BD16" i="63733" s="1"/>
  <c r="BA24" i="63733"/>
  <c r="BA25" i="63733" s="1"/>
  <c r="BA220" i="63733"/>
  <c r="BA227" i="63733"/>
  <c r="AX215" i="63733"/>
  <c r="AU215" i="63733"/>
  <c r="O22" i="63810"/>
  <c r="BO74" i="63802"/>
  <c r="BO76" i="63802" s="1"/>
  <c r="Q41" i="63836" l="1" a="1"/>
  <c r="Q41" i="63836" s="1"/>
  <c r="BG9" i="63733"/>
  <c r="BG16" i="63733" s="1"/>
  <c r="AL45" i="63733"/>
  <c r="AO229" i="63733"/>
  <c r="AO228" i="63733"/>
  <c r="AO35" i="63733"/>
  <c r="AO45" i="63733" s="1"/>
  <c r="BG212" i="63733"/>
  <c r="BG24" i="63733" s="1"/>
  <c r="BG239" i="63733"/>
  <c r="BG240" i="63733" s="1"/>
  <c r="BG215" i="63733"/>
  <c r="BG216" i="63733" s="1"/>
  <c r="BG237" i="63733"/>
  <c r="BG223" i="63733"/>
  <c r="AR220" i="63733"/>
  <c r="BJ207" i="63733"/>
  <c r="BJ208" i="63733" s="1"/>
  <c r="BJ239" i="63733"/>
  <c r="BJ223" i="63733"/>
  <c r="BJ9" i="63733"/>
  <c r="BJ212" i="63733"/>
  <c r="BJ215" i="63733"/>
  <c r="BJ237" i="63733"/>
  <c r="AU219" i="63733"/>
  <c r="AU220" i="63733" s="1"/>
  <c r="AU216" i="63733"/>
  <c r="AX219" i="63733"/>
  <c r="AX220" i="63733" s="1"/>
  <c r="AX216" i="63733"/>
  <c r="BA216" i="63733"/>
  <c r="BD219" i="63733"/>
  <c r="BD227" i="63733" s="1"/>
  <c r="BD25" i="63733"/>
  <c r="BA228" i="63733"/>
  <c r="BA35" i="63733"/>
  <c r="BA45" i="63733" s="1"/>
  <c r="AR228" i="63733"/>
  <c r="AR229" i="63733"/>
  <c r="AR35" i="63733"/>
  <c r="AR45" i="63733" s="1"/>
  <c r="R41" i="63836" l="1" a="1"/>
  <c r="R41" i="63836" s="1"/>
  <c r="BG25" i="63733"/>
  <c r="BJ16" i="63733"/>
  <c r="BG219" i="63733"/>
  <c r="BG227" i="63733" s="1"/>
  <c r="BJ240" i="63733"/>
  <c r="BJ216" i="63733"/>
  <c r="AU227" i="63733"/>
  <c r="AU35" i="63733" s="1"/>
  <c r="AU45" i="63733" s="1"/>
  <c r="AX227" i="63733"/>
  <c r="BA229" i="63733" s="1"/>
  <c r="BJ219" i="63733"/>
  <c r="BJ24" i="63733"/>
  <c r="BJ25" i="63733" s="1"/>
  <c r="BD220" i="63733"/>
  <c r="BD228" i="63733"/>
  <c r="BD229" i="63733"/>
  <c r="BD35" i="63733"/>
  <c r="BD45" i="63733" s="1"/>
  <c r="BG220" i="63733" l="1"/>
  <c r="AX228" i="63733"/>
  <c r="AU229" i="63733"/>
  <c r="AU228" i="63733"/>
  <c r="AX229" i="63733"/>
  <c r="AX35" i="63733"/>
  <c r="AX45" i="63733" s="1"/>
  <c r="BJ220" i="63733"/>
  <c r="BJ227" i="63733"/>
  <c r="BG228" i="63733"/>
  <c r="BG35" i="63733"/>
  <c r="BG45" i="63733" s="1"/>
  <c r="BG229" i="63733"/>
  <c r="BJ229" i="63733" l="1"/>
  <c r="BJ35" i="63733"/>
  <c r="BJ45" i="63733" s="1"/>
  <c r="BJ228" i="63733"/>
  <c r="T35" i="63733" l="1"/>
  <c r="T45" i="63733" l="1"/>
  <c r="T229" i="63733"/>
  <c r="F45" i="63812"/>
  <c r="F46" i="63812" s="1"/>
  <c r="R337" i="63733" l="1"/>
  <c r="R338" i="63733"/>
  <c r="O334" i="63733"/>
  <c r="H3" i="63823" l="1"/>
  <c r="H4" i="63823" s="1"/>
  <c r="H12" i="63823" s="1"/>
  <c r="H13" i="63823" s="1"/>
  <c r="AD333" i="63733"/>
  <c r="AG333" i="63733" s="1"/>
  <c r="M39" i="63818"/>
  <c r="P39" i="63818" s="1"/>
  <c r="Z83" i="63821"/>
  <c r="F127" i="63821"/>
  <c r="K96" i="63821"/>
  <c r="X83" i="63821"/>
  <c r="AC96" i="63821"/>
  <c r="E3" i="63823"/>
  <c r="E4" i="63823" s="1"/>
  <c r="E12" i="63823" s="1"/>
  <c r="E13" i="63823" s="1"/>
  <c r="E10" i="63823" s="1"/>
  <c r="U414" i="63733"/>
  <c r="AG338" i="63733" l="1"/>
  <c r="AG340" i="63733"/>
  <c r="AD340" i="63733"/>
  <c r="AD338" i="63733"/>
  <c r="AA338" i="63733"/>
  <c r="E17" i="63823"/>
  <c r="E14" i="63823"/>
  <c r="H10" i="63823"/>
  <c r="E141" i="63821"/>
  <c r="J109" i="63821"/>
  <c r="N109" i="63821" s="1"/>
  <c r="D127" i="63821"/>
  <c r="U410" i="63733"/>
  <c r="U352" i="63733"/>
  <c r="U355" i="63733" s="1"/>
  <c r="U357" i="63733"/>
  <c r="U360" i="63733" s="1"/>
  <c r="E72" i="63818"/>
  <c r="AG350" i="63733" l="1"/>
  <c r="AG414" i="63733"/>
  <c r="AD414" i="63733"/>
  <c r="AD350" i="63733"/>
  <c r="AD352" i="63733" s="1"/>
  <c r="AA350" i="63733"/>
  <c r="AA410" i="63733" s="1"/>
  <c r="AA414" i="63733"/>
  <c r="U26" i="63733"/>
  <c r="U27" i="63733" s="1"/>
  <c r="U74" i="63829"/>
  <c r="X414" i="63733"/>
  <c r="E73" i="63818"/>
  <c r="U369" i="63733"/>
  <c r="U423" i="63733"/>
  <c r="U425" i="63733" s="1"/>
  <c r="U403" i="63733"/>
  <c r="U411" i="63733"/>
  <c r="U413" i="63733"/>
  <c r="H14" i="63823"/>
  <c r="H17" i="63823"/>
  <c r="U407" i="63733"/>
  <c r="E18" i="63823"/>
  <c r="E22" i="63823"/>
  <c r="AG352" i="63733" l="1"/>
  <c r="AG353" i="63733" s="1"/>
  <c r="AG357" i="63733"/>
  <c r="AG368" i="63733"/>
  <c r="AG10" i="63733"/>
  <c r="AG410" i="63733"/>
  <c r="AA370" i="63733"/>
  <c r="AD10" i="63733"/>
  <c r="AD410" i="63733"/>
  <c r="AD357" i="63733"/>
  <c r="AD368" i="63733"/>
  <c r="AA357" i="63733"/>
  <c r="AA407" i="63733" s="1"/>
  <c r="AA408" i="63733" s="1"/>
  <c r="AA10" i="63733"/>
  <c r="AA352" i="63733"/>
  <c r="AA355" i="63733" s="1"/>
  <c r="X352" i="63733"/>
  <c r="X10" i="63733"/>
  <c r="X357" i="63733"/>
  <c r="X360" i="63733" s="1"/>
  <c r="X410" i="63733"/>
  <c r="U6" i="1336"/>
  <c r="U372" i="63733"/>
  <c r="U366" i="63733"/>
  <c r="U365" i="63733"/>
  <c r="E23" i="63823"/>
  <c r="E26" i="63823"/>
  <c r="E28" i="63823" s="1"/>
  <c r="U426" i="63733"/>
  <c r="U409" i="63733"/>
  <c r="U408" i="63733"/>
  <c r="H22" i="63823"/>
  <c r="H18" i="63823"/>
  <c r="U45" i="1336" l="1"/>
  <c r="U215" i="1336"/>
  <c r="U257" i="1336"/>
  <c r="U259" i="1336" s="1"/>
  <c r="U75" i="63829"/>
  <c r="AG17" i="63733"/>
  <c r="AG369" i="63733"/>
  <c r="AG423" i="63733"/>
  <c r="AG425" i="63733" s="1"/>
  <c r="AG426" i="63733" s="1"/>
  <c r="AG26" i="63733"/>
  <c r="AG27" i="63733" s="1"/>
  <c r="AG407" i="63733"/>
  <c r="AG413" i="63733"/>
  <c r="AG411" i="63733"/>
  <c r="AD353" i="63733"/>
  <c r="AA360" i="63733"/>
  <c r="AA361" i="63733" s="1"/>
  <c r="AD361" i="63733" s="1"/>
  <c r="AA379" i="63733"/>
  <c r="X17" i="63733"/>
  <c r="AD369" i="63733"/>
  <c r="AD423" i="63733"/>
  <c r="AD425" i="63733" s="1"/>
  <c r="AD426" i="63733" s="1"/>
  <c r="AD411" i="63733"/>
  <c r="AD413" i="63733"/>
  <c r="AD26" i="63733"/>
  <c r="AD27" i="63733" s="1"/>
  <c r="AD407" i="63733"/>
  <c r="AD17" i="63733"/>
  <c r="U36" i="63733"/>
  <c r="X373" i="63733"/>
  <c r="X355" i="63733"/>
  <c r="X362" i="63733"/>
  <c r="X361" i="63733"/>
  <c r="X379" i="63733"/>
  <c r="AA17" i="63733"/>
  <c r="U72" i="1336"/>
  <c r="AA369" i="63733"/>
  <c r="AA423" i="63733"/>
  <c r="AA425" i="63733" s="1"/>
  <c r="AA426" i="63733" s="1"/>
  <c r="AA26" i="63733"/>
  <c r="AA27" i="63733" s="1"/>
  <c r="AA411" i="63733"/>
  <c r="AA413" i="63733"/>
  <c r="U204" i="1336"/>
  <c r="U198" i="1336"/>
  <c r="U64" i="1336"/>
  <c r="U255" i="1336" s="1"/>
  <c r="U62" i="1336"/>
  <c r="U202" i="1336"/>
  <c r="U67" i="1336"/>
  <c r="U201" i="1336"/>
  <c r="U200" i="1336"/>
  <c r="U207" i="1336"/>
  <c r="U65" i="1336"/>
  <c r="U374" i="63733"/>
  <c r="X423" i="63733"/>
  <c r="X425" i="63733" s="1"/>
  <c r="X413" i="63733"/>
  <c r="X411" i="63733"/>
  <c r="X407" i="63733"/>
  <c r="X26" i="63733"/>
  <c r="X27" i="63733" s="1"/>
  <c r="U373" i="63733"/>
  <c r="U83" i="63733"/>
  <c r="U84" i="63733"/>
  <c r="H23" i="63823"/>
  <c r="H26" i="63823"/>
  <c r="H28" i="63823" s="1"/>
  <c r="U7" i="1336"/>
  <c r="U261" i="1336"/>
  <c r="AG361" i="63733" l="1"/>
  <c r="AG360" i="63733" s="1"/>
  <c r="AG364" i="63733" s="1"/>
  <c r="AG409" i="63733"/>
  <c r="AG408" i="63733"/>
  <c r="U46" i="63733"/>
  <c r="C111" i="63818"/>
  <c r="E111" i="63818" s="1"/>
  <c r="D79" i="63818"/>
  <c r="E79" i="63818" s="1"/>
  <c r="AD409" i="63733"/>
  <c r="AD408" i="63733"/>
  <c r="AA409" i="63733"/>
  <c r="U205" i="1336"/>
  <c r="E76" i="63818"/>
  <c r="X408" i="63733"/>
  <c r="X409" i="63733"/>
  <c r="X426" i="63733"/>
  <c r="U91" i="63733"/>
  <c r="U92" i="63733"/>
  <c r="AG372" i="63733" l="1"/>
  <c r="AG374" i="63733" s="1"/>
  <c r="AG366" i="63733"/>
  <c r="AD360" i="63733"/>
  <c r="C118" i="63818"/>
  <c r="E118" i="63818" s="1"/>
  <c r="J111" i="63818"/>
  <c r="X36" i="63733"/>
  <c r="AG36" i="63733" l="1"/>
  <c r="AG46" i="63733" s="1"/>
  <c r="AD364" i="63733"/>
  <c r="AG365" i="63733" s="1"/>
  <c r="AG362" i="63733"/>
  <c r="X46" i="63733"/>
  <c r="J118" i="63818"/>
  <c r="U120" i="1336"/>
  <c r="AD372" i="63733" l="1"/>
  <c r="AD36" i="63733" s="1"/>
  <c r="AD46" i="63733" s="1"/>
  <c r="AD366" i="63733"/>
  <c r="AG373" i="63733" l="1"/>
  <c r="AD374" i="63733"/>
  <c r="P28" i="63733"/>
  <c r="P11" i="1336"/>
  <c r="P29" i="63733" s="1"/>
  <c r="P27" i="1336" l="1"/>
  <c r="J3" i="63824"/>
  <c r="P26" i="1336"/>
  <c r="N357" i="63733" l="1"/>
  <c r="K357" i="63733"/>
  <c r="K360" i="63733" s="1"/>
  <c r="K361" i="63733" s="1"/>
  <c r="H357" i="63733"/>
  <c r="T357" i="63733" l="1"/>
  <c r="T379" i="63733" s="1"/>
  <c r="P357" i="63733"/>
  <c r="P358" i="63733" s="1"/>
  <c r="Q407" i="63733"/>
  <c r="Q379" i="63733"/>
  <c r="Q26" i="63733"/>
  <c r="H360" i="63733"/>
  <c r="H361" i="63733" s="1"/>
  <c r="H407" i="63733"/>
  <c r="G357" i="63733"/>
  <c r="G360" i="63733" s="1"/>
  <c r="H26" i="63733"/>
  <c r="J357" i="63733"/>
  <c r="K407" i="63733"/>
  <c r="K26" i="63733"/>
  <c r="N407" i="63733"/>
  <c r="N379" i="63733"/>
  <c r="M357" i="63733"/>
  <c r="M358" i="63733" s="1"/>
  <c r="N360" i="63733"/>
  <c r="N362" i="63733" s="1"/>
  <c r="N26" i="63733"/>
  <c r="S357" i="63733" l="1"/>
  <c r="T360" i="63733"/>
  <c r="T407" i="63733"/>
  <c r="T409" i="63733" s="1"/>
  <c r="T26" i="63733"/>
  <c r="T20" i="63733" s="1"/>
  <c r="T75" i="63733" s="1"/>
  <c r="T76" i="63733" s="1"/>
  <c r="N409" i="63733"/>
  <c r="N408" i="63733"/>
  <c r="M407" i="63733"/>
  <c r="P407" i="63733"/>
  <c r="Q408" i="63733"/>
  <c r="Q409" i="63733"/>
  <c r="M360" i="63733"/>
  <c r="J407" i="63733"/>
  <c r="K409" i="63733"/>
  <c r="K408" i="63733"/>
  <c r="H27" i="63733"/>
  <c r="G26" i="63733"/>
  <c r="H20" i="63733"/>
  <c r="K9" i="63811" s="1"/>
  <c r="Q27" i="63733"/>
  <c r="P26" i="63733"/>
  <c r="Q20" i="63733"/>
  <c r="P360" i="63733"/>
  <c r="N27" i="63733"/>
  <c r="N20" i="63733"/>
  <c r="Q9" i="63811" s="1"/>
  <c r="M26" i="63733"/>
  <c r="J360" i="63733"/>
  <c r="J361" i="63733" s="1"/>
  <c r="G407" i="63733"/>
  <c r="H408" i="63733"/>
  <c r="N361" i="63733"/>
  <c r="K27" i="63733"/>
  <c r="K20" i="63733"/>
  <c r="J26" i="63733"/>
  <c r="Q362" i="63733"/>
  <c r="Q361" i="63733"/>
  <c r="N9" i="63811" l="1"/>
  <c r="E9" i="63824" s="1"/>
  <c r="K75" i="63733"/>
  <c r="S358" i="63733"/>
  <c r="T27" i="63733"/>
  <c r="T408" i="63733"/>
  <c r="S407" i="63733"/>
  <c r="S408" i="63733" s="1"/>
  <c r="T361" i="63733"/>
  <c r="S360" i="63733"/>
  <c r="T78" i="63733"/>
  <c r="T9" i="63811"/>
  <c r="T10" i="63811" s="1"/>
  <c r="Q75" i="63733"/>
  <c r="Q76" i="63733" s="1"/>
  <c r="S26" i="63733"/>
  <c r="S27" i="63733" s="1"/>
  <c r="W9" i="63811"/>
  <c r="B9" i="63824"/>
  <c r="H9" i="63824"/>
  <c r="G408" i="63733"/>
  <c r="N75" i="63733"/>
  <c r="N21" i="63733"/>
  <c r="M361" i="63733"/>
  <c r="M362" i="63733"/>
  <c r="J27" i="63733"/>
  <c r="J20" i="63733"/>
  <c r="J75" i="63733" s="1"/>
  <c r="J76" i="63733" s="1"/>
  <c r="Q21" i="63733"/>
  <c r="P409" i="63733"/>
  <c r="P408" i="63733"/>
  <c r="M409" i="63733"/>
  <c r="M408" i="63733"/>
  <c r="K21" i="63733"/>
  <c r="P27" i="63733"/>
  <c r="P20" i="63733"/>
  <c r="H21" i="63733"/>
  <c r="H75" i="63733"/>
  <c r="M27" i="63733"/>
  <c r="M20" i="63733"/>
  <c r="P361" i="63733"/>
  <c r="P362" i="63733"/>
  <c r="G20" i="63733"/>
  <c r="G27" i="63733"/>
  <c r="J409" i="63733"/>
  <c r="J408" i="63733"/>
  <c r="N10" i="63811" l="1"/>
  <c r="Q10" i="63811"/>
  <c r="N76" i="63733"/>
  <c r="D37" i="63823" s="1"/>
  <c r="D36" i="63823" s="1"/>
  <c r="D39" i="63823" s="1"/>
  <c r="S409" i="63733"/>
  <c r="S78" i="63733"/>
  <c r="S80" i="63733" s="1"/>
  <c r="T80" i="63733"/>
  <c r="G37" i="63823"/>
  <c r="G36" i="63823" s="1"/>
  <c r="G39" i="63823" s="1"/>
  <c r="K9" i="63824"/>
  <c r="W10" i="63811"/>
  <c r="T83" i="63733"/>
  <c r="Z9" i="63811"/>
  <c r="Z10" i="63811" s="1"/>
  <c r="T366" i="63733"/>
  <c r="T362" i="63733"/>
  <c r="T14" i="63811"/>
  <c r="T16" i="63811"/>
  <c r="T17" i="63811"/>
  <c r="T18" i="63811"/>
  <c r="T15" i="63811"/>
  <c r="T13" i="63811"/>
  <c r="H78" i="63733"/>
  <c r="H80" i="63733" s="1"/>
  <c r="H76" i="63733"/>
  <c r="D5" i="63820" s="1"/>
  <c r="K78" i="63733"/>
  <c r="K80" i="63733" s="1"/>
  <c r="K76" i="63733"/>
  <c r="J21" i="63733"/>
  <c r="I19" i="63733" s="1"/>
  <c r="N110" i="63733"/>
  <c r="N78" i="63733"/>
  <c r="Q78" i="63733"/>
  <c r="Q110" i="63733"/>
  <c r="P21" i="63733"/>
  <c r="P75" i="63733"/>
  <c r="P76" i="63733" s="1"/>
  <c r="G21" i="63733"/>
  <c r="G75" i="63733"/>
  <c r="G76" i="63733" s="1"/>
  <c r="M21" i="63733"/>
  <c r="M75" i="63733"/>
  <c r="M76" i="63733" s="1"/>
  <c r="W15" i="63811" l="1"/>
  <c r="Z15" i="63811" s="1"/>
  <c r="W14" i="63811"/>
  <c r="Z14" i="63811" s="1"/>
  <c r="J37" i="63823"/>
  <c r="J36" i="63823" s="1"/>
  <c r="W17" i="63811"/>
  <c r="Z17" i="63811" s="1"/>
  <c r="W16" i="63811"/>
  <c r="Z16" i="63811" s="1"/>
  <c r="T84" i="63733"/>
  <c r="T90" i="63733"/>
  <c r="T33" i="63733" s="1"/>
  <c r="S82" i="63733"/>
  <c r="S90" i="63733" s="1"/>
  <c r="J46" i="63823"/>
  <c r="T33" i="63811"/>
  <c r="W13" i="63811"/>
  <c r="T365" i="63733"/>
  <c r="S364" i="63733"/>
  <c r="S366" i="63733" s="1"/>
  <c r="T372" i="63733"/>
  <c r="K79" i="63733"/>
  <c r="T23" i="63811"/>
  <c r="T20" i="63811"/>
  <c r="W18" i="63811"/>
  <c r="S361" i="63733"/>
  <c r="S362" i="63733"/>
  <c r="G5" i="63820"/>
  <c r="G4" i="63820" s="1"/>
  <c r="D4" i="63820"/>
  <c r="N80" i="63733"/>
  <c r="N79" i="63733"/>
  <c r="G78" i="63733"/>
  <c r="M78" i="63733"/>
  <c r="C37" i="63823"/>
  <c r="C36" i="63823" s="1"/>
  <c r="C39" i="63823" s="1"/>
  <c r="P78" i="63733"/>
  <c r="F37" i="63823"/>
  <c r="F36" i="63823" s="1"/>
  <c r="F39" i="63823" s="1"/>
  <c r="T79" i="63733"/>
  <c r="Q80" i="63733"/>
  <c r="Q79" i="63733"/>
  <c r="J78" i="63733"/>
  <c r="J39" i="63823" l="1"/>
  <c r="T43" i="63733"/>
  <c r="T91" i="63733"/>
  <c r="T110" i="63733"/>
  <c r="S75" i="63733"/>
  <c r="T92" i="63733"/>
  <c r="S83" i="63733"/>
  <c r="S84" i="63733"/>
  <c r="I46" i="63823"/>
  <c r="T374" i="63733"/>
  <c r="S372" i="63733"/>
  <c r="T373" i="63733"/>
  <c r="T36" i="63733"/>
  <c r="T25" i="63811"/>
  <c r="Z13" i="63811"/>
  <c r="W20" i="63811"/>
  <c r="Z18" i="63811"/>
  <c r="W23" i="63811"/>
  <c r="W25" i="63811" s="1"/>
  <c r="S365" i="63733"/>
  <c r="S92" i="63733"/>
  <c r="S91" i="63733"/>
  <c r="S33" i="63733"/>
  <c r="D3" i="63820"/>
  <c r="D6" i="63820"/>
  <c r="D7" i="63820" s="1"/>
  <c r="C4" i="63820"/>
  <c r="G3" i="63820"/>
  <c r="G6" i="63820"/>
  <c r="F4" i="63820"/>
  <c r="M79" i="63733"/>
  <c r="M80" i="63733"/>
  <c r="G80" i="63733"/>
  <c r="G54" i="63733"/>
  <c r="J80" i="63733"/>
  <c r="J79" i="63733"/>
  <c r="P80" i="63733"/>
  <c r="P79" i="63733"/>
  <c r="S43" i="63733" l="1"/>
  <c r="R108" i="63818"/>
  <c r="T46" i="63733"/>
  <c r="S76" i="63733"/>
  <c r="T21" i="63733"/>
  <c r="S20" i="63733"/>
  <c r="S21" i="63733" s="1"/>
  <c r="T42" i="63811"/>
  <c r="T26" i="63811"/>
  <c r="E20" i="63824" s="1"/>
  <c r="W26" i="63811"/>
  <c r="F20" i="63824" s="1"/>
  <c r="S373" i="63733"/>
  <c r="S36" i="63733"/>
  <c r="S374" i="63733"/>
  <c r="Z23" i="63811"/>
  <c r="Z25" i="63811" s="1"/>
  <c r="Z26" i="63811" s="1"/>
  <c r="G20" i="63824" s="1"/>
  <c r="Z20" i="63811"/>
  <c r="T404" i="63733"/>
  <c r="T405" i="63733" s="1"/>
  <c r="C5" i="63820"/>
  <c r="C3" i="63820"/>
  <c r="C6" i="63820"/>
  <c r="C7" i="63820" s="1"/>
  <c r="F6" i="63820"/>
  <c r="F3" i="63820"/>
  <c r="F5" i="63820"/>
  <c r="G23" i="63820"/>
  <c r="G25" i="63820" s="1"/>
  <c r="G7" i="63820"/>
  <c r="S46" i="63733" l="1"/>
  <c r="R111" i="63818"/>
  <c r="R115" i="63818"/>
  <c r="F83" i="63818"/>
  <c r="S79" i="63733"/>
  <c r="R30" i="63733"/>
  <c r="S30" i="63733" s="1"/>
  <c r="S28" i="63733"/>
  <c r="S29" i="63733" s="1"/>
  <c r="I37" i="63823"/>
  <c r="I36" i="63823" s="1"/>
  <c r="I39" i="63823" s="1"/>
  <c r="F23" i="63820"/>
  <c r="F7" i="63820"/>
  <c r="R118" i="63818" l="1"/>
  <c r="J83" i="63818"/>
  <c r="G83" i="63818"/>
  <c r="T61" i="1336"/>
  <c r="S10" i="1336"/>
  <c r="S12" i="1336" l="1"/>
  <c r="R123" i="63818"/>
  <c r="R135" i="63818" s="1"/>
  <c r="Z6" i="63811" l="1"/>
  <c r="E360" i="63733" l="1"/>
  <c r="D357" i="63733"/>
  <c r="D358" i="63733" s="1"/>
  <c r="E407" i="63733"/>
  <c r="E408" i="63733" s="1"/>
  <c r="D26" i="63733"/>
  <c r="D407" i="63733" l="1"/>
  <c r="G409" i="63733" s="1"/>
  <c r="H409" i="63733"/>
  <c r="D360" i="63733"/>
  <c r="E20" i="63733"/>
  <c r="E75" i="63733" s="1"/>
  <c r="E27" i="63733"/>
  <c r="D75" i="63733" l="1"/>
  <c r="D78" i="63733" s="1"/>
  <c r="E21" i="63733"/>
  <c r="D408" i="63733"/>
  <c r="D20" i="63733"/>
  <c r="J9" i="63811"/>
  <c r="E76" i="63733" l="1"/>
  <c r="E78" i="63733"/>
  <c r="E80" i="63733" s="1"/>
  <c r="D76" i="63733"/>
  <c r="J10" i="63811"/>
  <c r="K10" i="63811"/>
  <c r="D80" i="63733"/>
  <c r="G79" i="63733"/>
  <c r="V86" i="63733"/>
  <c r="H79" i="63733" l="1"/>
  <c r="V87" i="63733"/>
  <c r="S9" i="1336" l="1"/>
  <c r="S152" i="1336"/>
  <c r="S215" i="1336" s="1"/>
  <c r="S170" i="1336"/>
  <c r="S195" i="1336" l="1"/>
  <c r="T173" i="1336"/>
  <c r="S173" i="1336" l="1"/>
  <c r="Z3" i="63811"/>
  <c r="Z28" i="63811" l="1"/>
  <c r="S11" i="1336" l="1"/>
  <c r="R3" i="63811" l="1"/>
  <c r="I10" i="63824" s="1"/>
  <c r="Q33" i="1336"/>
  <c r="Q32" i="1336"/>
  <c r="Q22" i="1336"/>
  <c r="K18" i="63824"/>
  <c r="Q139" i="1336"/>
  <c r="P31" i="1336"/>
  <c r="P23" i="1336" s="1"/>
  <c r="Q38" i="63733"/>
  <c r="Q39" i="1336"/>
  <c r="Q47" i="63733" l="1"/>
  <c r="Q68" i="1336"/>
  <c r="Q220" i="1336"/>
  <c r="E32" i="63807"/>
  <c r="Q41" i="1336"/>
  <c r="Q37" i="63733"/>
  <c r="Q39" i="63733"/>
  <c r="T3" i="63811"/>
  <c r="Q69" i="1336"/>
  <c r="P39" i="1336"/>
  <c r="P38" i="63733"/>
  <c r="P47" i="63733" s="1"/>
  <c r="J18" i="63824"/>
  <c r="P22" i="1336"/>
  <c r="P32" i="1336"/>
  <c r="P33" i="1336"/>
  <c r="Q72" i="63829"/>
  <c r="Q73" i="63829" s="1"/>
  <c r="E27" i="63807"/>
  <c r="P29" i="1336"/>
  <c r="Q105" i="1336"/>
  <c r="Q257" i="1336" l="1"/>
  <c r="Q242" i="1336"/>
  <c r="Q243" i="1336" s="1"/>
  <c r="P243" i="1336" s="1"/>
  <c r="P249" i="1336" s="1"/>
  <c r="P250" i="1336" s="1"/>
  <c r="Q247" i="1336" s="1"/>
  <c r="Q249" i="1336" s="1"/>
  <c r="P105" i="1336"/>
  <c r="P41" i="1336"/>
  <c r="E35" i="63807"/>
  <c r="E37" i="63807" s="1"/>
  <c r="G20" i="63823"/>
  <c r="G21" i="63823" s="1"/>
  <c r="BD45" i="63802"/>
  <c r="P220" i="1336"/>
  <c r="P68" i="1336"/>
  <c r="Q59" i="1336"/>
  <c r="T5" i="63811"/>
  <c r="T4" i="63811" s="1"/>
  <c r="T29" i="63811" s="1"/>
  <c r="Q107" i="1336"/>
  <c r="Q109" i="1336" s="1"/>
  <c r="P37" i="63733"/>
  <c r="P39" i="63733"/>
  <c r="P69" i="1336"/>
  <c r="T28" i="63811"/>
  <c r="BD42" i="63802"/>
  <c r="Q140" i="1336"/>
  <c r="BD43" i="63802"/>
  <c r="Q288" i="1336" l="1"/>
  <c r="P242" i="1336"/>
  <c r="P244" i="1336" s="1"/>
  <c r="P229" i="1336"/>
  <c r="P230" i="1336"/>
  <c r="P231" i="1336"/>
  <c r="Q258" i="1336"/>
  <c r="T258" i="1336" s="1"/>
  <c r="T257" i="1336" s="1"/>
  <c r="P257" i="1336"/>
  <c r="P259" i="1336" s="1"/>
  <c r="P59" i="1336"/>
  <c r="BD71" i="63802"/>
  <c r="P107" i="1336"/>
  <c r="P109" i="1336" s="1"/>
  <c r="F20" i="63823"/>
  <c r="F21" i="63823" s="1"/>
  <c r="T7" i="63811"/>
  <c r="G22" i="63823"/>
  <c r="G26" i="63823" s="1"/>
  <c r="G28" i="63823" s="1"/>
  <c r="T30" i="63811"/>
  <c r="P288" i="1336" l="1"/>
  <c r="S257" i="1336"/>
  <c r="T259" i="1336"/>
  <c r="G23" i="63823"/>
  <c r="E38" i="63807"/>
  <c r="E49" i="63807" s="1"/>
  <c r="F22" i="63823"/>
  <c r="F23" i="63823" s="1"/>
  <c r="N3" i="63810"/>
  <c r="Q142" i="1336"/>
  <c r="S259" i="1336" l="1"/>
  <c r="F26" i="63823"/>
  <c r="F28" i="63823" s="1"/>
  <c r="Q129" i="1336"/>
  <c r="Q143" i="1336"/>
  <c r="P143" i="1336" s="1"/>
  <c r="P142" i="1336"/>
  <c r="N5" i="63810"/>
  <c r="N13" i="63810"/>
  <c r="Q150" i="1336" l="1"/>
  <c r="Q213" i="1336" s="1"/>
  <c r="Q214" i="1336" s="1"/>
  <c r="P129" i="1336"/>
  <c r="N14" i="63810"/>
  <c r="N9" i="63810"/>
  <c r="N11" i="63810" s="1"/>
  <c r="N7" i="63810"/>
  <c r="Q132" i="1336" l="1"/>
  <c r="Q154" i="1336"/>
  <c r="P154" i="1336" s="1"/>
  <c r="R150" i="1336"/>
  <c r="P150" i="1336"/>
  <c r="P213" i="1336" s="1"/>
  <c r="P132" i="1336" l="1"/>
  <c r="Q137" i="1336"/>
  <c r="L15" i="63824"/>
  <c r="L20" i="63824" s="1"/>
  <c r="R213" i="1336"/>
  <c r="R214" i="1336" s="1"/>
  <c r="R154" i="1336"/>
  <c r="R165" i="1336" s="1"/>
  <c r="R286" i="1336" s="1"/>
  <c r="R287" i="1336" s="1"/>
  <c r="R289" i="1336" s="1"/>
  <c r="R132" i="1336"/>
  <c r="L7" i="63824"/>
  <c r="Q165" i="1336"/>
  <c r="T131" i="1336"/>
  <c r="T36" i="63811"/>
  <c r="T40" i="63811" s="1"/>
  <c r="BD46" i="63802"/>
  <c r="BD54" i="63802" s="1"/>
  <c r="BD55" i="63802" s="1"/>
  <c r="Q138" i="1336"/>
  <c r="R138" i="1336" s="1"/>
  <c r="R135" i="1336" s="1"/>
  <c r="R131" i="1336"/>
  <c r="N18" i="63810"/>
  <c r="N20" i="63810" s="1"/>
  <c r="Q133" i="1336"/>
  <c r="J15" i="63824"/>
  <c r="J7" i="63824"/>
  <c r="W221" i="1336"/>
  <c r="L17" i="63824" l="1"/>
  <c r="Q190" i="1336"/>
  <c r="Q286" i="1336"/>
  <c r="Q287" i="1336" s="1"/>
  <c r="Q289" i="1336" s="1"/>
  <c r="Q193" i="1336"/>
  <c r="Q211" i="1336"/>
  <c r="P165" i="1336"/>
  <c r="P286" i="1336" s="1"/>
  <c r="P287" i="1336" s="1"/>
  <c r="P289" i="1336" s="1"/>
  <c r="R133" i="1336"/>
  <c r="BD49" i="63802"/>
  <c r="R136" i="1336"/>
  <c r="L9" i="63824" s="1"/>
  <c r="BD47" i="63802"/>
  <c r="K6" i="63824"/>
  <c r="K7" i="63824" s="1"/>
  <c r="T37" i="63811"/>
  <c r="T39" i="63811" s="1"/>
  <c r="S131" i="1336"/>
  <c r="P137" i="1336"/>
  <c r="N24" i="63810"/>
  <c r="J17" i="63824"/>
  <c r="J20" i="63824"/>
  <c r="R193" i="1336"/>
  <c r="R190" i="1336"/>
  <c r="J25" i="63823"/>
  <c r="BG44" i="63802"/>
  <c r="BD56" i="63802"/>
  <c r="BD57" i="63802"/>
  <c r="K11" i="63824" l="1"/>
  <c r="K14" i="63824"/>
  <c r="K19" i="63824" s="1"/>
  <c r="K8" i="63824"/>
  <c r="I25" i="63823"/>
  <c r="K15" i="63824" l="1"/>
  <c r="K17" i="63824" s="1"/>
  <c r="K16" i="63824"/>
  <c r="K20" i="63824" l="1"/>
  <c r="BG58" i="63802" l="1"/>
  <c r="T180" i="1336" l="1"/>
  <c r="S180" i="1336" s="1"/>
  <c r="T182" i="1336" l="1"/>
  <c r="S182" i="1336" l="1"/>
  <c r="T194" i="1336"/>
  <c r="F38" i="63807" l="1"/>
  <c r="J20" i="63823" l="1"/>
  <c r="F32" i="63807"/>
  <c r="J21" i="63823" l="1"/>
  <c r="J22" i="63823"/>
  <c r="BG43" i="63802"/>
  <c r="T140" i="1336"/>
  <c r="J23" i="63823" l="1"/>
  <c r="J26" i="63823"/>
  <c r="J28" i="63823" s="1"/>
  <c r="S222" i="1336" l="1"/>
  <c r="S101" i="1336" l="1"/>
  <c r="S100" i="1336"/>
  <c r="V158" i="63733" l="1"/>
  <c r="V22" i="63733" s="1"/>
  <c r="V159" i="63733" l="1"/>
  <c r="V23" i="63733" l="1"/>
  <c r="T32" i="1336" l="1"/>
  <c r="T139" i="1336"/>
  <c r="T33" i="1336"/>
  <c r="BG42" i="63802"/>
  <c r="S31" i="1336"/>
  <c r="S23" i="1336" s="1"/>
  <c r="T38" i="63733"/>
  <c r="T47" i="63733" l="1"/>
  <c r="T68" i="1336"/>
  <c r="S39" i="1336"/>
  <c r="S40" i="1336" s="1"/>
  <c r="T39" i="63733"/>
  <c r="T37" i="63733"/>
  <c r="BG69" i="63802"/>
  <c r="O23" i="63810"/>
  <c r="T27" i="1336"/>
  <c r="N3" i="63824"/>
  <c r="T26" i="1336"/>
  <c r="S99" i="1336"/>
  <c r="S25" i="1336"/>
  <c r="S32" i="1336"/>
  <c r="S33" i="1336"/>
  <c r="F84" i="63818" l="1"/>
  <c r="G84" i="63818" s="1"/>
  <c r="T438" i="63733"/>
  <c r="S438" i="63733" s="1"/>
  <c r="R124" i="63818"/>
  <c r="F85" i="63818"/>
  <c r="S27" i="1336"/>
  <c r="M3" i="63824"/>
  <c r="S26" i="1336"/>
  <c r="S37" i="63733"/>
  <c r="R112" i="63818" s="1"/>
  <c r="J84" i="63818" l="1"/>
  <c r="I9" i="63808" l="1"/>
  <c r="T51" i="1336" l="1"/>
  <c r="T80" i="1336" l="1"/>
  <c r="T81" i="1336" s="1"/>
  <c r="T187" i="1336"/>
  <c r="T83" i="1336"/>
  <c r="S51" i="1336"/>
  <c r="S43" i="1336"/>
  <c r="S45" i="1336" s="1"/>
  <c r="R128" i="63818" l="1"/>
  <c r="R130" i="63818"/>
  <c r="T84" i="1336"/>
  <c r="T78" i="1336"/>
  <c r="S80" i="1336"/>
  <c r="S81" i="1336" s="1"/>
  <c r="S83" i="1336"/>
  <c r="S77" i="1336"/>
  <c r="S44" i="1336"/>
  <c r="S55" i="1336"/>
  <c r="S54" i="1336" s="1"/>
  <c r="S187" i="1336"/>
  <c r="T189" i="1336"/>
  <c r="R137" i="63818" l="1"/>
  <c r="R132" i="63818"/>
  <c r="S78" i="1336"/>
  <c r="S84" i="1336"/>
  <c r="S189" i="1336"/>
  <c r="BG48" i="63802"/>
  <c r="T94" i="1336"/>
  <c r="M11" i="63824" l="1"/>
  <c r="M19" i="63824"/>
  <c r="BG59" i="63802" l="1"/>
  <c r="S56" i="1336"/>
  <c r="S93" i="1336"/>
  <c r="R133" i="63818" l="1"/>
  <c r="BG45" i="63802"/>
  <c r="S41" i="1336"/>
  <c r="F35" i="63807"/>
  <c r="BG71" i="63802"/>
  <c r="T59" i="1336"/>
  <c r="W5" i="63811"/>
  <c r="U59" i="1336" l="1"/>
  <c r="T288" i="1336"/>
  <c r="S59" i="1336"/>
  <c r="S288" i="1336" l="1"/>
  <c r="T145" i="1336"/>
  <c r="O3" i="63810"/>
  <c r="T142" i="1336"/>
  <c r="V59" i="1336"/>
  <c r="O13" i="63810" l="1"/>
  <c r="O5" i="63810"/>
  <c r="S142" i="1336"/>
  <c r="T143" i="1336"/>
  <c r="S143" i="1336" s="1"/>
  <c r="O14" i="63810" l="1"/>
  <c r="O7" i="63810"/>
  <c r="O9" i="63810"/>
  <c r="O11" i="63810" s="1"/>
  <c r="S126" i="1336" l="1"/>
  <c r="T136" i="1336" l="1"/>
  <c r="S136" i="1336" l="1"/>
  <c r="M9" i="63824" s="1"/>
  <c r="S135" i="1336"/>
  <c r="T219" i="1336" l="1"/>
  <c r="O19" i="63810" l="1"/>
  <c r="S219" i="1336"/>
  <c r="W32" i="63811"/>
  <c r="W33" i="63811" l="1"/>
  <c r="N2" i="63824"/>
  <c r="N9" i="63824" l="1"/>
  <c r="W3" i="63811"/>
  <c r="T220" i="1336"/>
  <c r="T242" i="1336" l="1"/>
  <c r="T231" i="1336"/>
  <c r="T230" i="1336"/>
  <c r="T229" i="1336"/>
  <c r="S220" i="1336"/>
  <c r="W28" i="63811"/>
  <c r="S242" i="1336" l="1"/>
  <c r="S231" i="1336"/>
  <c r="S230" i="1336"/>
  <c r="S229" i="1336"/>
  <c r="T243" i="1336"/>
  <c r="S243" i="1336" s="1"/>
  <c r="S3" i="63811"/>
  <c r="J10" i="63824" s="1"/>
  <c r="T244" i="1336" l="1"/>
  <c r="S244" i="1336"/>
  <c r="S223" i="1336" s="1"/>
  <c r="T221" i="1336"/>
  <c r="W42" i="63811" s="1"/>
  <c r="N18" i="63824" s="1"/>
  <c r="W6" i="63811"/>
  <c r="W4" i="63811" s="1"/>
  <c r="W241" i="1336" l="1"/>
  <c r="U241" i="1336"/>
  <c r="W7" i="63811"/>
  <c r="W29" i="63811"/>
  <c r="W30" i="63811" s="1"/>
  <c r="S221" i="1336"/>
  <c r="W44" i="63811"/>
  <c r="V44" i="63811" l="1"/>
  <c r="V42" i="63811"/>
  <c r="M18" i="63824" s="1"/>
  <c r="S6" i="63811" l="1"/>
  <c r="S275" i="1336"/>
  <c r="T270" i="1336"/>
  <c r="T282" i="1336" s="1"/>
  <c r="S270" i="1336" l="1"/>
  <c r="U28" i="63829" l="1"/>
  <c r="W28" i="63829"/>
  <c r="F36" i="63807"/>
  <c r="F37" i="63807" s="1"/>
  <c r="F49" i="63807" s="1"/>
  <c r="S29" i="1336"/>
  <c r="R125" i="63818" s="1"/>
  <c r="T63" i="63829"/>
  <c r="T40" i="63829"/>
  <c r="T71" i="63829" l="1"/>
  <c r="T64" i="63829"/>
  <c r="I20" i="63823"/>
  <c r="W36" i="63829"/>
  <c r="T43" i="63829"/>
  <c r="W61" i="63829"/>
  <c r="U31" i="63829"/>
  <c r="T81" i="63829"/>
  <c r="U36" i="63829"/>
  <c r="T73" i="63829" l="1"/>
  <c r="T75" i="63829"/>
  <c r="U29" i="63829"/>
  <c r="U37" i="63829" s="1"/>
  <c r="W33" i="63829"/>
  <c r="X28" i="63829" s="1"/>
  <c r="X29" i="63829" s="1"/>
  <c r="W40" i="63829"/>
  <c r="Z36" i="63829" s="1"/>
  <c r="I21" i="63823"/>
  <c r="I22" i="63823"/>
  <c r="W43" i="63829" l="1"/>
  <c r="U33" i="63829"/>
  <c r="U42" i="63829"/>
  <c r="X36" i="63829"/>
  <c r="Z28" i="63829"/>
  <c r="I26" i="63823"/>
  <c r="I28" i="63823" s="1"/>
  <c r="I23" i="63823"/>
  <c r="U40" i="63829"/>
  <c r="V124" i="1336"/>
  <c r="G33" i="63807"/>
  <c r="U45" i="63829" l="1"/>
  <c r="U288" i="1336"/>
  <c r="Z33" i="63829"/>
  <c r="X43" i="63829"/>
  <c r="X37" i="63829"/>
  <c r="V169" i="1336"/>
  <c r="W177" i="1336"/>
  <c r="W250" i="1336" s="1"/>
  <c r="U72" i="63829"/>
  <c r="U73" i="63829" s="1"/>
  <c r="U180" i="1336"/>
  <c r="Z124" i="1336"/>
  <c r="X61" i="63829"/>
  <c r="X62" i="63829" s="1"/>
  <c r="Z247" i="1336" l="1"/>
  <c r="V250" i="1336"/>
  <c r="V249" i="1336" s="1"/>
  <c r="W249" i="1336"/>
  <c r="X247" i="1336"/>
  <c r="X249" i="1336" s="1"/>
  <c r="F35" i="63836" a="1"/>
  <c r="F35" i="63836" s="1"/>
  <c r="Z248" i="1336"/>
  <c r="Y248" i="1336" s="1"/>
  <c r="P22" i="63810"/>
  <c r="V177" i="1336"/>
  <c r="U106" i="1336"/>
  <c r="U69" i="1336"/>
  <c r="U163" i="1336"/>
  <c r="U222" i="1336"/>
  <c r="Z40" i="63829"/>
  <c r="H33" i="63807"/>
  <c r="Z43" i="63829" l="1"/>
  <c r="AA36" i="63829"/>
  <c r="AA43" i="63829" s="1"/>
  <c r="AC28" i="63829"/>
  <c r="AA28" i="63829"/>
  <c r="V222" i="1336"/>
  <c r="W222" i="1336"/>
  <c r="X221" i="1336" s="1"/>
  <c r="AC36" i="63829"/>
  <c r="Y124" i="1336"/>
  <c r="U140" i="1336"/>
  <c r="Z160" i="1336"/>
  <c r="F52" i="63836" s="1" a="1"/>
  <c r="F52" i="63836" s="1"/>
  <c r="Y78" i="63829" l="1"/>
  <c r="Y81" i="63829" s="1"/>
  <c r="Z221" i="1336"/>
  <c r="Y169" i="1336"/>
  <c r="Z177" i="1336"/>
  <c r="F63" i="63836" l="1" a="1"/>
  <c r="F63" i="63836" s="1"/>
  <c r="Z250" i="1336"/>
  <c r="Y221" i="1336"/>
  <c r="Y177" i="1336"/>
  <c r="AC124" i="1336"/>
  <c r="AB124" i="1336" s="1"/>
  <c r="Z249" i="1336" l="1"/>
  <c r="Y250" i="1336"/>
  <c r="Y249" i="1336" s="1"/>
  <c r="AA247" i="1336"/>
  <c r="AA249" i="1336" s="1"/>
  <c r="AC247" i="1336"/>
  <c r="G35" i="63836" a="1"/>
  <c r="G35" i="63836" s="1"/>
  <c r="AC248" i="1336"/>
  <c r="AB248" i="1336" s="1"/>
  <c r="Z222" i="1336"/>
  <c r="I33" i="63807"/>
  <c r="AC221" i="1336" l="1"/>
  <c r="AA221" i="1336"/>
  <c r="Y222" i="1336"/>
  <c r="X222" i="1336"/>
  <c r="AB221" i="1336" l="1"/>
  <c r="W5" i="63830" l="1"/>
  <c r="W8" i="63830" s="1"/>
  <c r="W11" i="63830" s="1"/>
  <c r="Z5" i="63830" l="1"/>
  <c r="Z8" i="63830" s="1"/>
  <c r="Z11" i="63830" s="1"/>
  <c r="U13" i="63830"/>
  <c r="U81" i="63829" s="1"/>
  <c r="W176" i="1336"/>
  <c r="G29" i="63807" l="1"/>
  <c r="G36" i="63807" s="1"/>
  <c r="V81" i="63829"/>
  <c r="AC5" i="63830"/>
  <c r="AC8" i="63830" s="1"/>
  <c r="AC11" i="63830" s="1"/>
  <c r="W180" i="1336"/>
  <c r="V176" i="1336"/>
  <c r="X176" i="1336"/>
  <c r="Z176" i="1336"/>
  <c r="X13" i="63830"/>
  <c r="X81" i="63829" s="1"/>
  <c r="F62" i="63836" l="1" a="1"/>
  <c r="F62" i="63836" s="1"/>
  <c r="K25" i="63823"/>
  <c r="X42" i="63811"/>
  <c r="V37" i="1336"/>
  <c r="AA176" i="1336"/>
  <c r="AA213" i="1336" s="1"/>
  <c r="C8" i="63832"/>
  <c r="E8" i="63832" s="1"/>
  <c r="X44" i="63811"/>
  <c r="BH44" i="63802"/>
  <c r="AE13" i="63830"/>
  <c r="AF5" i="63830"/>
  <c r="AF8" i="63830" s="1"/>
  <c r="AF11" i="63830" s="1"/>
  <c r="X180" i="1336"/>
  <c r="V180" i="1336"/>
  <c r="Z180" i="1336"/>
  <c r="F66" i="63836" s="1" a="1"/>
  <c r="F66" i="63836" s="1"/>
  <c r="Y176" i="1336"/>
  <c r="AC176" i="1336"/>
  <c r="AB176" i="1336" s="1"/>
  <c r="F65" i="63836" l="1"/>
  <c r="G62" i="63836" a="1"/>
  <c r="G62" i="63836" s="1"/>
  <c r="AE79" i="63829"/>
  <c r="AH13" i="63830"/>
  <c r="AH79" i="63829" s="1"/>
  <c r="AD13" i="63830"/>
  <c r="AF79" i="63829"/>
  <c r="AI5" i="63830"/>
  <c r="AI8" i="63830" s="1"/>
  <c r="AI11" i="63830" s="1"/>
  <c r="Y6" i="63811"/>
  <c r="H62" i="63836" a="1"/>
  <c r="H62" i="63836" s="1"/>
  <c r="Y180" i="1336"/>
  <c r="X6" i="63811"/>
  <c r="AE176" i="1336" l="1"/>
  <c r="AD79" i="63829"/>
  <c r="AG13" i="63830"/>
  <c r="AG79" i="63829" s="1"/>
  <c r="AL5" i="63830"/>
  <c r="AL8" i="63830" s="1"/>
  <c r="AO5" i="63830" s="1"/>
  <c r="AO8" i="63830" s="1"/>
  <c r="I62" i="63836" a="1"/>
  <c r="I62" i="63836" s="1"/>
  <c r="AI79" i="63829"/>
  <c r="AL11" i="63830" l="1"/>
  <c r="AL79" i="63829" s="1"/>
  <c r="AR5" i="63830"/>
  <c r="AR8" i="63830" s="1"/>
  <c r="AO11" i="63830"/>
  <c r="AO79" i="63829" l="1"/>
  <c r="AR11" i="63830"/>
  <c r="AR79" i="63829" s="1"/>
  <c r="AU5" i="63830"/>
  <c r="AU8" i="63830" s="1"/>
  <c r="AX5" i="63830" l="1"/>
  <c r="AX8" i="63830" s="1"/>
  <c r="AU11" i="63830"/>
  <c r="AU79" i="63829" s="1"/>
  <c r="J62" i="63836" a="1"/>
  <c r="J62" i="63836" s="1"/>
  <c r="AX11" i="63830" l="1"/>
  <c r="AX79" i="63829" s="1"/>
  <c r="BA5" i="63830"/>
  <c r="BA8" i="63830" s="1"/>
  <c r="BA11" i="63830" l="1"/>
  <c r="BD5" i="63830"/>
  <c r="BD8" i="63830" s="1"/>
  <c r="BD11" i="63830" l="1"/>
  <c r="BG5" i="63830"/>
  <c r="BG8" i="63830" s="1"/>
  <c r="BA79" i="63829"/>
  <c r="BD79" i="63829"/>
  <c r="BG11" i="63830" l="1"/>
  <c r="BJ5" i="63830"/>
  <c r="BJ8" i="63830" s="1"/>
  <c r="BJ11" i="63830" s="1"/>
  <c r="BG79" i="63829"/>
  <c r="S122" i="1336" l="1"/>
  <c r="S6" i="63830" s="1"/>
  <c r="S7" i="63830" s="1"/>
  <c r="T6" i="63830"/>
  <c r="T127" i="1336"/>
  <c r="T129" i="1336" s="1"/>
  <c r="S127" i="1336" l="1"/>
  <c r="T7" i="63830"/>
  <c r="T150" i="1336"/>
  <c r="S129" i="1336"/>
  <c r="T213" i="1336" l="1"/>
  <c r="T214" i="1336" s="1"/>
  <c r="T132" i="1336"/>
  <c r="W131" i="1336"/>
  <c r="S150" i="1336"/>
  <c r="T154" i="1336"/>
  <c r="S213" i="1336" l="1"/>
  <c r="S214" i="1336" s="1"/>
  <c r="S132" i="1336"/>
  <c r="M7" i="63824"/>
  <c r="M15" i="63824"/>
  <c r="T133" i="1336"/>
  <c r="BG46" i="63802"/>
  <c r="O18" i="63810"/>
  <c r="U131" i="1336"/>
  <c r="T138" i="1336"/>
  <c r="W36" i="63811"/>
  <c r="V134" i="1336"/>
  <c r="S154" i="1336"/>
  <c r="T165" i="1336"/>
  <c r="T286" i="1336" s="1"/>
  <c r="T287" i="1336" s="1"/>
  <c r="T289" i="1336" s="1"/>
  <c r="R142" i="63818" l="1"/>
  <c r="R141" i="63818"/>
  <c r="R143" i="63818" s="1"/>
  <c r="T193" i="1336"/>
  <c r="BG49" i="63802"/>
  <c r="BG47" i="63802"/>
  <c r="BG54" i="63802"/>
  <c r="BG55" i="63802" s="1"/>
  <c r="N6" i="63824"/>
  <c r="W40" i="63811"/>
  <c r="W37" i="63811"/>
  <c r="W39" i="63811" s="1"/>
  <c r="V131" i="1336"/>
  <c r="S137" i="1336"/>
  <c r="U138" i="1336"/>
  <c r="U135" i="1336" s="1"/>
  <c r="T190" i="1336"/>
  <c r="S165" i="1336"/>
  <c r="S286" i="1336" s="1"/>
  <c r="S287" i="1336" s="1"/>
  <c r="S289" i="1336" s="1"/>
  <c r="T211" i="1336"/>
  <c r="O24" i="63810"/>
  <c r="O20" i="63810"/>
  <c r="M17" i="63824"/>
  <c r="M20" i="63824"/>
  <c r="N11" i="63824" l="1"/>
  <c r="N14" i="63824"/>
  <c r="N8" i="63824"/>
  <c r="N7" i="63824"/>
  <c r="U136" i="1336"/>
  <c r="BG56" i="63802"/>
  <c r="BG57" i="63802"/>
  <c r="N16" i="63824" l="1"/>
  <c r="N19" i="63824"/>
  <c r="N15" i="63824"/>
  <c r="V135" i="1336"/>
  <c r="W136" i="1336"/>
  <c r="V136" i="1336" l="1"/>
  <c r="N20" i="63824"/>
  <c r="N17" i="63824"/>
  <c r="S217" i="63733" l="1"/>
  <c r="S219" i="63733"/>
  <c r="S220" i="63733" s="1"/>
  <c r="S227" i="63733" l="1"/>
  <c r="S229" i="63733" s="1"/>
  <c r="S228" i="63733" l="1"/>
  <c r="S35" i="63733"/>
  <c r="U167" i="63733"/>
  <c r="S45" i="63733" l="1"/>
  <c r="R110" i="63818"/>
  <c r="S404" i="63733"/>
  <c r="S405" i="63733" s="1"/>
  <c r="S38" i="63733"/>
  <c r="U173" i="63733"/>
  <c r="S47" i="63733" l="1"/>
  <c r="R113" i="63818"/>
  <c r="R117" i="63818"/>
  <c r="S39" i="63733"/>
  <c r="R136" i="63818" l="1"/>
  <c r="R119" i="63818"/>
  <c r="R126" i="63818"/>
  <c r="E77" i="63818"/>
  <c r="U404" i="63733"/>
  <c r="U405" i="63733" s="1"/>
  <c r="Y182" i="63733" l="1"/>
  <c r="Y187" i="63733"/>
  <c r="AB188" i="63733" s="1"/>
  <c r="Y181" i="63733"/>
  <c r="Y188" i="63733" l="1"/>
  <c r="X7" i="63733" l="1"/>
  <c r="X14" i="63733" l="1"/>
  <c r="AA64" i="63733"/>
  <c r="AA73" i="63733" s="1"/>
  <c r="AA72" i="63733" s="1"/>
  <c r="AA104" i="63733"/>
  <c r="AA105" i="63733" s="1"/>
  <c r="AA97" i="63733"/>
  <c r="AA7" i="63733"/>
  <c r="X12" i="63733"/>
  <c r="X403" i="63733"/>
  <c r="AA14" i="63733" l="1"/>
  <c r="X18" i="63733"/>
  <c r="AA12" i="63733"/>
  <c r="AA403" i="63733"/>
  <c r="X6" i="1336"/>
  <c r="X215" i="1336" l="1"/>
  <c r="X257" i="1336"/>
  <c r="X259" i="1336" s="1"/>
  <c r="X45" i="1336"/>
  <c r="AA18" i="63733"/>
  <c r="P3" i="63832"/>
  <c r="R3" i="63832" s="1"/>
  <c r="X67" i="1336"/>
  <c r="X10" i="1336"/>
  <c r="X65" i="1336"/>
  <c r="X200" i="1336"/>
  <c r="X120" i="1336"/>
  <c r="X64" i="1336"/>
  <c r="X207" i="1336"/>
  <c r="X62" i="1336"/>
  <c r="X204" i="1336"/>
  <c r="X198" i="1336"/>
  <c r="X69" i="1336"/>
  <c r="X201" i="1336"/>
  <c r="X202" i="1336"/>
  <c r="X17" i="1336"/>
  <c r="X15" i="1336"/>
  <c r="X19" i="1336"/>
  <c r="X21" i="1336"/>
  <c r="AA6" i="1336"/>
  <c r="X72" i="1336"/>
  <c r="X7" i="1336"/>
  <c r="AA215" i="1336" l="1"/>
  <c r="AA257" i="1336"/>
  <c r="AA259" i="1336" s="1"/>
  <c r="X255" i="1336"/>
  <c r="X219" i="1336" s="1"/>
  <c r="AA67" i="1336"/>
  <c r="AD67" i="1336" s="1"/>
  <c r="AA65" i="1336"/>
  <c r="AA201" i="1336"/>
  <c r="AA64" i="1336"/>
  <c r="AD64" i="1336" s="1"/>
  <c r="AA10" i="1336"/>
  <c r="AA200" i="1336"/>
  <c r="AA62" i="1336"/>
  <c r="AD62" i="1336" s="1"/>
  <c r="AG62" i="1336" s="1"/>
  <c r="AA207" i="1336"/>
  <c r="AD207" i="1336" s="1"/>
  <c r="AG207" i="1336" s="1"/>
  <c r="AA204" i="1336"/>
  <c r="AA198" i="1336"/>
  <c r="AA205" i="1336" s="1"/>
  <c r="AA69" i="1336"/>
  <c r="AA202" i="1336"/>
  <c r="AA17" i="1336"/>
  <c r="X11" i="1336"/>
  <c r="X205" i="1336"/>
  <c r="X22" i="1336"/>
  <c r="X68" i="1336" s="1"/>
  <c r="X28" i="63733"/>
  <c r="X20" i="63733" s="1"/>
  <c r="X61" i="1336"/>
  <c r="AA21" i="1336"/>
  <c r="AA7" i="1336"/>
  <c r="AA72" i="1336"/>
  <c r="X220" i="1336"/>
  <c r="X242" i="1336" s="1"/>
  <c r="X243" i="1336" s="1"/>
  <c r="X173" i="1336"/>
  <c r="AA28" i="63733" l="1"/>
  <c r="AA23" i="1336"/>
  <c r="AD65" i="1336"/>
  <c r="AG65" i="1336" s="1"/>
  <c r="AG64" i="1336"/>
  <c r="AG255" i="1336" s="1"/>
  <c r="AD255" i="1336"/>
  <c r="AA255" i="1336"/>
  <c r="AA219" i="1336" s="1"/>
  <c r="X229" i="1336"/>
  <c r="X231" i="1336"/>
  <c r="X230" i="1336"/>
  <c r="AA11" i="1336"/>
  <c r="AA61" i="1336"/>
  <c r="AD198" i="1336"/>
  <c r="X182" i="1336"/>
  <c r="X194" i="1336" s="1"/>
  <c r="AA19" i="1336"/>
  <c r="AA220" i="1336"/>
  <c r="AA242" i="1336" s="1"/>
  <c r="AA243" i="1336" s="1"/>
  <c r="AA230" i="1336" l="1"/>
  <c r="AA231" i="1336"/>
  <c r="AA229" i="1336"/>
  <c r="AG198" i="1336"/>
  <c r="AG205" i="1336" s="1"/>
  <c r="AD205" i="1336"/>
  <c r="U44" i="1336" l="1"/>
  <c r="U32" i="1336"/>
  <c r="U99" i="1336"/>
  <c r="U103" i="1336" s="1"/>
  <c r="U33" i="1336"/>
  <c r="U139" i="1336"/>
  <c r="U27" i="1336"/>
  <c r="U26" i="1336"/>
  <c r="U77" i="1336"/>
  <c r="U51" i="1336"/>
  <c r="U38" i="63733"/>
  <c r="U39" i="1336"/>
  <c r="U105" i="1336" s="1"/>
  <c r="C113" i="63818" l="1"/>
  <c r="E113" i="63818" s="1"/>
  <c r="J132" i="63818"/>
  <c r="U187" i="1336"/>
  <c r="C130" i="63818"/>
  <c r="E130" i="63818" s="1"/>
  <c r="D74" i="63818"/>
  <c r="E74" i="63818" s="1"/>
  <c r="U41" i="1336"/>
  <c r="U47" i="63733"/>
  <c r="F95" i="63818"/>
  <c r="U37" i="63733"/>
  <c r="U80" i="1336"/>
  <c r="U81" i="1336" s="1"/>
  <c r="U83" i="1336"/>
  <c r="U78" i="1336"/>
  <c r="U39" i="63733"/>
  <c r="U438" i="63733" l="1"/>
  <c r="C126" i="63818"/>
  <c r="E126" i="63818" s="1"/>
  <c r="C136" i="63818"/>
  <c r="E136" i="63818" s="1"/>
  <c r="C112" i="63818"/>
  <c r="E112" i="63818" s="1"/>
  <c r="C119" i="63818"/>
  <c r="E119" i="63818" s="1"/>
  <c r="J130" i="63818"/>
  <c r="J126" i="63818"/>
  <c r="J113" i="63818"/>
  <c r="J112" i="63818"/>
  <c r="U107" i="1336"/>
  <c r="J95" i="63818"/>
  <c r="G95" i="63818"/>
  <c r="U84" i="1336"/>
  <c r="D80" i="63818"/>
  <c r="E80" i="63818" s="1"/>
  <c r="U56" i="1336"/>
  <c r="U93" i="1336"/>
  <c r="C133" i="63818" l="1"/>
  <c r="E133" i="63818" s="1"/>
  <c r="W56" i="1336"/>
  <c r="W55" i="1336"/>
  <c r="W93" i="1336"/>
  <c r="J136" i="63818"/>
  <c r="J119" i="63818"/>
  <c r="U127" i="1336"/>
  <c r="N133" i="63818" l="1"/>
  <c r="L133" i="63818"/>
  <c r="P10" i="63810"/>
  <c r="V125" i="1336"/>
  <c r="W127" i="1336"/>
  <c r="U189" i="1336"/>
  <c r="J133" i="63818" l="1"/>
  <c r="V127" i="1336"/>
  <c r="U173" i="1336" l="1"/>
  <c r="U10" i="1336"/>
  <c r="U23" i="1336" l="1"/>
  <c r="U12" i="1336"/>
  <c r="X23" i="1336"/>
  <c r="X35" i="1336"/>
  <c r="U28" i="63733"/>
  <c r="C123" i="63818"/>
  <c r="U61" i="1336"/>
  <c r="U11" i="1336"/>
  <c r="U22" i="1336"/>
  <c r="U182" i="1336"/>
  <c r="U194" i="1336" s="1"/>
  <c r="C135" i="63818" l="1"/>
  <c r="E135" i="63818" s="1"/>
  <c r="E123" i="63818"/>
  <c r="U20" i="63733"/>
  <c r="J123" i="63818"/>
  <c r="U29" i="63733"/>
  <c r="U68" i="1336"/>
  <c r="U75" i="63733" l="1"/>
  <c r="J135" i="63818"/>
  <c r="U21" i="63733"/>
  <c r="U76" i="63733" l="1"/>
  <c r="U78" i="63733"/>
  <c r="U80" i="63733" s="1"/>
  <c r="U79" i="63733" l="1"/>
  <c r="U362" i="63733"/>
  <c r="U361" i="63733"/>
  <c r="U129" i="1336" l="1"/>
  <c r="U150" i="1336" s="1"/>
  <c r="U142" i="1336"/>
  <c r="U143" i="1336" s="1"/>
  <c r="U145" i="1336"/>
  <c r="U109" i="1336"/>
  <c r="U132" i="1336" l="1"/>
  <c r="U213" i="1336"/>
  <c r="U214" i="1336" s="1"/>
  <c r="U154" i="1336"/>
  <c r="U133" i="1336" l="1"/>
  <c r="U165" i="1336"/>
  <c r="U193" i="1336" l="1"/>
  <c r="U286" i="1336"/>
  <c r="U287" i="1336" s="1"/>
  <c r="U289" i="1336" s="1"/>
  <c r="X3" i="63811"/>
  <c r="U190" i="1336"/>
  <c r="U219" i="1336"/>
  <c r="Y3" i="63811" l="1"/>
  <c r="U3" i="63811" l="1"/>
  <c r="U220" i="1336"/>
  <c r="U242" i="1336" l="1"/>
  <c r="U229" i="1336"/>
  <c r="U231" i="1336"/>
  <c r="U230" i="1336"/>
  <c r="U243" i="1336" l="1"/>
  <c r="U244" i="1336" s="1"/>
  <c r="U266" i="1336"/>
  <c r="U6" i="63811"/>
  <c r="U221" i="1336"/>
  <c r="V241" i="1336" l="1"/>
  <c r="U223" i="1336"/>
  <c r="V221" i="1336"/>
  <c r="V265" i="1336" s="1"/>
  <c r="V6" i="63811" s="1"/>
  <c r="U268" i="1336"/>
  <c r="V9" i="1336" l="1"/>
  <c r="V152" i="1336"/>
  <c r="V170" i="1336" l="1"/>
  <c r="W32" i="1336" l="1"/>
  <c r="C7" i="63832"/>
  <c r="E7" i="63832" s="1"/>
  <c r="V31" i="1336"/>
  <c r="W139" i="1336"/>
  <c r="W39" i="1336"/>
  <c r="W105" i="1336" s="1"/>
  <c r="V38" i="63733" l="1"/>
  <c r="V288" i="1336"/>
  <c r="G27" i="63807"/>
  <c r="W59" i="1336"/>
  <c r="W288" i="1336" s="1"/>
  <c r="W43" i="1336"/>
  <c r="BH45" i="63802"/>
  <c r="V41" i="1336"/>
  <c r="G35" i="63807"/>
  <c r="W107" i="1336"/>
  <c r="V270" i="1336"/>
  <c r="V32" i="1336"/>
  <c r="V39" i="1336"/>
  <c r="C9" i="63832"/>
  <c r="E9" i="63832" s="1"/>
  <c r="W109" i="1336" l="1"/>
  <c r="W54" i="1336"/>
  <c r="C10" i="63832"/>
  <c r="E10" i="63832" s="1"/>
  <c r="V43" i="1336"/>
  <c r="W44" i="1336"/>
  <c r="W77" i="1336"/>
  <c r="W51" i="1336"/>
  <c r="V51" i="1336" l="1"/>
  <c r="W80" i="1336"/>
  <c r="W81" i="1336" s="1"/>
  <c r="W187" i="1336"/>
  <c r="W83" i="1336"/>
  <c r="C11" i="63832"/>
  <c r="E11" i="63832" s="1"/>
  <c r="W78" i="1336"/>
  <c r="V44" i="1336"/>
  <c r="V77" i="1336"/>
  <c r="W189" i="1336" l="1"/>
  <c r="V187" i="1336"/>
  <c r="V78" i="1336"/>
  <c r="V80" i="1336"/>
  <c r="V81" i="1336" s="1"/>
  <c r="V83" i="1336"/>
  <c r="W84" i="1336"/>
  <c r="V84" i="1336" l="1"/>
  <c r="V189" i="1336"/>
  <c r="BH48" i="63802"/>
  <c r="V93" i="1336" l="1"/>
  <c r="V56" i="1336"/>
  <c r="W57" i="63733" l="1"/>
  <c r="Y63" i="63733" l="1"/>
  <c r="AB64" i="63733" s="1"/>
  <c r="AB73" i="63733" s="1"/>
  <c r="Z7" i="63733"/>
  <c r="Z100" i="63733"/>
  <c r="N31" i="63836" l="1" a="1"/>
  <c r="N31" i="63836" s="1"/>
  <c r="AC100" i="63733"/>
  <c r="AC64" i="63733"/>
  <c r="AA87" i="63733"/>
  <c r="AC104" i="63733"/>
  <c r="AC105" i="63733" s="1"/>
  <c r="AC7" i="63733"/>
  <c r="AB7" i="63733" s="1"/>
  <c r="AF63" i="63733"/>
  <c r="Z14" i="63733"/>
  <c r="Y64" i="63733"/>
  <c r="X74" i="63829"/>
  <c r="AI63" i="63733"/>
  <c r="AH63" i="63733" s="1"/>
  <c r="Y7" i="63733"/>
  <c r="Y86" i="63733"/>
  <c r="AB87" i="63733" s="1"/>
  <c r="Y104" i="63733"/>
  <c r="AB105" i="63733" s="1"/>
  <c r="Y56" i="63733"/>
  <c r="AB57" i="63733" s="1"/>
  <c r="Y97" i="63733"/>
  <c r="AB14" i="63733" l="1"/>
  <c r="O31" i="63836" a="1"/>
  <c r="O31" i="63836" s="1"/>
  <c r="Y14" i="63733"/>
  <c r="AH56" i="63733"/>
  <c r="AH104" i="63733"/>
  <c r="AH97" i="63733"/>
  <c r="AC73" i="63733"/>
  <c r="AA88" i="63733"/>
  <c r="AC87" i="63733"/>
  <c r="AA74" i="63829"/>
  <c r="AF86" i="63733"/>
  <c r="AC14" i="63733"/>
  <c r="AF104" i="63733"/>
  <c r="AF105" i="63733" s="1"/>
  <c r="AF64" i="63733"/>
  <c r="AF73" i="63733" s="1"/>
  <c r="AF97" i="63733"/>
  <c r="AF100" i="63733"/>
  <c r="AF7" i="63733"/>
  <c r="Y88" i="63733"/>
  <c r="Y105" i="63733"/>
  <c r="AI64" i="63733"/>
  <c r="AI73" i="63733" s="1"/>
  <c r="AI70" i="63733" s="1"/>
  <c r="AI100" i="63733"/>
  <c r="AI104" i="63733"/>
  <c r="AI7" i="63733"/>
  <c r="AI97" i="63733"/>
  <c r="Y87" i="63733"/>
  <c r="Y73" i="63733"/>
  <c r="Y70" i="63733" s="1"/>
  <c r="Y61" i="63733"/>
  <c r="Y60" i="63733"/>
  <c r="Y57" i="63733"/>
  <c r="Z84" i="63733"/>
  <c r="Z90" i="63733"/>
  <c r="AF70" i="63733" l="1"/>
  <c r="AC72" i="63733"/>
  <c r="P31" i="63836" a="1"/>
  <c r="P31" i="63836" s="1"/>
  <c r="AD86" i="63733"/>
  <c r="AH7" i="63733"/>
  <c r="Q31" i="63836" a="1"/>
  <c r="Q31" i="63836" s="1"/>
  <c r="AH61" i="63733"/>
  <c r="AH60" i="63733"/>
  <c r="AH54" i="63733"/>
  <c r="AI105" i="63733"/>
  <c r="AF87" i="63733"/>
  <c r="AF14" i="63733"/>
  <c r="AI86" i="63733"/>
  <c r="AI14" i="63733"/>
  <c r="AO63" i="63733"/>
  <c r="Z92" i="63733"/>
  <c r="Z33" i="63733"/>
  <c r="AD87" i="63733" l="1"/>
  <c r="AE86" i="63733"/>
  <c r="AE87" i="63733" s="1"/>
  <c r="AI87" i="63733"/>
  <c r="AG86" i="63733"/>
  <c r="AH86" i="63733" s="1"/>
  <c r="Z43" i="63733"/>
  <c r="N39" i="63836" s="1" a="1"/>
  <c r="N39" i="63836" s="1"/>
  <c r="AO7" i="63733"/>
  <c r="AO97" i="63733"/>
  <c r="AO86" i="63733"/>
  <c r="AO104" i="63733"/>
  <c r="AR63" i="63733"/>
  <c r="AH87" i="63733" l="1"/>
  <c r="AG87" i="63733"/>
  <c r="AR86" i="63733"/>
  <c r="AR104" i="63733"/>
  <c r="AR105" i="63733" s="1"/>
  <c r="AR100" i="63733"/>
  <c r="AR7" i="63733"/>
  <c r="AR97" i="63733"/>
  <c r="AR64" i="63733"/>
  <c r="AR73" i="63733" s="1"/>
  <c r="AR70" i="63733" s="1"/>
  <c r="AR14" i="63733" l="1"/>
  <c r="AR87" i="63733"/>
  <c r="W90" i="63733" l="1"/>
  <c r="W92" i="63733" s="1"/>
  <c r="Z83" i="63733"/>
  <c r="W83" i="63733"/>
  <c r="W84" i="63733"/>
  <c r="W33" i="63733" l="1"/>
  <c r="V90" i="63733"/>
  <c r="W91" i="63733"/>
  <c r="Z91" i="63733"/>
  <c r="V92" i="63733" l="1"/>
  <c r="V33" i="63733"/>
  <c r="V91" i="63733"/>
  <c r="W43" i="63733"/>
  <c r="V43" i="63733" l="1"/>
  <c r="W34" i="63733"/>
  <c r="W173" i="63733"/>
  <c r="W161" i="63733"/>
  <c r="W167" i="63733"/>
  <c r="W162" i="63733" l="1"/>
  <c r="Z162" i="63733"/>
  <c r="W44" i="63733"/>
  <c r="V161" i="63733"/>
  <c r="W163" i="63733"/>
  <c r="V166" i="63733" l="1"/>
  <c r="V172" i="63733" s="1"/>
  <c r="V174" i="63733" s="1"/>
  <c r="V162" i="63733"/>
  <c r="X165" i="63733"/>
  <c r="V163" i="63733"/>
  <c r="Y161" i="63733"/>
  <c r="V167" i="63733" l="1"/>
  <c r="Y162" i="63733"/>
  <c r="Y165" i="63733"/>
  <c r="Y163" i="63733"/>
  <c r="Y166" i="63733"/>
  <c r="V173" i="63733"/>
  <c r="V34" i="63733"/>
  <c r="Y167" i="63733" l="1"/>
  <c r="Y172" i="63733"/>
  <c r="X34" i="63733"/>
  <c r="V44" i="63733"/>
  <c r="W227" i="63733"/>
  <c r="W215" i="63733"/>
  <c r="W220" i="63733"/>
  <c r="Y174" i="63733" l="1"/>
  <c r="W216" i="63733"/>
  <c r="Z216" i="63733"/>
  <c r="G45" i="63812"/>
  <c r="G46" i="63812" s="1"/>
  <c r="Z229" i="63733"/>
  <c r="W228" i="63733"/>
  <c r="V215" i="63733"/>
  <c r="W217" i="63733"/>
  <c r="Y173" i="63733"/>
  <c r="Y34" i="63733"/>
  <c r="X44" i="63733"/>
  <c r="W229" i="63733"/>
  <c r="W35" i="63733"/>
  <c r="V216" i="63733" l="1"/>
  <c r="Y216" i="63733"/>
  <c r="Y44" i="63733"/>
  <c r="V217" i="63733"/>
  <c r="V219" i="63733"/>
  <c r="V227" i="63733" s="1"/>
  <c r="W45" i="63733"/>
  <c r="V220" i="63733" l="1"/>
  <c r="Y229" i="63733"/>
  <c r="V229" i="63733"/>
  <c r="V35" i="63733"/>
  <c r="V228" i="63733"/>
  <c r="V45" i="63733" l="1"/>
  <c r="V340" i="63733"/>
  <c r="W74" i="63829"/>
  <c r="W350" i="63733"/>
  <c r="W370" i="63733" s="1"/>
  <c r="W384" i="63733"/>
  <c r="W333" i="63733"/>
  <c r="Z334" i="63733" s="1"/>
  <c r="W383" i="63733"/>
  <c r="V333" i="63733" l="1"/>
  <c r="V338" i="63733" s="1"/>
  <c r="W352" i="63733"/>
  <c r="W334" i="63733"/>
  <c r="K3" i="63823" s="1"/>
  <c r="W357" i="63733"/>
  <c r="W379" i="63733" s="1"/>
  <c r="W338" i="63733"/>
  <c r="V350" i="63733"/>
  <c r="W10" i="63733"/>
  <c r="W12" i="63733" s="1"/>
  <c r="W369" i="63733"/>
  <c r="W423" i="63733"/>
  <c r="V368" i="63733"/>
  <c r="W62" i="63829"/>
  <c r="W63" i="63829" s="1"/>
  <c r="W410" i="63733"/>
  <c r="W71" i="63829" l="1"/>
  <c r="V71" i="63829" s="1"/>
  <c r="W64" i="63829"/>
  <c r="Z64" i="63829"/>
  <c r="W17" i="63733"/>
  <c r="V352" i="63733"/>
  <c r="W355" i="63733"/>
  <c r="V334" i="63733"/>
  <c r="Z350" i="63733"/>
  <c r="V357" i="63733"/>
  <c r="V358" i="63733" s="1"/>
  <c r="W26" i="63733"/>
  <c r="V26" i="63733" s="1"/>
  <c r="V74" i="63829"/>
  <c r="V423" i="63733"/>
  <c r="V424" i="63733" s="1"/>
  <c r="V369" i="63733"/>
  <c r="V370" i="63733"/>
  <c r="W425" i="63733"/>
  <c r="V10" i="63733"/>
  <c r="W403" i="63733"/>
  <c r="V410" i="63733"/>
  <c r="W411" i="63733"/>
  <c r="W407" i="63733"/>
  <c r="W73" i="63829" l="1"/>
  <c r="Z352" i="63733"/>
  <c r="Z355" i="63733" s="1"/>
  <c r="Z366" i="63733"/>
  <c r="Z370" i="63733"/>
  <c r="Z374" i="63733"/>
  <c r="V17" i="63733"/>
  <c r="U6" i="63733"/>
  <c r="W18" i="63733"/>
  <c r="W27" i="63733"/>
  <c r="Y340" i="63733"/>
  <c r="Y350" i="63733" s="1"/>
  <c r="V407" i="63733"/>
  <c r="W409" i="63733"/>
  <c r="W408" i="63733"/>
  <c r="V12" i="63733"/>
  <c r="V403" i="63733"/>
  <c r="V27" i="63733"/>
  <c r="W426" i="63733"/>
  <c r="V425" i="63733"/>
  <c r="V426" i="63733" s="1"/>
  <c r="V29" i="1336"/>
  <c r="G32" i="63807"/>
  <c r="G37" i="63807" s="1"/>
  <c r="C6" i="63832"/>
  <c r="E6" i="63832" s="1"/>
  <c r="K20" i="63823"/>
  <c r="V412" i="63733"/>
  <c r="V411" i="63733"/>
  <c r="W6" i="1336"/>
  <c r="W215" i="1336" s="1"/>
  <c r="W39" i="63733"/>
  <c r="W47" i="63733"/>
  <c r="Y352" i="63733" l="1"/>
  <c r="Y353" i="63733" s="1"/>
  <c r="AB352" i="63733"/>
  <c r="AB355" i="63733" s="1"/>
  <c r="W257" i="1336"/>
  <c r="V257" i="1336" s="1"/>
  <c r="V259" i="1336" s="1"/>
  <c r="W45" i="1336"/>
  <c r="W75" i="63829"/>
  <c r="V18" i="63733"/>
  <c r="Z357" i="63733"/>
  <c r="Z26" i="63733" s="1"/>
  <c r="Z410" i="63733"/>
  <c r="Z10" i="63733"/>
  <c r="Y333" i="63733"/>
  <c r="AB334" i="63733" s="1"/>
  <c r="W10" i="1336"/>
  <c r="W72" i="1336"/>
  <c r="W209" i="1336"/>
  <c r="W201" i="1336"/>
  <c r="W67" i="1336"/>
  <c r="W208" i="1336"/>
  <c r="W200" i="1336"/>
  <c r="W65" i="1336"/>
  <c r="W210" i="1336"/>
  <c r="W207" i="1336"/>
  <c r="W64" i="1336"/>
  <c r="W204" i="1336"/>
  <c r="W198" i="1336"/>
  <c r="W62" i="1336"/>
  <c r="W202" i="1336"/>
  <c r="W69" i="1336"/>
  <c r="W99" i="1336"/>
  <c r="W100" i="1336" s="1"/>
  <c r="W26" i="1336"/>
  <c r="P23" i="63810"/>
  <c r="C5" i="63832"/>
  <c r="E5" i="63832" s="1"/>
  <c r="V25" i="1336"/>
  <c r="W27" i="1336"/>
  <c r="O3" i="63824"/>
  <c r="W140" i="1336"/>
  <c r="BH42" i="63802"/>
  <c r="V106" i="1336"/>
  <c r="BH43" i="63802"/>
  <c r="V16" i="1336"/>
  <c r="W33" i="1336"/>
  <c r="P16" i="63810"/>
  <c r="C3" i="63832"/>
  <c r="E3" i="63832" s="1"/>
  <c r="V18" i="1336"/>
  <c r="V6" i="1336"/>
  <c r="V20" i="1336"/>
  <c r="K2" i="63823"/>
  <c r="K21" i="63823" s="1"/>
  <c r="BH41" i="63802"/>
  <c r="BH69" i="63802"/>
  <c r="W7" i="1336"/>
  <c r="L3" i="63823"/>
  <c r="V408" i="63733"/>
  <c r="V409" i="63733"/>
  <c r="W23" i="1336" l="1"/>
  <c r="W259" i="1336"/>
  <c r="V45" i="1336"/>
  <c r="V215" i="1336"/>
  <c r="N34" i="63836" a="1"/>
  <c r="N34" i="63836" s="1"/>
  <c r="V75" i="63829"/>
  <c r="W255" i="1336"/>
  <c r="W219" i="1336" s="1"/>
  <c r="Y26" i="63733"/>
  <c r="Z360" i="63733"/>
  <c r="Z379" i="63733"/>
  <c r="Z17" i="63733"/>
  <c r="Y338" i="63733"/>
  <c r="Y334" i="63733"/>
  <c r="V7" i="1336"/>
  <c r="V65" i="1336"/>
  <c r="V19" i="1336"/>
  <c r="V67" i="1336"/>
  <c r="V21" i="1336"/>
  <c r="V64" i="1336"/>
  <c r="V17" i="1336"/>
  <c r="V69" i="1336"/>
  <c r="W61" i="1336"/>
  <c r="W22" i="1336"/>
  <c r="W68" i="1336" s="1"/>
  <c r="V99" i="1336"/>
  <c r="V100" i="1336"/>
  <c r="Z12" i="63733"/>
  <c r="Z403" i="63733"/>
  <c r="Y10" i="63733"/>
  <c r="W28" i="63733"/>
  <c r="W20" i="63733" s="1"/>
  <c r="W11" i="1336"/>
  <c r="Y410" i="63733"/>
  <c r="Z411" i="63733"/>
  <c r="Z423" i="63733"/>
  <c r="Z425" i="63733" s="1"/>
  <c r="Y368" i="63733"/>
  <c r="AB369" i="63733" s="1"/>
  <c r="Y357" i="63733"/>
  <c r="Z407" i="63733"/>
  <c r="W205" i="1336"/>
  <c r="C4" i="63832"/>
  <c r="W173" i="1336"/>
  <c r="V171" i="1336"/>
  <c r="V261" i="1336"/>
  <c r="V33" i="1336"/>
  <c r="V72" i="1336"/>
  <c r="W220" i="1336"/>
  <c r="W242" i="1336" s="1"/>
  <c r="K7" i="63823"/>
  <c r="K5" i="63823"/>
  <c r="K4" i="63823" s="1"/>
  <c r="K12" i="63823" s="1"/>
  <c r="K13" i="63823" s="1"/>
  <c r="K10" i="63823" s="1"/>
  <c r="W10" i="63829"/>
  <c r="W22" i="63829"/>
  <c r="V151" i="1336"/>
  <c r="V27" i="1336"/>
  <c r="V26" i="1336"/>
  <c r="V14" i="1336"/>
  <c r="Y17" i="63733" l="1"/>
  <c r="N36" i="63836" a="1"/>
  <c r="N36" i="63836" s="1"/>
  <c r="N35" i="63836" s="1"/>
  <c r="T226" i="1336"/>
  <c r="S226" i="1336" s="1"/>
  <c r="W231" i="1336"/>
  <c r="V219" i="1336"/>
  <c r="V262" i="1336" s="1"/>
  <c r="P19" i="63810"/>
  <c r="W229" i="1336"/>
  <c r="W243" i="1336"/>
  <c r="V243" i="1336" s="1"/>
  <c r="W230" i="1336"/>
  <c r="W75" i="63733"/>
  <c r="W76" i="63733" s="1"/>
  <c r="Z361" i="63733"/>
  <c r="Z18" i="63733"/>
  <c r="V62" i="1336"/>
  <c r="V15" i="1336"/>
  <c r="Y403" i="63733"/>
  <c r="Y12" i="63733"/>
  <c r="Y407" i="63733"/>
  <c r="Z409" i="63733"/>
  <c r="Z408" i="63733"/>
  <c r="Y370" i="63733"/>
  <c r="Y369" i="63733"/>
  <c r="Y423" i="63733"/>
  <c r="Y424" i="63733" s="1"/>
  <c r="Y74" i="63829"/>
  <c r="Y411" i="63733"/>
  <c r="Y412" i="63733"/>
  <c r="Y358" i="63733"/>
  <c r="Z426" i="63733"/>
  <c r="Y425" i="63733"/>
  <c r="Y426" i="63733" s="1"/>
  <c r="Z6" i="1336"/>
  <c r="K17" i="63823"/>
  <c r="K18" i="63823" s="1"/>
  <c r="W21" i="63733"/>
  <c r="V195" i="1336"/>
  <c r="X17" i="63829"/>
  <c r="Z17" i="63829"/>
  <c r="K14" i="63823"/>
  <c r="V220" i="1336"/>
  <c r="V242" i="1336" s="1"/>
  <c r="X5" i="63829"/>
  <c r="W14" i="63829"/>
  <c r="Z5" i="63829"/>
  <c r="U30" i="63733"/>
  <c r="V30" i="63733" s="1"/>
  <c r="W182" i="1336"/>
  <c r="W194" i="1336" s="1"/>
  <c r="V173" i="1336"/>
  <c r="W29" i="63733"/>
  <c r="C18" i="63832"/>
  <c r="D19" i="63832" s="1"/>
  <c r="E4" i="63832"/>
  <c r="V22" i="1336"/>
  <c r="V68" i="1336" s="1"/>
  <c r="Z215" i="1336" l="1"/>
  <c r="Z75" i="63829"/>
  <c r="V244" i="1336"/>
  <c r="F6" i="63836" a="1"/>
  <c r="F6" i="63836" s="1"/>
  <c r="Z72" i="1336"/>
  <c r="Z257" i="1336"/>
  <c r="W244" i="1336"/>
  <c r="Z241" i="1336" s="1"/>
  <c r="V231" i="1336"/>
  <c r="V274" i="1336" s="1"/>
  <c r="V229" i="1336"/>
  <c r="V271" i="1336" s="1"/>
  <c r="V275" i="1336" s="1"/>
  <c r="V230" i="1336"/>
  <c r="V273" i="1336" s="1"/>
  <c r="Z208" i="1336"/>
  <c r="Z200" i="1336"/>
  <c r="Z207" i="1336"/>
  <c r="Z67" i="1336"/>
  <c r="Z204" i="1336"/>
  <c r="Z198" i="1336"/>
  <c r="Z65" i="1336"/>
  <c r="Z210" i="1336"/>
  <c r="Z62" i="1336"/>
  <c r="Z64" i="1336"/>
  <c r="Z255" i="1336" s="1"/>
  <c r="Z202" i="1336"/>
  <c r="Z209" i="1336"/>
  <c r="Z201" i="1336"/>
  <c r="Z10" i="1336"/>
  <c r="Z27" i="1336"/>
  <c r="N54" i="63836" s="1" a="1"/>
  <c r="N54" i="63836" s="1"/>
  <c r="Y18" i="63733"/>
  <c r="K22" i="63823"/>
  <c r="K26" i="63823" s="1"/>
  <c r="K28" i="63823" s="1"/>
  <c r="Y409" i="63733"/>
  <c r="Y408" i="63733"/>
  <c r="Z7" i="1336"/>
  <c r="N59" i="63836" s="1" a="1"/>
  <c r="N59" i="63836" s="1"/>
  <c r="L2" i="63823"/>
  <c r="Y6" i="1336"/>
  <c r="F3" i="63832"/>
  <c r="Q3" i="63832" s="1"/>
  <c r="BI41" i="63802"/>
  <c r="V157" i="1336"/>
  <c r="W163" i="1336"/>
  <c r="V182" i="1336"/>
  <c r="V263" i="1336"/>
  <c r="V264" i="1336" s="1"/>
  <c r="V159" i="1336"/>
  <c r="V109" i="1336"/>
  <c r="G38" i="63807"/>
  <c r="Z22" i="1336" l="1"/>
  <c r="Z23" i="1336"/>
  <c r="F8" i="63836" a="1"/>
  <c r="F8" i="63836" s="1"/>
  <c r="X241" i="1336"/>
  <c r="X244" i="1336" s="1"/>
  <c r="Y241" i="1336" s="1"/>
  <c r="Y257" i="1336"/>
  <c r="Y259" i="1336" s="1"/>
  <c r="Z259" i="1336"/>
  <c r="Z28" i="63733"/>
  <c r="Z205" i="1336"/>
  <c r="Z219" i="1336"/>
  <c r="Z11" i="1336"/>
  <c r="N53" i="63836" s="1" a="1"/>
  <c r="N53" i="63836" s="1"/>
  <c r="K23" i="63823"/>
  <c r="Y18" i="1336"/>
  <c r="AB19" i="1336" s="1"/>
  <c r="Y16" i="1336"/>
  <c r="AB17" i="1336" s="1"/>
  <c r="Y20" i="1336"/>
  <c r="AB21" i="1336" s="1"/>
  <c r="V223" i="1336"/>
  <c r="F15" i="63832"/>
  <c r="H3" i="63832"/>
  <c r="Z22" i="63829"/>
  <c r="AA17" i="63829" s="1"/>
  <c r="L5" i="63823"/>
  <c r="L4" i="63823" s="1"/>
  <c r="L12" i="63823" s="1"/>
  <c r="L13" i="63823" s="1"/>
  <c r="L10" i="63823" s="1"/>
  <c r="L14" i="63823" s="1"/>
  <c r="L7" i="63823"/>
  <c r="Y171" i="1336"/>
  <c r="Y7" i="1336"/>
  <c r="Y72" i="1336"/>
  <c r="Y14" i="1336"/>
  <c r="Z220" i="1336"/>
  <c r="Z242" i="1336" s="1"/>
  <c r="Z243" i="1336" s="1"/>
  <c r="Y243" i="1336" s="1"/>
  <c r="Y151" i="1336"/>
  <c r="C13" i="63832"/>
  <c r="E13" i="63832" s="1"/>
  <c r="P3" i="63810"/>
  <c r="V111" i="1336"/>
  <c r="W145" i="1336"/>
  <c r="V3" i="63811"/>
  <c r="V266" i="1336"/>
  <c r="X20" i="63829"/>
  <c r="X69" i="63829" s="1"/>
  <c r="V163" i="1336"/>
  <c r="W78" i="63733"/>
  <c r="W110" i="63733"/>
  <c r="V75" i="63733"/>
  <c r="Y15" i="1336" l="1"/>
  <c r="AB15" i="1336"/>
  <c r="W226" i="1336"/>
  <c r="Z229" i="1336"/>
  <c r="Z231" i="1336"/>
  <c r="Z230" i="1336"/>
  <c r="Z244" i="1336"/>
  <c r="Y219" i="1336"/>
  <c r="Y19" i="1336"/>
  <c r="Y17" i="1336"/>
  <c r="Y21" i="1336"/>
  <c r="L17" i="63823"/>
  <c r="L18" i="63823" s="1"/>
  <c r="AC17" i="63829"/>
  <c r="Z159" i="1336"/>
  <c r="W223" i="1336"/>
  <c r="Z114" i="1336"/>
  <c r="F29" i="63836" s="1" a="1"/>
  <c r="F29" i="63836" s="1"/>
  <c r="Y220" i="1336"/>
  <c r="Y242" i="1336" s="1"/>
  <c r="Y244" i="1336" s="1"/>
  <c r="Z113" i="1336"/>
  <c r="P13" i="63810"/>
  <c r="V267" i="1336"/>
  <c r="V268" i="1336" s="1"/>
  <c r="V76" i="63733"/>
  <c r="V20" i="63733"/>
  <c r="X223" i="1336"/>
  <c r="V145" i="1336"/>
  <c r="V78" i="63733"/>
  <c r="V82" i="63733" s="1"/>
  <c r="W80" i="63733"/>
  <c r="W79" i="63733"/>
  <c r="F28" i="63836" l="1" a="1"/>
  <c r="F28" i="63836" s="1"/>
  <c r="F40" i="63836" s="1"/>
  <c r="Y230" i="1336"/>
  <c r="Y229" i="1336"/>
  <c r="Y231" i="1336"/>
  <c r="AC241" i="1336"/>
  <c r="AA241" i="1336"/>
  <c r="AA244" i="1336" s="1"/>
  <c r="AB241" i="1336" s="1"/>
  <c r="V226" i="1336"/>
  <c r="U226" i="1336"/>
  <c r="Y159" i="1336"/>
  <c r="F50" i="63836" a="1"/>
  <c r="F50" i="63836" s="1"/>
  <c r="AA69" i="63829"/>
  <c r="AC68" i="63829"/>
  <c r="Z142" i="1336"/>
  <c r="Z143" i="1336" s="1"/>
  <c r="Y114" i="1336"/>
  <c r="H44" i="63807"/>
  <c r="Z120" i="1336"/>
  <c r="Z118" i="1336"/>
  <c r="F31" i="63836" s="1" a="1"/>
  <c r="F31" i="63836" s="1"/>
  <c r="H43" i="63807"/>
  <c r="X49" i="63829"/>
  <c r="X50" i="63829" s="1"/>
  <c r="Y223" i="1336"/>
  <c r="X7" i="63829"/>
  <c r="X71" i="63829" s="1"/>
  <c r="X75" i="63829" s="1"/>
  <c r="Z13" i="63829"/>
  <c r="Z10" i="63829"/>
  <c r="AA5" i="63829" s="1"/>
  <c r="AA6" i="63829" s="1"/>
  <c r="V84" i="63733"/>
  <c r="V83" i="63733"/>
  <c r="V79" i="63733"/>
  <c r="V80" i="63733"/>
  <c r="V21" i="63733"/>
  <c r="V28" i="63733"/>
  <c r="AA223" i="1336" l="1"/>
  <c r="Z223" i="1336"/>
  <c r="X6" i="63829"/>
  <c r="X10" i="63829" s="1"/>
  <c r="X18" i="63829"/>
  <c r="X22" i="63829" s="1"/>
  <c r="X25" i="63829" s="1"/>
  <c r="X118" i="1336"/>
  <c r="Y113" i="1336"/>
  <c r="H47" i="63807"/>
  <c r="V10" i="1336"/>
  <c r="V29" i="63733"/>
  <c r="AC5" i="63829"/>
  <c r="Z14" i="63829"/>
  <c r="Y71" i="63829"/>
  <c r="Y75" i="63829" s="1"/>
  <c r="Z29" i="1336"/>
  <c r="Z30" i="1336" s="1"/>
  <c r="AC69" i="63829"/>
  <c r="V23" i="1336" l="1"/>
  <c r="V12" i="1336"/>
  <c r="F10" i="63836" a="1"/>
  <c r="F10" i="63836" s="1"/>
  <c r="AA49" i="63829"/>
  <c r="Z106" i="1336"/>
  <c r="Z69" i="1336"/>
  <c r="Z72" i="63829"/>
  <c r="Z73" i="63829" s="1"/>
  <c r="V61" i="1336"/>
  <c r="AA118" i="1336"/>
  <c r="AA120" i="1336"/>
  <c r="Y118" i="1336"/>
  <c r="Z163" i="1336"/>
  <c r="F54" i="63836" s="1" a="1"/>
  <c r="F54" i="63836" s="1"/>
  <c r="F53" i="63836" s="1"/>
  <c r="Y157" i="1336"/>
  <c r="X140" i="1336"/>
  <c r="Y29" i="1336"/>
  <c r="L20" i="63823"/>
  <c r="H32" i="63807"/>
  <c r="F6" i="63832"/>
  <c r="H6" i="63832" s="1"/>
  <c r="V11" i="1336"/>
  <c r="Z140" i="1336" l="1"/>
  <c r="F24" i="63836" a="1"/>
  <c r="F24" i="63836" s="1"/>
  <c r="AA50" i="63829"/>
  <c r="BI43" i="63802"/>
  <c r="Y163" i="1336"/>
  <c r="L21" i="63823"/>
  <c r="L22" i="63823"/>
  <c r="L23" i="63823" l="1"/>
  <c r="W372" i="63733" l="1"/>
  <c r="W366" i="63733"/>
  <c r="W360" i="63733"/>
  <c r="Z362" i="63733" s="1"/>
  <c r="W365" i="63733"/>
  <c r="W374" i="63733" l="1"/>
  <c r="Z373" i="63733"/>
  <c r="W373" i="63733"/>
  <c r="V372" i="63733"/>
  <c r="V374" i="63733" s="1"/>
  <c r="W36" i="63733"/>
  <c r="W362" i="63733"/>
  <c r="W361" i="63733"/>
  <c r="V360" i="63733"/>
  <c r="W37" i="63733" l="1"/>
  <c r="V36" i="63733"/>
  <c r="V373" i="63733"/>
  <c r="W46" i="63733"/>
  <c r="W404" i="63733"/>
  <c r="W405" i="63733" s="1"/>
  <c r="V361" i="63733"/>
  <c r="V362" i="63733"/>
  <c r="V364" i="63733"/>
  <c r="W438" i="63733" l="1"/>
  <c r="V404" i="63733"/>
  <c r="V405" i="63733" s="1"/>
  <c r="V46" i="63733"/>
  <c r="V365" i="63733"/>
  <c r="V366" i="63733"/>
  <c r="U58" i="63829"/>
  <c r="U49" i="63829" s="1"/>
  <c r="U18" i="63829" s="1"/>
  <c r="U22" i="63829" s="1"/>
  <c r="U25" i="63829" s="1"/>
  <c r="W49" i="63829"/>
  <c r="W50" i="63829" s="1"/>
  <c r="G44" i="63807"/>
  <c r="G47" i="63807" s="1"/>
  <c r="G49" i="63807" s="1"/>
  <c r="G10" i="63807" s="1"/>
  <c r="W118" i="1336"/>
  <c r="V118" i="1336" s="1"/>
  <c r="W129" i="1336" l="1"/>
  <c r="U50" i="63829"/>
  <c r="W142" i="1336"/>
  <c r="W120" i="1336"/>
  <c r="V114" i="1336"/>
  <c r="U6" i="63829"/>
  <c r="U10" i="63829" s="1"/>
  <c r="P4" i="63810"/>
  <c r="P5" i="63810" s="1"/>
  <c r="W150" i="1336" l="1"/>
  <c r="W17" i="63830" s="1"/>
  <c r="V129" i="1336"/>
  <c r="Y372" i="63733"/>
  <c r="Y36" i="63733" s="1"/>
  <c r="Z36" i="63733"/>
  <c r="V142" i="1336"/>
  <c r="W143" i="1336"/>
  <c r="P7" i="63810"/>
  <c r="P14" i="63810"/>
  <c r="P9" i="63810"/>
  <c r="P11" i="63810" s="1"/>
  <c r="X131" i="1336" l="1"/>
  <c r="W213" i="1336"/>
  <c r="W214" i="1336" s="1"/>
  <c r="V150" i="1336"/>
  <c r="V213" i="1336" s="1"/>
  <c r="V214" i="1336" s="1"/>
  <c r="W132" i="1336"/>
  <c r="Z131" i="1336" s="1"/>
  <c r="C14" i="63832"/>
  <c r="E14" i="63832" s="1"/>
  <c r="W154" i="1336"/>
  <c r="Y373" i="63733"/>
  <c r="Y374" i="63733"/>
  <c r="Z46" i="63733"/>
  <c r="N42" i="63836" s="1" a="1"/>
  <c r="N42" i="63836" s="1"/>
  <c r="Z404" i="63733"/>
  <c r="Z405" i="63733" s="1"/>
  <c r="Y46" i="63733"/>
  <c r="Y134" i="1336"/>
  <c r="V132" i="1336" l="1"/>
  <c r="BH46" i="63802"/>
  <c r="BH47" i="63802" s="1"/>
  <c r="W165" i="1336"/>
  <c r="W133" i="1336"/>
  <c r="V154" i="1336"/>
  <c r="P18" i="63810"/>
  <c r="P20" i="63810" s="1"/>
  <c r="W138" i="1336"/>
  <c r="W286" i="1336" l="1"/>
  <c r="W287" i="1336" s="1"/>
  <c r="W289" i="1336" s="1"/>
  <c r="V137" i="1336"/>
  <c r="Y131" i="1336"/>
  <c r="W190" i="1336"/>
  <c r="V165" i="1336"/>
  <c r="V286" i="1336" s="1"/>
  <c r="V287" i="1336" s="1"/>
  <c r="V289" i="1336" s="1"/>
  <c r="W193" i="1336"/>
  <c r="W211" i="1336"/>
  <c r="P24" i="63810"/>
  <c r="G53" i="63807" l="1"/>
  <c r="G55" i="63807" s="1"/>
  <c r="W94" i="1336"/>
  <c r="BH71" i="63802" l="1"/>
  <c r="V55" i="1336"/>
  <c r="V54" i="1336" s="1"/>
  <c r="AA15" i="1336" l="1"/>
  <c r="AA22" i="1336" s="1"/>
  <c r="AA68" i="1336" s="1"/>
  <c r="X90" i="63733" l="1"/>
  <c r="X33" i="63733" s="1"/>
  <c r="X92" i="63733" l="1"/>
  <c r="Y90" i="63733"/>
  <c r="Y33" i="63733" s="1"/>
  <c r="X91" i="63733"/>
  <c r="X404" i="63733"/>
  <c r="X405" i="63733" s="1"/>
  <c r="X43" i="63733"/>
  <c r="Y92" i="63733" l="1"/>
  <c r="Y91" i="63733"/>
  <c r="Y404" i="63733"/>
  <c r="Y405" i="63733" s="1"/>
  <c r="Y43" i="63733"/>
  <c r="X33" i="1336" l="1"/>
  <c r="X32" i="1336"/>
  <c r="X139" i="1336"/>
  <c r="X39" i="1336"/>
  <c r="X105" i="1336" l="1"/>
  <c r="X41" i="1336"/>
  <c r="X26" i="1336"/>
  <c r="X99" i="1336"/>
  <c r="X27" i="1336"/>
  <c r="X107" i="1336" l="1"/>
  <c r="X109" i="1336" s="1"/>
  <c r="X59" i="1336"/>
  <c r="X288" i="1336" s="1"/>
  <c r="X103" i="1336"/>
  <c r="X145" i="1336"/>
  <c r="X51" i="1336"/>
  <c r="X44" i="1336"/>
  <c r="Y59" i="1336" l="1"/>
  <c r="X80" i="1336"/>
  <c r="X81" i="1336" s="1"/>
  <c r="X83" i="1336"/>
  <c r="X78" i="1336"/>
  <c r="X84" i="1336" l="1"/>
  <c r="X93" i="1336" l="1"/>
  <c r="X187" i="1336" l="1"/>
  <c r="X189" i="1336" s="1"/>
  <c r="X129" i="1336" l="1"/>
  <c r="Z127" i="1336"/>
  <c r="F37" i="63836" s="1" a="1"/>
  <c r="F37" i="63836" s="1"/>
  <c r="F36" i="63836" s="1"/>
  <c r="Y125" i="1336"/>
  <c r="X150" i="1336" l="1"/>
  <c r="X213" i="1336" s="1"/>
  <c r="X214" i="1336" s="1"/>
  <c r="Y127" i="1336"/>
  <c r="X132" i="1336" l="1"/>
  <c r="X154" i="1336"/>
  <c r="X133" i="1336" l="1"/>
  <c r="X138" i="1336"/>
  <c r="X165" i="1336"/>
  <c r="X286" i="1336" s="1"/>
  <c r="X287" i="1336" s="1"/>
  <c r="X289" i="1336" s="1"/>
  <c r="X193" i="1336" l="1"/>
  <c r="X190" i="1336"/>
  <c r="X29" i="63733" l="1"/>
  <c r="X21" i="63733" l="1"/>
  <c r="X75" i="63733"/>
  <c r="X110" i="63733" s="1"/>
  <c r="X78" i="63733" l="1"/>
  <c r="X76" i="63733"/>
  <c r="X80" i="63733" l="1"/>
  <c r="X79" i="63733"/>
  <c r="Y360" i="63733" l="1"/>
  <c r="Y361" i="63733" s="1"/>
  <c r="AA362" i="63733" l="1"/>
  <c r="AD362" i="63733"/>
  <c r="Y362" i="63733"/>
  <c r="AD365" i="63733"/>
  <c r="Y364" i="63733"/>
  <c r="AA84" i="63733" l="1"/>
  <c r="AA83" i="63733"/>
  <c r="Y366" i="63733"/>
  <c r="Y365" i="63733"/>
  <c r="AA366" i="63733"/>
  <c r="AA365" i="63733"/>
  <c r="AA372" i="63733"/>
  <c r="AD373" i="63733" s="1"/>
  <c r="AA92" i="63733" l="1"/>
  <c r="AA33" i="63733"/>
  <c r="AA91" i="63733"/>
  <c r="AA374" i="63733"/>
  <c r="AA373" i="63733"/>
  <c r="AA36" i="63733"/>
  <c r="AA43" i="63733" l="1"/>
  <c r="AA46" i="63733"/>
  <c r="AA38" i="63733"/>
  <c r="AA404" i="63733"/>
  <c r="AA405" i="63733" s="1"/>
  <c r="AA47" i="63733" l="1"/>
  <c r="AA39" i="63733"/>
  <c r="AA32" i="1336" l="1"/>
  <c r="AA33" i="1336"/>
  <c r="Z81" i="63829" l="1"/>
  <c r="Y42" i="63811" l="1"/>
  <c r="Y44" i="63811"/>
  <c r="Y37" i="1336"/>
  <c r="BI44" i="63802"/>
  <c r="L25" i="63823"/>
  <c r="F8" i="63832"/>
  <c r="H8" i="63832" s="1"/>
  <c r="H29" i="63807"/>
  <c r="H36" i="63807" s="1"/>
  <c r="L26" i="63823" l="1"/>
  <c r="L28" i="63823" s="1"/>
  <c r="Z27" i="63733" l="1"/>
  <c r="F4" i="63832" l="1"/>
  <c r="H4" i="63832" s="1"/>
  <c r="Y27" i="63733"/>
  <c r="Y9" i="1336" l="1"/>
  <c r="Y152" i="1336" l="1"/>
  <c r="Y215" i="1336" s="1"/>
  <c r="Y170" i="1336"/>
  <c r="Y173" i="1336" l="1"/>
  <c r="Z182" i="1336"/>
  <c r="Y195" i="1336"/>
  <c r="Z194" i="1336" l="1"/>
  <c r="F67" i="63836" a="1"/>
  <c r="F67" i="63836" s="1"/>
  <c r="Y182" i="1336"/>
  <c r="Y25" i="1336" l="1"/>
  <c r="AB26" i="1336" s="1"/>
  <c r="F5" i="63832"/>
  <c r="H5" i="63832" s="1"/>
  <c r="BI69" i="63802"/>
  <c r="Z99" i="1336"/>
  <c r="Y99" i="1336" l="1"/>
  <c r="Z100" i="1336"/>
  <c r="Y100" i="1336" s="1"/>
  <c r="Z103" i="1336"/>
  <c r="Z145" i="1336"/>
  <c r="Y27" i="1336"/>
  <c r="Y26" i="1336"/>
  <c r="H35" i="63807"/>
  <c r="Y41" i="1336"/>
  <c r="BI45" i="63802"/>
  <c r="Z56" i="1336" l="1"/>
  <c r="Y92" i="1336"/>
  <c r="Y93" i="1336" l="1"/>
  <c r="Y56" i="1336"/>
  <c r="Y55" i="1336" l="1"/>
  <c r="BI71" i="63802"/>
  <c r="F20" i="63836" l="1" a="1"/>
  <c r="F20" i="63836" s="1"/>
  <c r="H53" i="63807"/>
  <c r="H55" i="63807" s="1"/>
  <c r="Z94" i="1336"/>
  <c r="Y111" i="1336" l="1"/>
  <c r="Z129" i="1336"/>
  <c r="F13" i="63832"/>
  <c r="H13" i="63832" s="1"/>
  <c r="Y145" i="1336" l="1"/>
  <c r="Y129" i="1336"/>
  <c r="F38" i="63836" a="1"/>
  <c r="F38" i="63836" s="1"/>
  <c r="Z150" i="1336"/>
  <c r="Z213" i="1336" s="1"/>
  <c r="Y142" i="1336"/>
  <c r="N66" i="63836" l="1" a="1"/>
  <c r="N66" i="63836" s="1"/>
  <c r="Z214" i="1336"/>
  <c r="F43" i="63836" a="1"/>
  <c r="F43" i="63836" s="1"/>
  <c r="Y150" i="1336"/>
  <c r="Z17" i="63830"/>
  <c r="Z154" i="1336"/>
  <c r="F47" i="63836" s="1" a="1"/>
  <c r="F47" i="63836" s="1"/>
  <c r="Z132" i="1336"/>
  <c r="F14" i="63832"/>
  <c r="H14" i="63832" s="1"/>
  <c r="Y213" i="1336" l="1"/>
  <c r="Y214" i="1336" s="1"/>
  <c r="C18" i="63807"/>
  <c r="F46" i="63836"/>
  <c r="Y154" i="1336"/>
  <c r="Z165" i="1336"/>
  <c r="Z286" i="1336" s="1"/>
  <c r="Z287" i="1336" s="1"/>
  <c r="AC131" i="1336"/>
  <c r="Y132" i="1336"/>
  <c r="AB131" i="1336" s="1"/>
  <c r="BI46" i="63802"/>
  <c r="AA131" i="1336"/>
  <c r="Z133" i="1336"/>
  <c r="Z193" i="1336" l="1"/>
  <c r="F55" i="63836" a="1"/>
  <c r="F55" i="63836" s="1"/>
  <c r="Y137" i="1336"/>
  <c r="Z211" i="1336"/>
  <c r="Y165" i="1336"/>
  <c r="Y286" i="1336" l="1"/>
  <c r="Y287" i="1336" s="1"/>
  <c r="BI42" i="63802"/>
  <c r="BI47" i="63802" s="1"/>
  <c r="F7" i="63832"/>
  <c r="H7" i="63832" s="1"/>
  <c r="Y31" i="1336"/>
  <c r="AB32" i="1336" s="1"/>
  <c r="Z32" i="1336"/>
  <c r="Z68" i="1336"/>
  <c r="F14" i="63836" a="1"/>
  <c r="F14" i="63836" s="1"/>
  <c r="Z33" i="1336"/>
  <c r="N55" i="63836" s="1" a="1"/>
  <c r="N55" i="63836" s="1"/>
  <c r="Z61" i="1336"/>
  <c r="Z38" i="63733"/>
  <c r="Y288" i="1336" l="1"/>
  <c r="Y289" i="1336" s="1"/>
  <c r="Z37" i="63733"/>
  <c r="Z438" i="63733" s="1"/>
  <c r="Z40" i="63733"/>
  <c r="N61" i="63836" a="1"/>
  <c r="N61" i="63836" s="1"/>
  <c r="Y32" i="1336"/>
  <c r="Y33" i="1336"/>
  <c r="Y38" i="63733"/>
  <c r="Z105" i="1336"/>
  <c r="H27" i="63807"/>
  <c r="H37" i="63807" s="1"/>
  <c r="F9" i="63832"/>
  <c r="H9" i="63832" s="1"/>
  <c r="Z47" i="63733"/>
  <c r="N43" i="63836" s="1" a="1"/>
  <c r="N43" i="63836" s="1"/>
  <c r="Z59" i="1336"/>
  <c r="Z288" i="1336" s="1"/>
  <c r="Z289" i="1336" s="1"/>
  <c r="Q7" i="63832"/>
  <c r="Z39" i="63733"/>
  <c r="Z43" i="1336"/>
  <c r="Z54" i="1336" s="1"/>
  <c r="Y39" i="1336"/>
  <c r="N68" i="63836" l="1" a="1"/>
  <c r="N68" i="63836" s="1"/>
  <c r="Z45" i="1336"/>
  <c r="N56" i="63836" s="1" a="1"/>
  <c r="N56" i="63836" s="1"/>
  <c r="F17" i="63836" a="1"/>
  <c r="F17" i="63836" s="1"/>
  <c r="Z77" i="1336"/>
  <c r="Z109" i="1336"/>
  <c r="F25" i="63836" s="1" a="1"/>
  <c r="F25" i="63836" s="1"/>
  <c r="F23" i="63836" a="1"/>
  <c r="F23" i="63836" s="1"/>
  <c r="Z44" i="1336"/>
  <c r="N62" i="63836" s="1" a="1"/>
  <c r="N62" i="63836" s="1"/>
  <c r="Y43" i="1336"/>
  <c r="Z51" i="1336"/>
  <c r="F10" i="63832"/>
  <c r="H10" i="63832" s="1"/>
  <c r="H38" i="63807" l="1"/>
  <c r="H49" i="63807" s="1"/>
  <c r="H10" i="63807" s="1"/>
  <c r="Z80" i="1336"/>
  <c r="Z81" i="1336" s="1"/>
  <c r="Y45" i="1336"/>
  <c r="Y109" i="1336"/>
  <c r="F11" i="63832"/>
  <c r="I41" i="63808"/>
  <c r="Z78" i="1336"/>
  <c r="Z187" i="1336"/>
  <c r="Y51" i="1336"/>
  <c r="Z83" i="1336"/>
  <c r="Y77" i="1336"/>
  <c r="Y54" i="1336"/>
  <c r="Y44" i="1336"/>
  <c r="Z84" i="1336" l="1"/>
  <c r="N63" i="63836" s="1" a="1"/>
  <c r="N63" i="63836" s="1"/>
  <c r="F19" i="63836" a="1"/>
  <c r="F19" i="63836" s="1"/>
  <c r="N19" i="63836" s="1"/>
  <c r="Y80" i="1336"/>
  <c r="Y81" i="1336" s="1"/>
  <c r="Y83" i="1336"/>
  <c r="Y78" i="1336"/>
  <c r="Q11" i="63832"/>
  <c r="H11" i="63832"/>
  <c r="Y187" i="1336"/>
  <c r="Z189" i="1336"/>
  <c r="F68" i="63836" s="1" a="1"/>
  <c r="F68" i="63836" s="1"/>
  <c r="Y84" i="1336" l="1"/>
  <c r="N67" i="63836" a="1"/>
  <c r="N67" i="63836" s="1"/>
  <c r="Z190" i="1336"/>
  <c r="BI48" i="63802"/>
  <c r="Y189" i="1336"/>
  <c r="AA127" i="1336" l="1"/>
  <c r="Y135" i="1336" l="1"/>
  <c r="Z136" i="1336"/>
  <c r="Y136" i="1336" s="1"/>
  <c r="Z138" i="1336"/>
  <c r="AC136" i="1336" l="1"/>
  <c r="AA138" i="1336"/>
  <c r="AA136" i="1336" s="1"/>
  <c r="AB136" i="1336" l="1"/>
  <c r="Z29" i="63733" l="1"/>
  <c r="Z20" i="63733"/>
  <c r="Z21" i="63733" l="1"/>
  <c r="Z75" i="63733"/>
  <c r="Z76" i="63733" s="1"/>
  <c r="Z110" i="63733" l="1"/>
  <c r="Z78" i="63733"/>
  <c r="Y75" i="63733"/>
  <c r="Y76" i="63733" l="1"/>
  <c r="Y20" i="63733"/>
  <c r="Z80" i="63733"/>
  <c r="Z79" i="63733"/>
  <c r="Y78" i="63733"/>
  <c r="Y82" i="63733" s="1"/>
  <c r="Y84" i="63733" l="1"/>
  <c r="Y83" i="63733"/>
  <c r="Y80" i="63733"/>
  <c r="Y79" i="63733"/>
  <c r="Y21" i="63733"/>
  <c r="Y28" i="63733"/>
  <c r="Y10" i="1336" l="1"/>
  <c r="Y29" i="63733"/>
  <c r="Y23" i="1336" l="1"/>
  <c r="Y35" i="1336"/>
  <c r="AC90" i="63733"/>
  <c r="AB90" i="63733" s="1"/>
  <c r="AC83" i="63733"/>
  <c r="AC84" i="63733"/>
  <c r="Y11" i="1336"/>
  <c r="Y22" i="1336"/>
  <c r="V47" i="63733"/>
  <c r="V39" i="63733"/>
  <c r="V37" i="63733"/>
  <c r="AB91" i="63733" l="1"/>
  <c r="AB92" i="63733"/>
  <c r="AB33" i="63733"/>
  <c r="AB43" i="63733" s="1"/>
  <c r="V438" i="63733"/>
  <c r="AC92" i="63733"/>
  <c r="AC33" i="63733"/>
  <c r="AC91" i="63733"/>
  <c r="X39" i="63733"/>
  <c r="X47" i="63733"/>
  <c r="X37" i="63733"/>
  <c r="AC43" i="63733" l="1"/>
  <c r="O39" i="63836" l="1" a="1"/>
  <c r="O39" i="63836" s="1"/>
  <c r="Y39" i="63733" l="1"/>
  <c r="Y37" i="63733"/>
  <c r="Y47" i="63733"/>
  <c r="AC61" i="63829" l="1"/>
  <c r="AC81" i="63829"/>
  <c r="AA45" i="63829"/>
  <c r="AA46" i="63829" s="1"/>
  <c r="AA78" i="63829"/>
  <c r="AA31" i="63829"/>
  <c r="AA81" i="63829" l="1"/>
  <c r="AA37" i="1336" s="1"/>
  <c r="AA139" i="1336" s="1"/>
  <c r="AB78" i="63829"/>
  <c r="AB81" i="63829" s="1"/>
  <c r="AA61" i="63829"/>
  <c r="AA62" i="63829" s="1"/>
  <c r="AA34" i="63829"/>
  <c r="I29" i="63807"/>
  <c r="I36" i="63807" s="1"/>
  <c r="BJ44" i="63802"/>
  <c r="G13" i="63836" a="1"/>
  <c r="G13" i="63836" s="1"/>
  <c r="Z44" i="63811"/>
  <c r="Z42" i="63811"/>
  <c r="O18" i="63824" s="1"/>
  <c r="I8" i="63832"/>
  <c r="AA71" i="63829"/>
  <c r="AA75" i="63829" s="1"/>
  <c r="AC33" i="63829"/>
  <c r="AA29" i="63829"/>
  <c r="AC40" i="63829"/>
  <c r="AC43" i="63829" s="1"/>
  <c r="AA214" i="1336" l="1"/>
  <c r="AA39" i="1336"/>
  <c r="AA105" i="1336" s="1"/>
  <c r="AB37" i="1336"/>
  <c r="AF42" i="63829"/>
  <c r="AF39" i="63829" s="1"/>
  <c r="AD28" i="63829"/>
  <c r="AC160" i="1336"/>
  <c r="G52" i="63836" s="1" a="1"/>
  <c r="G52" i="63836" s="1"/>
  <c r="AF28" i="63829"/>
  <c r="AF31" i="63829" s="1"/>
  <c r="AD36" i="63829"/>
  <c r="AF36" i="63829"/>
  <c r="AA107" i="1336"/>
  <c r="AA106" i="1336"/>
  <c r="AA140" i="1336" s="1"/>
  <c r="AA33" i="63829"/>
  <c r="AF61" i="63829" l="1"/>
  <c r="AF29" i="63829"/>
  <c r="AF37" i="63829" s="1"/>
  <c r="AA43" i="1336"/>
  <c r="AA54" i="1336" s="1"/>
  <c r="AA59" i="1336"/>
  <c r="AC177" i="1336"/>
  <c r="G57" i="63836" a="1"/>
  <c r="G57" i="63836" s="1"/>
  <c r="AA109" i="1336"/>
  <c r="AA180" i="1336"/>
  <c r="AA26" i="1336"/>
  <c r="AA27" i="1336"/>
  <c r="AA99" i="1336"/>
  <c r="G63" i="63836" l="1" a="1"/>
  <c r="G63" i="63836" s="1"/>
  <c r="AB177" i="1336"/>
  <c r="AA288" i="1336"/>
  <c r="AA45" i="1336"/>
  <c r="AC250" i="1336"/>
  <c r="AC180" i="1336"/>
  <c r="AA51" i="1336"/>
  <c r="AA77" i="1336"/>
  <c r="AA44" i="1336"/>
  <c r="AD31" i="63829"/>
  <c r="AD61" i="63829" s="1"/>
  <c r="AD39" i="63829"/>
  <c r="AD124" i="1336" s="1"/>
  <c r="AD127" i="1336" s="1"/>
  <c r="AF124" i="1336"/>
  <c r="AA129" i="1336"/>
  <c r="AA132" i="1336" s="1"/>
  <c r="AA145" i="1336"/>
  <c r="AA142" i="1336"/>
  <c r="AA143" i="1336" s="1"/>
  <c r="AA173" i="1336"/>
  <c r="G66" i="63836" l="1" a="1"/>
  <c r="G66" i="63836" s="1"/>
  <c r="G65" i="63836" s="1"/>
  <c r="AB180" i="1336"/>
  <c r="AC249" i="1336"/>
  <c r="AB250" i="1336"/>
  <c r="AD248" i="1336"/>
  <c r="AC222" i="1336"/>
  <c r="AD221" i="1336" s="1"/>
  <c r="AD247" i="1336"/>
  <c r="AF247" i="1336"/>
  <c r="H35" i="63836" a="1"/>
  <c r="H35" i="63836" s="1"/>
  <c r="AF248" i="1336"/>
  <c r="AA182" i="1336"/>
  <c r="AA194" i="1336" s="1"/>
  <c r="AA83" i="1336"/>
  <c r="AA84" i="1336" s="1"/>
  <c r="AA189" i="1336"/>
  <c r="AA80" i="1336"/>
  <c r="AA81" i="1336" s="1"/>
  <c r="AA133" i="1336"/>
  <c r="AA78" i="1336"/>
  <c r="AA222" i="1336"/>
  <c r="AA154" i="1336"/>
  <c r="AD16" i="63830"/>
  <c r="AD80" i="63829" s="1"/>
  <c r="AE124" i="1336"/>
  <c r="J33" i="63807"/>
  <c r="AD29" i="63829"/>
  <c r="AF40" i="63829"/>
  <c r="AI42" i="63829" s="1"/>
  <c r="AF33" i="63829"/>
  <c r="AG28" i="63829" s="1"/>
  <c r="AB222" i="1336" l="1"/>
  <c r="AB249" i="1336"/>
  <c r="AE248" i="1336"/>
  <c r="AF221" i="1336"/>
  <c r="AE221" i="1336" s="1"/>
  <c r="AG36" i="63829"/>
  <c r="AF160" i="1336"/>
  <c r="H52" i="63836" s="1" a="1"/>
  <c r="H52" i="63836" s="1"/>
  <c r="AI28" i="63829"/>
  <c r="AI31" i="63829" s="1"/>
  <c r="AI36" i="63829"/>
  <c r="AF169" i="1336"/>
  <c r="AD37" i="63829"/>
  <c r="AD40" i="63829" s="1"/>
  <c r="AD33" i="63829"/>
  <c r="AD160" i="1336" s="1"/>
  <c r="AF177" i="1336" l="1"/>
  <c r="H63" i="63836" s="1" a="1"/>
  <c r="H63" i="63836" s="1"/>
  <c r="H57" i="63836" a="1"/>
  <c r="H57" i="63836" s="1"/>
  <c r="AI39" i="63829"/>
  <c r="AG39" i="63829" s="1"/>
  <c r="AG124" i="1336" s="1"/>
  <c r="AG248" i="1336" s="1"/>
  <c r="AG42" i="63829"/>
  <c r="AD169" i="1336"/>
  <c r="AD177" i="1336" s="1"/>
  <c r="AD42" i="63829"/>
  <c r="AF78" i="63829"/>
  <c r="AE169" i="1336"/>
  <c r="AI29" i="63829" l="1"/>
  <c r="AG29" i="63829" s="1"/>
  <c r="AG31" i="63829"/>
  <c r="AF180" i="1336"/>
  <c r="H66" i="63836" s="1" a="1"/>
  <c r="H66" i="63836" s="1"/>
  <c r="H65" i="63836" s="1"/>
  <c r="AE177" i="1336"/>
  <c r="AG78" i="63829"/>
  <c r="AG45" i="63829"/>
  <c r="AI124" i="1336"/>
  <c r="AD45" i="63829"/>
  <c r="AD78" i="63829"/>
  <c r="AD81" i="63829" s="1"/>
  <c r="AD37" i="1336" s="1"/>
  <c r="AI61" i="63829"/>
  <c r="AD180" i="1336"/>
  <c r="AG61" i="63829" l="1"/>
  <c r="AE180" i="1336"/>
  <c r="I35" i="63836" a="1"/>
  <c r="I35" i="63836" s="1"/>
  <c r="AI248" i="1336"/>
  <c r="AD250" i="1336"/>
  <c r="AH124" i="1336"/>
  <c r="AG37" i="63829"/>
  <c r="AG40" i="63829" s="1"/>
  <c r="AG169" i="1336" s="1"/>
  <c r="AG33" i="63829"/>
  <c r="AG160" i="1336" s="1"/>
  <c r="K33" i="63807"/>
  <c r="AI37" i="63829"/>
  <c r="AI40" i="63829" s="1"/>
  <c r="AL42" i="63829" s="1"/>
  <c r="AL39" i="63829" s="1"/>
  <c r="AI33" i="63829"/>
  <c r="AD249" i="1336" l="1"/>
  <c r="AE247" i="1336"/>
  <c r="AH248" i="1336"/>
  <c r="AG177" i="1336"/>
  <c r="AG250" i="1336" s="1"/>
  <c r="AD222" i="1336"/>
  <c r="AI160" i="1336"/>
  <c r="I52" i="63836" s="1" a="1"/>
  <c r="I52" i="63836" s="1"/>
  <c r="AL28" i="63829"/>
  <c r="AL36" i="63829"/>
  <c r="AI169" i="1336"/>
  <c r="I57" i="63836" s="1" a="1"/>
  <c r="I57" i="63836" s="1"/>
  <c r="AI78" i="63829"/>
  <c r="D10" i="63808" l="1"/>
  <c r="AH247" i="1336"/>
  <c r="AI177" i="1336"/>
  <c r="AH169" i="1336"/>
  <c r="AG180" i="1336"/>
  <c r="AL31" i="63829"/>
  <c r="AL29" i="63829" s="1"/>
  <c r="AL61" i="63829" l="1"/>
  <c r="B9" i="63842"/>
  <c r="D9" i="63842" s="1"/>
  <c r="I10" i="63808"/>
  <c r="AH177" i="1336"/>
  <c r="I63" i="63836" a="1"/>
  <c r="I63" i="63836" s="1"/>
  <c r="AI180" i="1336"/>
  <c r="AG222" i="1336"/>
  <c r="AL124" i="1336"/>
  <c r="AL248" i="1336" l="1"/>
  <c r="AH180" i="1336"/>
  <c r="I66" i="63836" a="1"/>
  <c r="I66" i="63836" s="1"/>
  <c r="I65" i="63836" s="1"/>
  <c r="AL37" i="63829"/>
  <c r="AL40" i="63829" s="1"/>
  <c r="AO42" i="63829" s="1"/>
  <c r="AL33" i="63829"/>
  <c r="L33" i="63807"/>
  <c r="AO39" i="63829" l="1"/>
  <c r="AO28" i="63829"/>
  <c r="AL160" i="1336"/>
  <c r="AL169" i="1336"/>
  <c r="AO36" i="63829"/>
  <c r="AL78" i="63829"/>
  <c r="AL177" i="1336" l="1"/>
  <c r="AO31" i="63829"/>
  <c r="AO29" i="63829" l="1"/>
  <c r="AO37" i="63829" s="1"/>
  <c r="AL180" i="1336"/>
  <c r="AO61" i="63829"/>
  <c r="AO124" i="1336"/>
  <c r="AO248" i="1336" s="1"/>
  <c r="M33" i="63807" l="1"/>
  <c r="AO40" i="63829"/>
  <c r="AR42" i="63829" s="1"/>
  <c r="AO33" i="63829"/>
  <c r="AR39" i="63829" l="1"/>
  <c r="AR28" i="63829"/>
  <c r="AR31" i="63829" s="1"/>
  <c r="AR29" i="63829" s="1"/>
  <c r="AO160" i="1336"/>
  <c r="AO169" i="1336"/>
  <c r="AR36" i="63829"/>
  <c r="AO78" i="63829"/>
  <c r="AR61" i="63829" l="1"/>
  <c r="AO177" i="1336"/>
  <c r="AO180" i="1336" s="1"/>
  <c r="AR124" i="1336" l="1"/>
  <c r="J35" i="63836" l="1" a="1"/>
  <c r="J35" i="63836" s="1"/>
  <c r="AR248" i="1336"/>
  <c r="AR37" i="63829"/>
  <c r="AR40" i="63829" s="1"/>
  <c r="AU42" i="63829" s="1"/>
  <c r="AU39" i="63829" s="1"/>
  <c r="AR33" i="63829"/>
  <c r="N33" i="63807"/>
  <c r="AR160" i="1336" l="1"/>
  <c r="J52" i="63836" s="1" a="1"/>
  <c r="J52" i="63836" s="1"/>
  <c r="AU28" i="63829"/>
  <c r="AU36" i="63829"/>
  <c r="AR169" i="1336"/>
  <c r="AR78" i="63829"/>
  <c r="AR177" i="1336" l="1"/>
  <c r="J57" i="63836" a="1"/>
  <c r="J57" i="63836" s="1"/>
  <c r="AU31" i="63829"/>
  <c r="AU29" i="63829" s="1"/>
  <c r="AR180" i="1336" l="1"/>
  <c r="J66" i="63836" s="1" a="1"/>
  <c r="J66" i="63836" s="1"/>
  <c r="J63" i="63836" a="1"/>
  <c r="J63" i="63836" s="1"/>
  <c r="AU61" i="63829"/>
  <c r="AU124" i="1336"/>
  <c r="AU248" i="1336" s="1"/>
  <c r="J65" i="63836" l="1"/>
  <c r="O33" i="63807"/>
  <c r="AU37" i="63829"/>
  <c r="AU40" i="63829" s="1"/>
  <c r="AX42" i="63829" s="1"/>
  <c r="AX39" i="63829" s="1"/>
  <c r="AU33" i="63829"/>
  <c r="AU169" i="1336" l="1"/>
  <c r="AX36" i="63829"/>
  <c r="AU78" i="63829"/>
  <c r="AX28" i="63829"/>
  <c r="AU160" i="1336"/>
  <c r="AU177" i="1336" l="1"/>
  <c r="AU180" i="1336" s="1"/>
  <c r="AX31" i="63829"/>
  <c r="AX29" i="63829" s="1"/>
  <c r="AX61" i="63829" l="1"/>
  <c r="AX124" i="1336"/>
  <c r="AX248" i="1336" s="1"/>
  <c r="P33" i="63807" l="1"/>
  <c r="AX37" i="63829"/>
  <c r="AX40" i="63829" s="1"/>
  <c r="BA42" i="63829" s="1"/>
  <c r="BA39" i="63829" s="1"/>
  <c r="AX33" i="63829"/>
  <c r="BA28" i="63829" l="1"/>
  <c r="AX160" i="1336"/>
  <c r="AX169" i="1336"/>
  <c r="AX177" i="1336" s="1"/>
  <c r="AX180" i="1336" s="1"/>
  <c r="BA36" i="63829"/>
  <c r="AX78" i="63829"/>
  <c r="BA31" i="63829" l="1"/>
  <c r="BA29" i="63829" s="1"/>
  <c r="BA61" i="63829" l="1"/>
  <c r="BA124" i="1336"/>
  <c r="BA248" i="1336" s="1"/>
  <c r="BA37" i="63829" l="1"/>
  <c r="BA40" i="63829" s="1"/>
  <c r="BD42" i="63829" s="1"/>
  <c r="BD39" i="63829" s="1"/>
  <c r="BA33" i="63829"/>
  <c r="Q33" i="63807"/>
  <c r="BD28" i="63829" l="1"/>
  <c r="BA160" i="1336"/>
  <c r="BA169" i="1336"/>
  <c r="BA177" i="1336" s="1"/>
  <c r="BA180" i="1336" s="1"/>
  <c r="BD36" i="63829"/>
  <c r="BA78" i="63829"/>
  <c r="BD31" i="63829" l="1"/>
  <c r="BD29" i="63829" s="1"/>
  <c r="BD61" i="63829" l="1"/>
  <c r="BD124" i="1336"/>
  <c r="BD248" i="1336" s="1"/>
  <c r="R33" i="63807" l="1"/>
  <c r="BD37" i="63829"/>
  <c r="BD40" i="63829" s="1"/>
  <c r="BG42" i="63829" s="1"/>
  <c r="BG39" i="63829" s="1"/>
  <c r="BD33" i="63829"/>
  <c r="BG28" i="63829" l="1"/>
  <c r="BD160" i="1336"/>
  <c r="BG36" i="63829"/>
  <c r="BD169" i="1336"/>
  <c r="BD177" i="1336" s="1"/>
  <c r="BD180" i="1336" s="1"/>
  <c r="BD78" i="63829"/>
  <c r="BG124" i="1336" l="1"/>
  <c r="BG248" i="1336" s="1"/>
  <c r="BG31" i="63829"/>
  <c r="BG29" i="63829" s="1"/>
  <c r="S33" i="63807" l="1"/>
  <c r="BG61" i="63829"/>
  <c r="BG37" i="63829" l="1"/>
  <c r="BG40" i="63829" s="1"/>
  <c r="BG33" i="63829"/>
  <c r="BG160" i="1336" l="1"/>
  <c r="BJ28" i="63829"/>
  <c r="BJ36" i="63829"/>
  <c r="BJ42" i="63829"/>
  <c r="BG169" i="1336"/>
  <c r="BG78" i="63829"/>
  <c r="BJ31" i="63829" l="1"/>
  <c r="BJ29" i="63829" s="1"/>
  <c r="BJ78" i="63829"/>
  <c r="BJ39" i="63829"/>
  <c r="BJ124" i="1336" s="1"/>
  <c r="BG177" i="1336"/>
  <c r="BG180" i="1336" s="1"/>
  <c r="T33" i="63807" l="1"/>
  <c r="BJ248" i="1336"/>
  <c r="BJ61" i="63829"/>
  <c r="BJ37" i="63829" l="1"/>
  <c r="BJ40" i="63829" s="1"/>
  <c r="BJ33" i="63829"/>
  <c r="BJ160" i="1336" s="1"/>
  <c r="AF162" i="1336"/>
  <c r="BJ169" i="1336" l="1"/>
  <c r="AI162" i="1336"/>
  <c r="AH162" i="1336" s="1"/>
  <c r="AE162" i="1336"/>
  <c r="BJ177" i="1336" l="1"/>
  <c r="BJ180" i="1336" s="1"/>
  <c r="AL162" i="1336"/>
  <c r="G20" i="63836" l="1" a="1"/>
  <c r="G20" i="63836" s="1"/>
  <c r="AO162" i="1336"/>
  <c r="AR162" i="1336" l="1"/>
  <c r="I53" i="63807"/>
  <c r="I55" i="63807" s="1"/>
  <c r="AC94" i="1336"/>
  <c r="G34" i="63836" l="1" a="1"/>
  <c r="G34" i="63836" s="1"/>
  <c r="AU162" i="1336"/>
  <c r="AC127" i="1336" l="1"/>
  <c r="AB127" i="1336" s="1"/>
  <c r="AX162" i="1336"/>
  <c r="AA93" i="1336"/>
  <c r="G37" i="63836" l="1" a="1"/>
  <c r="G37" i="63836" s="1"/>
  <c r="G36" i="63836" s="1"/>
  <c r="BA162" i="1336"/>
  <c r="BD162" i="1336" l="1"/>
  <c r="BG162" i="1336" l="1"/>
  <c r="BJ162" i="1336" s="1"/>
  <c r="AD54" i="63733" l="1"/>
  <c r="AD63" i="63733" l="1"/>
  <c r="AG64" i="63733" l="1"/>
  <c r="AG73" i="63733" s="1"/>
  <c r="AG70" i="63733" s="1"/>
  <c r="AD88" i="63733"/>
  <c r="AG88" i="63733" s="1"/>
  <c r="AJ88" i="63733" s="1"/>
  <c r="AM88" i="63733" s="1"/>
  <c r="AP88" i="63733" s="1"/>
  <c r="AS88" i="63733" s="1"/>
  <c r="AV88" i="63733" s="1"/>
  <c r="AY88" i="63733" s="1"/>
  <c r="BB88" i="63733" s="1"/>
  <c r="BE88" i="63733" s="1"/>
  <c r="BH88" i="63733" s="1"/>
  <c r="AD7" i="63733"/>
  <c r="AG14" i="63733" s="1"/>
  <c r="AD104" i="63733"/>
  <c r="AE63" i="63733"/>
  <c r="AD97" i="63733"/>
  <c r="AD64" i="63733"/>
  <c r="AE56" i="63733" l="1"/>
  <c r="AH57" i="63733" s="1"/>
  <c r="AH64" i="63733"/>
  <c r="AH73" i="63733" s="1"/>
  <c r="AH70" i="63733" s="1"/>
  <c r="AD105" i="63733"/>
  <c r="AG105" i="63733"/>
  <c r="AD73" i="63733"/>
  <c r="AD70" i="63733" s="1"/>
  <c r="AE104" i="63733"/>
  <c r="AE88" i="63733"/>
  <c r="AH88" i="63733" s="1"/>
  <c r="AK88" i="63733" s="1"/>
  <c r="AN88" i="63733" s="1"/>
  <c r="AQ88" i="63733" s="1"/>
  <c r="AT88" i="63733" s="1"/>
  <c r="AW88" i="63733" s="1"/>
  <c r="AZ88" i="63733" s="1"/>
  <c r="BC88" i="63733" s="1"/>
  <c r="BF88" i="63733" s="1"/>
  <c r="BI88" i="63733" s="1"/>
  <c r="AE97" i="63733"/>
  <c r="AE64" i="63733"/>
  <c r="AE73" i="63733" s="1"/>
  <c r="AE70" i="63733" s="1"/>
  <c r="AE7" i="63733"/>
  <c r="AD14" i="63733"/>
  <c r="AH14" i="63733" l="1"/>
  <c r="AE105" i="63733"/>
  <c r="AH105" i="63733"/>
  <c r="AE14" i="63733"/>
  <c r="AA156" i="63733" l="1"/>
  <c r="AA199" i="63733"/>
  <c r="AD198" i="63733"/>
  <c r="AE198" i="63733" l="1"/>
  <c r="AE202" i="63733" s="1"/>
  <c r="AG198" i="63733"/>
  <c r="AD205" i="63733"/>
  <c r="AE203" i="63733" l="1"/>
  <c r="AE199" i="63733"/>
  <c r="AH198" i="63733"/>
  <c r="AG205" i="63733"/>
  <c r="AE205" i="63733"/>
  <c r="AD237" i="63733"/>
  <c r="AD215" i="63733"/>
  <c r="AD216" i="63733" s="1"/>
  <c r="AD9" i="63733"/>
  <c r="AD212" i="63733"/>
  <c r="AD223" i="63733"/>
  <c r="AD239" i="63733"/>
  <c r="AD240" i="63733" s="1"/>
  <c r="AD207" i="63733"/>
  <c r="AG212" i="63733" l="1"/>
  <c r="AG239" i="63733"/>
  <c r="AG240" i="63733" s="1"/>
  <c r="AG9" i="63733"/>
  <c r="AG223" i="63733"/>
  <c r="AG207" i="63733"/>
  <c r="AG208" i="63733" s="1"/>
  <c r="AG215" i="63733"/>
  <c r="AG237" i="63733"/>
  <c r="AH205" i="63733"/>
  <c r="AH199" i="63733"/>
  <c r="AH202" i="63733"/>
  <c r="AH203" i="63733"/>
  <c r="AD208" i="63733"/>
  <c r="AD403" i="63733"/>
  <c r="AD16" i="63733"/>
  <c r="AD12" i="63733"/>
  <c r="AE215" i="63733"/>
  <c r="AE216" i="63733" s="1"/>
  <c r="AE212" i="63733"/>
  <c r="AD24" i="63733"/>
  <c r="AD219" i="63733"/>
  <c r="AE223" i="63733"/>
  <c r="AD74" i="63829"/>
  <c r="AE207" i="63733"/>
  <c r="AE9" i="63733"/>
  <c r="AE237" i="63733"/>
  <c r="AE239" i="63733"/>
  <c r="AE240" i="63733" s="1"/>
  <c r="AG216" i="63733" l="1"/>
  <c r="AH215" i="63733"/>
  <c r="AG16" i="63733"/>
  <c r="AG12" i="63733"/>
  <c r="AH207" i="63733"/>
  <c r="AH239" i="63733"/>
  <c r="AH240" i="63733" s="1"/>
  <c r="AH9" i="63733"/>
  <c r="AH237" i="63733"/>
  <c r="AG403" i="63733"/>
  <c r="AH223" i="63733"/>
  <c r="AG74" i="63829"/>
  <c r="AG219" i="63733"/>
  <c r="AG221" i="63733" s="1"/>
  <c r="AG24" i="63733"/>
  <c r="AG25" i="63733" s="1"/>
  <c r="AH212" i="63733"/>
  <c r="AE217" i="63733"/>
  <c r="AE16" i="63733"/>
  <c r="AE219" i="63733"/>
  <c r="AE213" i="63733"/>
  <c r="AE24" i="63733"/>
  <c r="AE224" i="63733"/>
  <c r="AD6" i="1336"/>
  <c r="AD18" i="63733"/>
  <c r="AD227" i="63733"/>
  <c r="AD220" i="63733"/>
  <c r="AD25" i="63733"/>
  <c r="AD171" i="1336" l="1"/>
  <c r="AD151" i="1336"/>
  <c r="AD257" i="1336"/>
  <c r="AD259" i="1336" s="1"/>
  <c r="AH219" i="63733"/>
  <c r="AH221" i="63733" s="1"/>
  <c r="AH24" i="63733"/>
  <c r="AH25" i="63733" s="1"/>
  <c r="AH213" i="63733"/>
  <c r="AG227" i="63733"/>
  <c r="AG220" i="63733"/>
  <c r="AH216" i="63733"/>
  <c r="AH217" i="63733"/>
  <c r="AH224" i="63733"/>
  <c r="AG6" i="1336"/>
  <c r="AG18" i="63733"/>
  <c r="AH16" i="63733"/>
  <c r="AD16" i="1336"/>
  <c r="AD219" i="1336"/>
  <c r="AD18" i="1336"/>
  <c r="AD72" i="1336"/>
  <c r="AD14" i="1336"/>
  <c r="AD7" i="1336"/>
  <c r="AD20" i="1336"/>
  <c r="AE227" i="63733"/>
  <c r="AE220" i="63733"/>
  <c r="AD228" i="63733"/>
  <c r="AD229" i="63733"/>
  <c r="AD35" i="63733"/>
  <c r="AE25" i="63733"/>
  <c r="AG257" i="1336" l="1"/>
  <c r="AG259" i="1336" s="1"/>
  <c r="AG219" i="1336"/>
  <c r="AG20" i="1336"/>
  <c r="AG16" i="1336"/>
  <c r="AG14" i="1336"/>
  <c r="AG18" i="1336"/>
  <c r="AG7" i="1336"/>
  <c r="AG171" i="1336"/>
  <c r="AG151" i="1336"/>
  <c r="AG72" i="1336"/>
  <c r="AG229" i="63733"/>
  <c r="AG35" i="63733"/>
  <c r="AG45" i="63733" s="1"/>
  <c r="AG228" i="63733"/>
  <c r="AH220" i="63733"/>
  <c r="AH227" i="63733"/>
  <c r="AD21" i="1336"/>
  <c r="AD17" i="1336"/>
  <c r="AD19" i="1336"/>
  <c r="AD45" i="63733"/>
  <c r="AD220" i="1336"/>
  <c r="AD242" i="1336" s="1"/>
  <c r="AD15" i="1336"/>
  <c r="AE229" i="63733"/>
  <c r="AE35" i="63733"/>
  <c r="AE228" i="63733"/>
  <c r="AD229" i="1336" l="1"/>
  <c r="AD231" i="1336"/>
  <c r="AD243" i="1336"/>
  <c r="AD230" i="1336"/>
  <c r="AG220" i="1336"/>
  <c r="AG242" i="1336" s="1"/>
  <c r="AG17" i="1336"/>
  <c r="AH228" i="63733"/>
  <c r="AH35" i="63733"/>
  <c r="AH45" i="63733" s="1"/>
  <c r="AH229" i="63733"/>
  <c r="AG21" i="1336"/>
  <c r="AG19" i="1336"/>
  <c r="AG15" i="1336"/>
  <c r="AE45" i="63733"/>
  <c r="AG231" i="1336" l="1"/>
  <c r="AG243" i="1336"/>
  <c r="AG230" i="1336"/>
  <c r="AG229" i="1336"/>
  <c r="AA158" i="1336" l="1"/>
  <c r="AA159" i="1336" s="1"/>
  <c r="AA22" i="63829" s="1"/>
  <c r="AA25" i="63829" l="1"/>
  <c r="AA18" i="63829"/>
  <c r="AA163" i="1336"/>
  <c r="AA165" i="1336" s="1"/>
  <c r="AA286" i="1336" s="1"/>
  <c r="AA287" i="1336" s="1"/>
  <c r="AA289" i="1336" s="1"/>
  <c r="AA193" i="1336" l="1"/>
  <c r="AA190" i="1336"/>
  <c r="AA37" i="63829"/>
  <c r="AA20" i="63733"/>
  <c r="AA21" i="63733" s="1"/>
  <c r="AA29" i="63733"/>
  <c r="AA75" i="63733" l="1"/>
  <c r="AA76" i="63733" l="1"/>
  <c r="AD76" i="63733" s="1"/>
  <c r="AA78" i="63733"/>
  <c r="AA110" i="63733"/>
  <c r="AG76" i="63733" l="1"/>
  <c r="AG75" i="63733" s="1"/>
  <c r="AG20" i="63733" s="1"/>
  <c r="AA80" i="63733"/>
  <c r="AA79" i="63733"/>
  <c r="AD75" i="63733" l="1"/>
  <c r="AD20" i="63733" s="1"/>
  <c r="AD80" i="63733"/>
  <c r="AG80" i="63733" s="1"/>
  <c r="AG78" i="63733" s="1"/>
  <c r="AG21" i="63733"/>
  <c r="AG28" i="63733"/>
  <c r="AD78" i="63733" l="1"/>
  <c r="AD79" i="63733" s="1"/>
  <c r="AG82" i="63733"/>
  <c r="AG10" i="1336"/>
  <c r="AG29" i="63733"/>
  <c r="AD21" i="63733"/>
  <c r="AD28" i="63733"/>
  <c r="AG79" i="63733" l="1"/>
  <c r="AD82" i="63733"/>
  <c r="AD83" i="63733" s="1"/>
  <c r="AG90" i="63733"/>
  <c r="AG84" i="63733"/>
  <c r="AG9" i="1336"/>
  <c r="AG11" i="1336"/>
  <c r="AD29" i="63733"/>
  <c r="AD10" i="1336"/>
  <c r="AD84" i="63733" l="1"/>
  <c r="AG83" i="63733"/>
  <c r="AD90" i="63733"/>
  <c r="AD92" i="63733" s="1"/>
  <c r="AG152" i="1336"/>
  <c r="AG215" i="1336" s="1"/>
  <c r="AG170" i="1336"/>
  <c r="AG173" i="1336" s="1"/>
  <c r="AG182" i="1336" s="1"/>
  <c r="AG194" i="1336" s="1"/>
  <c r="AG92" i="63733"/>
  <c r="AG33" i="63733"/>
  <c r="AD9" i="1336"/>
  <c r="AD170" i="1336" s="1"/>
  <c r="AD11" i="1336"/>
  <c r="AD33" i="63733" l="1"/>
  <c r="AD43" i="63733" s="1"/>
  <c r="AG91" i="63733"/>
  <c r="AD91" i="63733"/>
  <c r="AG43" i="63733"/>
  <c r="AG38" i="63733"/>
  <c r="AG404" i="63733"/>
  <c r="AG405" i="63733" s="1"/>
  <c r="AG195" i="1336"/>
  <c r="AD173" i="1336"/>
  <c r="AD152" i="1336"/>
  <c r="AD404" i="63733" l="1"/>
  <c r="AD405" i="63733" s="1"/>
  <c r="AD38" i="63733"/>
  <c r="AD215" i="1336"/>
  <c r="AD195" i="1336"/>
  <c r="AG31" i="1336"/>
  <c r="AG39" i="63733"/>
  <c r="AG47" i="63733"/>
  <c r="AD182" i="1336"/>
  <c r="AD194" i="1336" s="1"/>
  <c r="AD47" i="63733" l="1"/>
  <c r="AD39" i="63733"/>
  <c r="AD31" i="1336"/>
  <c r="AG23" i="1336" s="1"/>
  <c r="AJ23" i="1336"/>
  <c r="AG22" i="1336"/>
  <c r="AG68" i="1336" s="1"/>
  <c r="AG33" i="1336"/>
  <c r="AG61" i="1336"/>
  <c r="AD23" i="1336" l="1"/>
  <c r="AD32" i="1336"/>
  <c r="AD39" i="1336"/>
  <c r="AD139" i="1336"/>
  <c r="AD33" i="1336"/>
  <c r="AD22" i="1336"/>
  <c r="AD68" i="1336" s="1"/>
  <c r="AD61" i="1336"/>
  <c r="AG32" i="1336"/>
  <c r="AD105" i="1336" l="1"/>
  <c r="AE54" i="63733" l="1"/>
  <c r="AE60" i="63733"/>
  <c r="AE61" i="63733"/>
  <c r="AL63" i="63733"/>
  <c r="AO64" i="63733" s="1"/>
  <c r="AO73" i="63733" s="1"/>
  <c r="AO70" i="63733" s="1"/>
  <c r="AX56" i="63733"/>
  <c r="AX63" i="63733" s="1"/>
  <c r="AE57" i="63733"/>
  <c r="AU63" i="63733"/>
  <c r="BA56" i="63733" l="1"/>
  <c r="BD56" i="63733" s="1"/>
  <c r="BD63" i="63733" s="1"/>
  <c r="AU7" i="63733"/>
  <c r="AU104" i="63733"/>
  <c r="AU105" i="63733" s="1"/>
  <c r="AX104" i="63733"/>
  <c r="AX97" i="63733"/>
  <c r="AX7" i="63733"/>
  <c r="AU100" i="63733"/>
  <c r="AL86" i="63733"/>
  <c r="AL64" i="63733"/>
  <c r="AL73" i="63733" s="1"/>
  <c r="AL70" i="63733" s="1"/>
  <c r="AL7" i="63733"/>
  <c r="AO100" i="63733"/>
  <c r="AL100" i="63733"/>
  <c r="AL97" i="63733"/>
  <c r="AL104" i="63733"/>
  <c r="AX86" i="63733"/>
  <c r="AX100" i="63733"/>
  <c r="AU97" i="63733"/>
  <c r="AU64" i="63733"/>
  <c r="AU73" i="63733" s="1"/>
  <c r="AU70" i="63733" s="1"/>
  <c r="AU86" i="63733"/>
  <c r="AX64" i="63733"/>
  <c r="AX73" i="63733" s="1"/>
  <c r="AX70" i="63733" s="1"/>
  <c r="R31" i="63836" l="1" a="1"/>
  <c r="R31" i="63836" s="1"/>
  <c r="BG56" i="63733"/>
  <c r="BJ56" i="63733" s="1"/>
  <c r="BJ63" i="63733" s="1"/>
  <c r="AX105" i="63733"/>
  <c r="AX14" i="63733"/>
  <c r="BA63" i="63733"/>
  <c r="BA86" i="63733" s="1"/>
  <c r="AU14" i="63733"/>
  <c r="AX87" i="63733"/>
  <c r="AL87" i="63733"/>
  <c r="AO87" i="63733"/>
  <c r="AU87" i="63733"/>
  <c r="AO14" i="63733"/>
  <c r="AL14" i="63733"/>
  <c r="AL105" i="63733"/>
  <c r="AO105" i="63733"/>
  <c r="BD104" i="63733"/>
  <c r="BD97" i="63733"/>
  <c r="BD86" i="63733"/>
  <c r="BD7" i="63733"/>
  <c r="BG63" i="63733" l="1"/>
  <c r="BD100" i="63733"/>
  <c r="BD64" i="63733"/>
  <c r="BD73" i="63733" s="1"/>
  <c r="BD70" i="63733" s="1"/>
  <c r="BA97" i="63733"/>
  <c r="BA7" i="63733"/>
  <c r="BD14" i="63733" s="1"/>
  <c r="BA104" i="63733"/>
  <c r="BA100" i="63733"/>
  <c r="BA64" i="63733"/>
  <c r="BA73" i="63733" s="1"/>
  <c r="BA70" i="63733" s="1"/>
  <c r="BA87" i="63733"/>
  <c r="BJ104" i="63733"/>
  <c r="BJ7" i="63733"/>
  <c r="BJ86" i="63733"/>
  <c r="BJ97" i="63733"/>
  <c r="BD87" i="63733"/>
  <c r="BG7" i="63733" l="1"/>
  <c r="BJ64" i="63733"/>
  <c r="BJ73" i="63733" s="1"/>
  <c r="BJ70" i="63733" s="1"/>
  <c r="BG64" i="63733"/>
  <c r="BG73" i="63733" s="1"/>
  <c r="BG70" i="63733" s="1"/>
  <c r="BJ100" i="63733"/>
  <c r="BG86" i="63733"/>
  <c r="BG87" i="63733" s="1"/>
  <c r="BG100" i="63733"/>
  <c r="BG97" i="63733"/>
  <c r="BG104" i="63733"/>
  <c r="BG105" i="63733" s="1"/>
  <c r="BA14" i="63733"/>
  <c r="BA105" i="63733"/>
  <c r="BD105" i="63733"/>
  <c r="BG14" i="63733" l="1"/>
  <c r="BJ14" i="63733"/>
  <c r="BJ87" i="63733"/>
  <c r="BJ105" i="63733"/>
  <c r="AC153" i="63733" l="1"/>
  <c r="AC187" i="63733"/>
  <c r="AC188" i="63733" s="1"/>
  <c r="AC8" i="63733"/>
  <c r="AC185" i="63733"/>
  <c r="AC147" i="63733"/>
  <c r="AB147" i="63733" s="1"/>
  <c r="AB148" i="63733" s="1"/>
  <c r="AC182" i="63733"/>
  <c r="AC156" i="63733" l="1"/>
  <c r="AC193" i="63733"/>
  <c r="AC161" i="63733"/>
  <c r="AB161" i="63733" s="1"/>
  <c r="AF147" i="63733"/>
  <c r="AE147" i="63733" s="1"/>
  <c r="AE148" i="63733" s="1"/>
  <c r="AC148" i="63733"/>
  <c r="AC167" i="63733"/>
  <c r="AC173" i="63733"/>
  <c r="AC174" i="63733"/>
  <c r="AC34" i="63733"/>
  <c r="O32" i="63836" a="1"/>
  <c r="O32" i="63836" s="1"/>
  <c r="AC22" i="63733"/>
  <c r="AC15" i="63733"/>
  <c r="AB163" i="63733" l="1"/>
  <c r="AB165" i="63733"/>
  <c r="AB162" i="63733"/>
  <c r="AB166" i="63733"/>
  <c r="AC163" i="63733"/>
  <c r="AF163" i="63733" s="1"/>
  <c r="AI163" i="63733" s="1"/>
  <c r="AL163" i="63733" s="1"/>
  <c r="AO163" i="63733" s="1"/>
  <c r="AR163" i="63733" s="1"/>
  <c r="AU163" i="63733" s="1"/>
  <c r="AX163" i="63733" s="1"/>
  <c r="BA163" i="63733" s="1"/>
  <c r="BD163" i="63733" s="1"/>
  <c r="BG163" i="63733" s="1"/>
  <c r="BJ163" i="63733" s="1"/>
  <c r="AC162" i="63733"/>
  <c r="AI147" i="63733"/>
  <c r="AI151" i="63733" s="1"/>
  <c r="AF152" i="63733"/>
  <c r="AC44" i="63733"/>
  <c r="O40" i="63836" s="1" a="1"/>
  <c r="O40" i="63836" s="1"/>
  <c r="AC23" i="63733"/>
  <c r="AB167" i="63733" l="1"/>
  <c r="AB172" i="63733"/>
  <c r="AF153" i="63733"/>
  <c r="AF8" i="63733"/>
  <c r="AF158" i="63733"/>
  <c r="AF185" i="63733"/>
  <c r="AE152" i="63733"/>
  <c r="AF264" i="63733"/>
  <c r="AF182" i="63733"/>
  <c r="AF187" i="63733"/>
  <c r="AF188" i="63733" s="1"/>
  <c r="AF169" i="63733"/>
  <c r="AF161" i="63733"/>
  <c r="AI152" i="63733"/>
  <c r="AH147" i="63733"/>
  <c r="AH148" i="63733" s="1"/>
  <c r="AL147" i="63733"/>
  <c r="AB173" i="63733" l="1"/>
  <c r="AB34" i="63733"/>
  <c r="AB174" i="63733"/>
  <c r="AI169" i="63733"/>
  <c r="AI182" i="63733"/>
  <c r="AI185" i="63733"/>
  <c r="AI187" i="63733"/>
  <c r="AI188" i="63733" s="1"/>
  <c r="AI161" i="63733"/>
  <c r="AI153" i="63733"/>
  <c r="AI154" i="63733" s="1"/>
  <c r="AI8" i="63733"/>
  <c r="AH152" i="63733"/>
  <c r="AI264" i="63733"/>
  <c r="AI158" i="63733"/>
  <c r="AE8" i="63733"/>
  <c r="AE187" i="63733"/>
  <c r="AE188" i="63733" s="1"/>
  <c r="AE182" i="63733"/>
  <c r="AE153" i="63733"/>
  <c r="AE154" i="63733" s="1"/>
  <c r="AF166" i="63733"/>
  <c r="AE161" i="63733"/>
  <c r="AF162" i="63733"/>
  <c r="AE169" i="63733"/>
  <c r="AE158" i="63733"/>
  <c r="AF22" i="63733"/>
  <c r="AF272" i="63733"/>
  <c r="AF302" i="63733"/>
  <c r="AF293" i="63733"/>
  <c r="AF295" i="63733" s="1"/>
  <c r="AF285" i="63733"/>
  <c r="AL152" i="63733"/>
  <c r="AO147" i="63733"/>
  <c r="P32" i="63836" a="1"/>
  <c r="P32" i="63836" s="1"/>
  <c r="AF15" i="63733"/>
  <c r="AF154" i="63733"/>
  <c r="AB44" i="63733" l="1"/>
  <c r="AE15" i="63733"/>
  <c r="AF304" i="63733"/>
  <c r="AF305" i="63733" s="1"/>
  <c r="AI162" i="63733"/>
  <c r="AH161" i="63733"/>
  <c r="AL182" i="63733"/>
  <c r="AL169" i="63733"/>
  <c r="AL153" i="63733"/>
  <c r="AL154" i="63733" s="1"/>
  <c r="AL185" i="63733"/>
  <c r="AL187" i="63733"/>
  <c r="AL188" i="63733" s="1"/>
  <c r="AL264" i="63733"/>
  <c r="AL158" i="63733"/>
  <c r="AL161" i="63733"/>
  <c r="AL162" i="63733" s="1"/>
  <c r="AL8" i="63733"/>
  <c r="AF167" i="63733"/>
  <c r="AF172" i="63733"/>
  <c r="AO152" i="63733"/>
  <c r="AR147" i="63733"/>
  <c r="AI22" i="63733"/>
  <c r="AH158" i="63733"/>
  <c r="AI166" i="63733"/>
  <c r="AE159" i="63733"/>
  <c r="AE22" i="63733"/>
  <c r="AE166" i="63733"/>
  <c r="AH187" i="63733"/>
  <c r="AH188" i="63733" s="1"/>
  <c r="AH182" i="63733"/>
  <c r="AH153" i="63733"/>
  <c r="AH154" i="63733" s="1"/>
  <c r="AH8" i="63733"/>
  <c r="AF23" i="63733"/>
  <c r="AE163" i="63733"/>
  <c r="AE162" i="63733"/>
  <c r="AI302" i="63733"/>
  <c r="AI272" i="63733"/>
  <c r="AI293" i="63733"/>
  <c r="AI295" i="63733" s="1"/>
  <c r="AI285" i="63733"/>
  <c r="AE170" i="63733"/>
  <c r="Q32" i="63836" a="1"/>
  <c r="Q32" i="63836" s="1"/>
  <c r="AI15" i="63733"/>
  <c r="AH169" i="63733"/>
  <c r="AH15" i="63733" l="1"/>
  <c r="AH170" i="63733"/>
  <c r="AK170" i="63733" s="1"/>
  <c r="AN170" i="63733" s="1"/>
  <c r="AQ170" i="63733" s="1"/>
  <c r="AT170" i="63733" s="1"/>
  <c r="AW170" i="63733" s="1"/>
  <c r="AZ170" i="63733" s="1"/>
  <c r="BC170" i="63733" s="1"/>
  <c r="BF170" i="63733" s="1"/>
  <c r="BI170" i="63733" s="1"/>
  <c r="AI167" i="63733"/>
  <c r="AI172" i="63733"/>
  <c r="AH159" i="63733"/>
  <c r="AH22" i="63733"/>
  <c r="AH166" i="63733"/>
  <c r="AL15" i="63733"/>
  <c r="R32" i="63836" a="1"/>
  <c r="R32" i="63836" s="1"/>
  <c r="AI23" i="63733"/>
  <c r="AE167" i="63733"/>
  <c r="AE172" i="63733"/>
  <c r="AR152" i="63733"/>
  <c r="AU147" i="63733"/>
  <c r="AL166" i="63733"/>
  <c r="AL22" i="63733"/>
  <c r="AE23" i="63733"/>
  <c r="AO187" i="63733"/>
  <c r="AO188" i="63733" s="1"/>
  <c r="AO153" i="63733"/>
  <c r="AO154" i="63733" s="1"/>
  <c r="AO8" i="63733"/>
  <c r="AO182" i="63733"/>
  <c r="AO264" i="63733"/>
  <c r="AO185" i="63733"/>
  <c r="AO169" i="63733"/>
  <c r="AO161" i="63733"/>
  <c r="AO162" i="63733" s="1"/>
  <c r="AO158" i="63733"/>
  <c r="AL272" i="63733"/>
  <c r="AL285" i="63733"/>
  <c r="AL293" i="63733"/>
  <c r="AL295" i="63733" s="1"/>
  <c r="AL302" i="63733"/>
  <c r="AH162" i="63733"/>
  <c r="AH163" i="63733"/>
  <c r="AI304" i="63733"/>
  <c r="AI305" i="63733" s="1"/>
  <c r="AF287" i="63733"/>
  <c r="AF34" i="63733"/>
  <c r="AF174" i="63733"/>
  <c r="AF173" i="63733"/>
  <c r="AO15" i="63733" l="1"/>
  <c r="AF288" i="63733"/>
  <c r="AF289" i="63733"/>
  <c r="AF290" i="63733" s="1"/>
  <c r="AF279" i="63733"/>
  <c r="AO293" i="63733"/>
  <c r="AO295" i="63733" s="1"/>
  <c r="AO302" i="63733"/>
  <c r="AO272" i="63733"/>
  <c r="AO285" i="63733"/>
  <c r="AE174" i="63733"/>
  <c r="AE34" i="63733"/>
  <c r="AE44" i="63733" s="1"/>
  <c r="AE173" i="63733"/>
  <c r="AL23" i="63733"/>
  <c r="AI287" i="63733"/>
  <c r="AI34" i="63733"/>
  <c r="AI173" i="63733"/>
  <c r="AI174" i="63733"/>
  <c r="AO22" i="63733"/>
  <c r="AO166" i="63733"/>
  <c r="AL172" i="63733"/>
  <c r="AL167" i="63733"/>
  <c r="AH23" i="63733"/>
  <c r="AX147" i="63733"/>
  <c r="AU152" i="63733"/>
  <c r="AF44" i="63733"/>
  <c r="AL304" i="63733"/>
  <c r="AL305" i="63733" s="1"/>
  <c r="AR8" i="63733"/>
  <c r="AR161" i="63733"/>
  <c r="AR162" i="63733" s="1"/>
  <c r="AR264" i="63733"/>
  <c r="AR182" i="63733"/>
  <c r="AR158" i="63733"/>
  <c r="AR185" i="63733"/>
  <c r="AR169" i="63733"/>
  <c r="AR153" i="63733"/>
  <c r="AR154" i="63733" s="1"/>
  <c r="AR187" i="63733"/>
  <c r="AR188" i="63733" s="1"/>
  <c r="AH167" i="63733"/>
  <c r="AH172" i="63733"/>
  <c r="AR15" i="63733" l="1"/>
  <c r="AO304" i="63733"/>
  <c r="AO305" i="63733" s="1"/>
  <c r="BA147" i="63733"/>
  <c r="AX152" i="63733"/>
  <c r="AH173" i="63733"/>
  <c r="AH34" i="63733"/>
  <c r="AH44" i="63733" s="1"/>
  <c r="AH174" i="63733"/>
  <c r="AK174" i="63733"/>
  <c r="AR22" i="63733"/>
  <c r="AR166" i="63733"/>
  <c r="AO167" i="63733"/>
  <c r="AO172" i="63733"/>
  <c r="AL34" i="63733"/>
  <c r="AL174" i="63733"/>
  <c r="AL287" i="63733"/>
  <c r="AL173" i="63733"/>
  <c r="AO23" i="63733"/>
  <c r="AR293" i="63733"/>
  <c r="AR295" i="63733" s="1"/>
  <c r="AR285" i="63733"/>
  <c r="AR272" i="63733"/>
  <c r="AR302" i="63733"/>
  <c r="P40" i="63836" a="1"/>
  <c r="P40" i="63836" s="1"/>
  <c r="AF280" i="63733"/>
  <c r="AF281" i="63733"/>
  <c r="AF275" i="63733"/>
  <c r="AF277" i="63733" s="1"/>
  <c r="AI289" i="63733"/>
  <c r="AI290" i="63733" s="1"/>
  <c r="AI288" i="63733"/>
  <c r="AI279" i="63733"/>
  <c r="AU161" i="63733"/>
  <c r="AU162" i="63733" s="1"/>
  <c r="AU153" i="63733"/>
  <c r="AU154" i="63733" s="1"/>
  <c r="AU182" i="63733"/>
  <c r="AU169" i="63733"/>
  <c r="AU187" i="63733"/>
  <c r="AU188" i="63733" s="1"/>
  <c r="AU8" i="63733"/>
  <c r="AU264" i="63733"/>
  <c r="AU185" i="63733"/>
  <c r="AU158" i="63733"/>
  <c r="AI44" i="63733"/>
  <c r="Q40" i="63836" s="1" a="1"/>
  <c r="Q40" i="63836" s="1"/>
  <c r="D7" i="63808"/>
  <c r="AU15" i="63733" l="1"/>
  <c r="AR304" i="63733"/>
  <c r="AR305" i="63733" s="1"/>
  <c r="AU166" i="63733"/>
  <c r="AU22" i="63733"/>
  <c r="AL288" i="63733"/>
  <c r="AL279" i="63733"/>
  <c r="AL289" i="63733"/>
  <c r="AL290" i="63733" s="1"/>
  <c r="AL44" i="63733"/>
  <c r="AO34" i="63733"/>
  <c r="AO44" i="63733" s="1"/>
  <c r="AO287" i="63733"/>
  <c r="AO174" i="63733"/>
  <c r="AO173" i="63733"/>
  <c r="AI280" i="63733"/>
  <c r="AI281" i="63733"/>
  <c r="AI275" i="63733"/>
  <c r="AI277" i="63733" s="1"/>
  <c r="I7" i="63808"/>
  <c r="B7" i="63842"/>
  <c r="D7" i="63842" s="1"/>
  <c r="AU302" i="63733"/>
  <c r="AU272" i="63733"/>
  <c r="AU285" i="63733"/>
  <c r="AU293" i="63733"/>
  <c r="AU295" i="63733" s="1"/>
  <c r="AR172" i="63733"/>
  <c r="AR167" i="63733"/>
  <c r="AX153" i="63733"/>
  <c r="AX154" i="63733" s="1"/>
  <c r="AX161" i="63733"/>
  <c r="AX162" i="63733" s="1"/>
  <c r="AX187" i="63733"/>
  <c r="AX188" i="63733" s="1"/>
  <c r="AX169" i="63733"/>
  <c r="AX185" i="63733"/>
  <c r="AX8" i="63733"/>
  <c r="AX158" i="63733"/>
  <c r="AX264" i="63733"/>
  <c r="AX182" i="63733"/>
  <c r="AR23" i="63733"/>
  <c r="BA152" i="63733"/>
  <c r="BD147" i="63733"/>
  <c r="AX15" i="63733" l="1"/>
  <c r="R40" i="63836" a="1"/>
  <c r="R40" i="63836" s="1"/>
  <c r="AU23" i="63733"/>
  <c r="AR287" i="63733"/>
  <c r="AR34" i="63733"/>
  <c r="AR44" i="63733" s="1"/>
  <c r="AR173" i="63733"/>
  <c r="AR174" i="63733"/>
  <c r="AU304" i="63733"/>
  <c r="AU305" i="63733" s="1"/>
  <c r="AU167" i="63733"/>
  <c r="AU172" i="63733"/>
  <c r="BG147" i="63733"/>
  <c r="BD152" i="63733"/>
  <c r="BA182" i="63733"/>
  <c r="BA169" i="63733"/>
  <c r="BA187" i="63733"/>
  <c r="BA188" i="63733" s="1"/>
  <c r="BA153" i="63733"/>
  <c r="BA154" i="63733" s="1"/>
  <c r="BA161" i="63733"/>
  <c r="BA162" i="63733" s="1"/>
  <c r="BA8" i="63733"/>
  <c r="BA264" i="63733"/>
  <c r="BA185" i="63733"/>
  <c r="BA158" i="63733"/>
  <c r="AO289" i="63733"/>
  <c r="AO290" i="63733" s="1"/>
  <c r="AO288" i="63733"/>
  <c r="AO279" i="63733"/>
  <c r="AX285" i="63733"/>
  <c r="AX302" i="63733"/>
  <c r="AX272" i="63733"/>
  <c r="AX293" i="63733"/>
  <c r="AX295" i="63733" s="1"/>
  <c r="AL275" i="63733"/>
  <c r="AL277" i="63733" s="1"/>
  <c r="AL281" i="63733"/>
  <c r="AL280" i="63733"/>
  <c r="AX22" i="63733"/>
  <c r="AX166" i="63733"/>
  <c r="BA15" i="63733" l="1"/>
  <c r="AX304" i="63733"/>
  <c r="AX305" i="63733" s="1"/>
  <c r="AX23" i="63733"/>
  <c r="AO280" i="63733"/>
  <c r="AO281" i="63733"/>
  <c r="AO275" i="63733"/>
  <c r="AO277" i="63733" s="1"/>
  <c r="AR289" i="63733"/>
  <c r="AR290" i="63733" s="1"/>
  <c r="AR279" i="63733"/>
  <c r="AR288" i="63733"/>
  <c r="BA22" i="63733"/>
  <c r="BA166" i="63733"/>
  <c r="BD187" i="63733"/>
  <c r="BD188" i="63733" s="1"/>
  <c r="BD185" i="63733"/>
  <c r="BD182" i="63733"/>
  <c r="BD153" i="63733"/>
  <c r="BD154" i="63733" s="1"/>
  <c r="BD161" i="63733"/>
  <c r="BD162" i="63733" s="1"/>
  <c r="BD264" i="63733"/>
  <c r="BD8" i="63733"/>
  <c r="BD169" i="63733"/>
  <c r="BD158" i="63733"/>
  <c r="BJ147" i="63733"/>
  <c r="BJ152" i="63733" s="1"/>
  <c r="BG152" i="63733"/>
  <c r="AX167" i="63733"/>
  <c r="AX172" i="63733"/>
  <c r="BA285" i="63733"/>
  <c r="BA302" i="63733"/>
  <c r="BA272" i="63733"/>
  <c r="BA293" i="63733"/>
  <c r="BA295" i="63733" s="1"/>
  <c r="AU173" i="63733"/>
  <c r="AU34" i="63733"/>
  <c r="AU44" i="63733" s="1"/>
  <c r="AU287" i="63733"/>
  <c r="AU174" i="63733"/>
  <c r="BD15" i="63733" l="1"/>
  <c r="BA304" i="63733"/>
  <c r="BA305" i="63733" s="1"/>
  <c r="BD166" i="63733"/>
  <c r="BD22" i="63733"/>
  <c r="AU288" i="63733"/>
  <c r="AU279" i="63733"/>
  <c r="AU289" i="63733"/>
  <c r="AU290" i="63733" s="1"/>
  <c r="AR280" i="63733"/>
  <c r="AR275" i="63733"/>
  <c r="AR277" i="63733" s="1"/>
  <c r="AR281" i="63733"/>
  <c r="BD272" i="63733"/>
  <c r="BD302" i="63733"/>
  <c r="BD293" i="63733"/>
  <c r="BD295" i="63733" s="1"/>
  <c r="BD285" i="63733"/>
  <c r="BA167" i="63733"/>
  <c r="BA172" i="63733"/>
  <c r="BG169" i="63733"/>
  <c r="BG182" i="63733"/>
  <c r="BG161" i="63733"/>
  <c r="BG162" i="63733" s="1"/>
  <c r="BG158" i="63733"/>
  <c r="BG8" i="63733"/>
  <c r="BG187" i="63733"/>
  <c r="BG188" i="63733" s="1"/>
  <c r="BG264" i="63733"/>
  <c r="BG185" i="63733"/>
  <c r="BG153" i="63733"/>
  <c r="BG154" i="63733" s="1"/>
  <c r="BA23" i="63733"/>
  <c r="AX287" i="63733"/>
  <c r="AX173" i="63733"/>
  <c r="AX34" i="63733"/>
  <c r="AX44" i="63733" s="1"/>
  <c r="AX174" i="63733"/>
  <c r="BJ187" i="63733"/>
  <c r="BJ153" i="63733"/>
  <c r="BJ154" i="63733" s="1"/>
  <c r="BJ182" i="63733"/>
  <c r="BJ264" i="63733"/>
  <c r="BJ158" i="63733"/>
  <c r="BJ8" i="63733"/>
  <c r="BJ185" i="63733"/>
  <c r="BJ169" i="63733"/>
  <c r="BJ161" i="63733"/>
  <c r="BG15" i="63733" l="1"/>
  <c r="BJ15" i="63733"/>
  <c r="BJ162" i="63733"/>
  <c r="BJ166" i="63733"/>
  <c r="BJ22" i="63733"/>
  <c r="BD304" i="63733"/>
  <c r="BD305" i="63733" s="1"/>
  <c r="BJ302" i="63733"/>
  <c r="BJ293" i="63733"/>
  <c r="BJ285" i="63733"/>
  <c r="BJ272" i="63733"/>
  <c r="AU280" i="63733"/>
  <c r="AU281" i="63733"/>
  <c r="AU275" i="63733"/>
  <c r="AU277" i="63733" s="1"/>
  <c r="BG302" i="63733"/>
  <c r="BG272" i="63733"/>
  <c r="BG293" i="63733"/>
  <c r="BG295" i="63733" s="1"/>
  <c r="BG285" i="63733"/>
  <c r="AX289" i="63733"/>
  <c r="AX290" i="63733" s="1"/>
  <c r="AX288" i="63733"/>
  <c r="AX279" i="63733"/>
  <c r="BG22" i="63733"/>
  <c r="BG166" i="63733"/>
  <c r="BA34" i="63733"/>
  <c r="BA44" i="63733" s="1"/>
  <c r="BA173" i="63733"/>
  <c r="BA287" i="63733"/>
  <c r="BA174" i="63733"/>
  <c r="BD23" i="63733"/>
  <c r="BJ188" i="63733"/>
  <c r="BD167" i="63733"/>
  <c r="BD172" i="63733"/>
  <c r="BJ295" i="63733" l="1"/>
  <c r="BG23" i="63733"/>
  <c r="BJ304" i="63733"/>
  <c r="BJ305" i="63733" s="1"/>
  <c r="AX280" i="63733"/>
  <c r="AX281" i="63733"/>
  <c r="AX275" i="63733"/>
  <c r="AX277" i="63733" s="1"/>
  <c r="BG304" i="63733"/>
  <c r="BG305" i="63733" s="1"/>
  <c r="BJ23" i="63733"/>
  <c r="BG172" i="63733"/>
  <c r="BG167" i="63733"/>
  <c r="BA289" i="63733"/>
  <c r="BA290" i="63733" s="1"/>
  <c r="BA288" i="63733"/>
  <c r="BA279" i="63733"/>
  <c r="BJ172" i="63733"/>
  <c r="BJ167" i="63733"/>
  <c r="BD287" i="63733"/>
  <c r="BD34" i="63733"/>
  <c r="BD44" i="63733" s="1"/>
  <c r="BD173" i="63733"/>
  <c r="BD174" i="63733"/>
  <c r="BA281" i="63733" l="1"/>
  <c r="BA280" i="63733"/>
  <c r="BA275" i="63733"/>
  <c r="BA277" i="63733" s="1"/>
  <c r="BJ287" i="63733"/>
  <c r="BJ173" i="63733"/>
  <c r="BJ174" i="63733"/>
  <c r="BJ34" i="63733"/>
  <c r="BJ44" i="63733" s="1"/>
  <c r="BG173" i="63733"/>
  <c r="BG287" i="63733"/>
  <c r="BG34" i="63733"/>
  <c r="BG44" i="63733" s="1"/>
  <c r="BG174" i="63733"/>
  <c r="BD279" i="63733"/>
  <c r="BD288" i="63733"/>
  <c r="BD289" i="63733"/>
  <c r="BD290" i="63733" s="1"/>
  <c r="BJ289" i="63733" l="1"/>
  <c r="BJ288" i="63733"/>
  <c r="BJ279" i="63733"/>
  <c r="BD280" i="63733"/>
  <c r="BD281" i="63733"/>
  <c r="BD275" i="63733"/>
  <c r="BD277" i="63733" s="1"/>
  <c r="BG279" i="63733"/>
  <c r="BG289" i="63733"/>
  <c r="BG290" i="63733" s="1"/>
  <c r="BG288" i="63733"/>
  <c r="BJ281" i="63733" l="1"/>
  <c r="BJ275" i="63733"/>
  <c r="BJ277" i="63733" s="1"/>
  <c r="BJ280" i="63733"/>
  <c r="BG275" i="63733"/>
  <c r="BG277" i="63733" s="1"/>
  <c r="BG281" i="63733"/>
  <c r="BG280" i="63733"/>
  <c r="BJ290" i="63733"/>
  <c r="AC384" i="63733"/>
  <c r="AC383" i="63733"/>
  <c r="AC333" i="63733"/>
  <c r="AF333" i="63733" s="1"/>
  <c r="AI333" i="63733" s="1"/>
  <c r="AI339" i="63733" s="1"/>
  <c r="AC350" i="63733"/>
  <c r="AC10" i="63733" l="1"/>
  <c r="AC12" i="63733" s="1"/>
  <c r="AC6" i="1336" s="1"/>
  <c r="AC388" i="63733"/>
  <c r="AC370" i="63733"/>
  <c r="AF370" i="63733" s="1"/>
  <c r="AI340" i="63733"/>
  <c r="AF340" i="63733"/>
  <c r="O34" i="63836" a="1"/>
  <c r="O34" i="63836" s="1"/>
  <c r="AC403" i="63733"/>
  <c r="AC410" i="63733"/>
  <c r="AB410" i="63733" s="1"/>
  <c r="AC352" i="63733"/>
  <c r="AC355" i="63733" s="1"/>
  <c r="AC357" i="63733"/>
  <c r="AC360" i="63733" s="1"/>
  <c r="AC334" i="63733"/>
  <c r="AL333" i="63733"/>
  <c r="AB10" i="63733" l="1"/>
  <c r="AB403" i="63733" s="1"/>
  <c r="AC17" i="63733"/>
  <c r="AB12" i="63733"/>
  <c r="AB18" i="63733" s="1"/>
  <c r="AB17" i="63733"/>
  <c r="AI370" i="63733"/>
  <c r="AL370" i="63733" s="1"/>
  <c r="AO370" i="63733" s="1"/>
  <c r="AR370" i="63733" s="1"/>
  <c r="AU370" i="63733" s="1"/>
  <c r="AX370" i="63733" s="1"/>
  <c r="BA370" i="63733" s="1"/>
  <c r="BD370" i="63733" s="1"/>
  <c r="BG370" i="63733" s="1"/>
  <c r="BJ370" i="63733" s="1"/>
  <c r="AB411" i="63733"/>
  <c r="AB412" i="63733"/>
  <c r="AB6" i="1336"/>
  <c r="AC215" i="1336"/>
  <c r="AC207" i="1336"/>
  <c r="AL207" i="1336" s="1"/>
  <c r="AO207" i="1336" s="1"/>
  <c r="AR207" i="1336" s="1"/>
  <c r="AU207" i="1336" s="1"/>
  <c r="AX207" i="1336" s="1"/>
  <c r="BA207" i="1336" s="1"/>
  <c r="BD207" i="1336" s="1"/>
  <c r="BG207" i="1336" s="1"/>
  <c r="BJ207" i="1336" s="1"/>
  <c r="AC198" i="1336"/>
  <c r="AB360" i="63733"/>
  <c r="AB357" i="63733"/>
  <c r="AC64" i="1336"/>
  <c r="AC62" i="1336"/>
  <c r="AF62" i="1336" s="1"/>
  <c r="AI62" i="1336" s="1"/>
  <c r="AL62" i="1336" s="1"/>
  <c r="AO62" i="1336" s="1"/>
  <c r="AR62" i="1336" s="1"/>
  <c r="AU62" i="1336" s="1"/>
  <c r="AX62" i="1336" s="1"/>
  <c r="BA62" i="1336" s="1"/>
  <c r="BD62" i="1336" s="1"/>
  <c r="BG62" i="1336" s="1"/>
  <c r="BJ62" i="1336" s="1"/>
  <c r="AC65" i="1336"/>
  <c r="AF65" i="1336" s="1"/>
  <c r="AI65" i="1336" s="1"/>
  <c r="AL65" i="1336" s="1"/>
  <c r="AO65" i="1336" s="1"/>
  <c r="AR65" i="1336" s="1"/>
  <c r="AU65" i="1336" s="1"/>
  <c r="AX65" i="1336" s="1"/>
  <c r="BA65" i="1336" s="1"/>
  <c r="BD65" i="1336" s="1"/>
  <c r="BG65" i="1336" s="1"/>
  <c r="BJ65" i="1336" s="1"/>
  <c r="AC10" i="1336"/>
  <c r="AC67" i="1336"/>
  <c r="AF67" i="1336" s="1"/>
  <c r="AI67" i="1336" s="1"/>
  <c r="AL67" i="1336" s="1"/>
  <c r="AO67" i="1336" s="1"/>
  <c r="AR67" i="1336" s="1"/>
  <c r="AU67" i="1336" s="1"/>
  <c r="AX67" i="1336" s="1"/>
  <c r="BA67" i="1336" s="1"/>
  <c r="BD67" i="1336" s="1"/>
  <c r="BG67" i="1336" s="1"/>
  <c r="BJ67" i="1336" s="1"/>
  <c r="AC7" i="1336"/>
  <c r="AC379" i="63733"/>
  <c r="AC423" i="63733"/>
  <c r="AC425" i="63733" s="1"/>
  <c r="AB425" i="63733" s="1"/>
  <c r="AB426" i="63733" s="1"/>
  <c r="AC369" i="63733"/>
  <c r="AO333" i="63733"/>
  <c r="AL340" i="63733"/>
  <c r="AE340" i="63733"/>
  <c r="AF384" i="63733"/>
  <c r="AF392" i="63733"/>
  <c r="AF393" i="63733" s="1"/>
  <c r="AF400" i="63733" s="1"/>
  <c r="AF383" i="63733"/>
  <c r="AF350" i="63733"/>
  <c r="AC411" i="63733"/>
  <c r="AC407" i="63733"/>
  <c r="AB407" i="63733" s="1"/>
  <c r="AC26" i="63733"/>
  <c r="AC18" i="63733"/>
  <c r="O36" i="63836" a="1"/>
  <c r="O36" i="63836" s="1"/>
  <c r="O35" i="63836" s="1"/>
  <c r="AI384" i="63733"/>
  <c r="AH340" i="63733"/>
  <c r="AI383" i="63733"/>
  <c r="AI350" i="63733"/>
  <c r="AB26" i="63733" l="1"/>
  <c r="AB27" i="63733" s="1"/>
  <c r="AC24" i="1336"/>
  <c r="AD24" i="1336" s="1"/>
  <c r="AC23" i="1336"/>
  <c r="AC205" i="1336"/>
  <c r="AF198" i="1336"/>
  <c r="AC361" i="63733"/>
  <c r="AC362" i="63733"/>
  <c r="AB409" i="63733"/>
  <c r="AB408" i="63733"/>
  <c r="AB7" i="1336"/>
  <c r="AB215" i="1336"/>
  <c r="AB72" i="1336"/>
  <c r="AB27" i="1336"/>
  <c r="AB33" i="1336"/>
  <c r="AB364" i="63733"/>
  <c r="AB358" i="63733"/>
  <c r="AB362" i="63733"/>
  <c r="AB361" i="63733"/>
  <c r="AC255" i="1336"/>
  <c r="AF64" i="1336"/>
  <c r="AC365" i="63733"/>
  <c r="AC366" i="63733"/>
  <c r="AC372" i="63733"/>
  <c r="AB372" i="63733" s="1"/>
  <c r="AL383" i="63733"/>
  <c r="AL384" i="63733"/>
  <c r="AL350" i="63733"/>
  <c r="AC13" i="63829"/>
  <c r="AC62" i="63829"/>
  <c r="AC63" i="63829" s="1"/>
  <c r="AO340" i="63733"/>
  <c r="AR333" i="63733"/>
  <c r="AC27" i="63733"/>
  <c r="AF352" i="63733"/>
  <c r="AF353" i="63733" s="1"/>
  <c r="AF10" i="63733"/>
  <c r="AF410" i="63733"/>
  <c r="AF368" i="63733"/>
  <c r="AF357" i="63733"/>
  <c r="AI352" i="63733"/>
  <c r="AI353" i="63733" s="1"/>
  <c r="AI10" i="63733"/>
  <c r="AG348" i="63733"/>
  <c r="AI410" i="63733"/>
  <c r="AI368" i="63733"/>
  <c r="AI357" i="63733"/>
  <c r="AC409" i="63733"/>
  <c r="AC408" i="63733"/>
  <c r="AH333" i="63733"/>
  <c r="AH338" i="63733" s="1"/>
  <c r="AH350" i="63733"/>
  <c r="G6" i="63836" a="1"/>
  <c r="G6" i="63836" s="1"/>
  <c r="I3" i="63832"/>
  <c r="K3" i="63832" s="1"/>
  <c r="AC72" i="1336"/>
  <c r="AC219" i="1336"/>
  <c r="AB219" i="1336" s="1"/>
  <c r="BJ41" i="63802"/>
  <c r="AC257" i="1336"/>
  <c r="AB257" i="1336" s="1"/>
  <c r="AB259" i="1336" s="1"/>
  <c r="AC49" i="63829"/>
  <c r="AE333" i="63733"/>
  <c r="AE338" i="63733" s="1"/>
  <c r="AE350" i="63733"/>
  <c r="AE352" i="63733" s="1"/>
  <c r="AE353" i="63733" s="1"/>
  <c r="AC426" i="63733"/>
  <c r="AF361" i="63733" l="1"/>
  <c r="AF205" i="1336"/>
  <c r="AI198" i="1336"/>
  <c r="AB373" i="63733"/>
  <c r="AB36" i="63733"/>
  <c r="AB374" i="63733"/>
  <c r="AB365" i="63733"/>
  <c r="AB366" i="63733"/>
  <c r="AF255" i="1336"/>
  <c r="AI64" i="1336"/>
  <c r="AI403" i="63733"/>
  <c r="AI12" i="63733"/>
  <c r="AF403" i="63733"/>
  <c r="AF12" i="63733"/>
  <c r="AH352" i="63733"/>
  <c r="AH353" i="63733" s="1"/>
  <c r="AC22" i="63829"/>
  <c r="AC113" i="1336"/>
  <c r="AB113" i="1336" s="1"/>
  <c r="AC10" i="63829"/>
  <c r="AI17" i="63733"/>
  <c r="AH10" i="63733"/>
  <c r="Q34" i="63836" a="1"/>
  <c r="Q34" i="63836" s="1"/>
  <c r="AC64" i="63829"/>
  <c r="AC71" i="63829"/>
  <c r="AC259" i="1336"/>
  <c r="AC220" i="1336"/>
  <c r="G44" i="63836" a="1"/>
  <c r="G44" i="63836" s="1"/>
  <c r="G59" i="63836" a="1"/>
  <c r="G59" i="63836" s="1"/>
  <c r="AH357" i="63733"/>
  <c r="AI407" i="63733"/>
  <c r="AI26" i="63733"/>
  <c r="AC17" i="1336"/>
  <c r="AH368" i="63733"/>
  <c r="AI423" i="63733"/>
  <c r="AI425" i="63733" s="1"/>
  <c r="AI369" i="63733"/>
  <c r="AI74" i="63829"/>
  <c r="AF407" i="63733"/>
  <c r="AE357" i="63733"/>
  <c r="AF26" i="63733"/>
  <c r="AC21" i="1336"/>
  <c r="AC15" i="1336"/>
  <c r="O59" i="63836" a="1"/>
  <c r="O59" i="63836" s="1"/>
  <c r="AH410" i="63733"/>
  <c r="AI411" i="63733"/>
  <c r="AE368" i="63733"/>
  <c r="AF369" i="63733"/>
  <c r="AF423" i="63733"/>
  <c r="AF425" i="63733" s="1"/>
  <c r="AF74" i="63829"/>
  <c r="AR340" i="63733"/>
  <c r="AU333" i="63733"/>
  <c r="AC374" i="63733"/>
  <c r="AC373" i="63733"/>
  <c r="AC36" i="63733"/>
  <c r="AF411" i="63733"/>
  <c r="AE410" i="63733"/>
  <c r="AO383" i="63733"/>
  <c r="AO384" i="63733"/>
  <c r="AO350" i="63733"/>
  <c r="AL352" i="63733"/>
  <c r="AL353" i="63733" s="1"/>
  <c r="AL410" i="63733"/>
  <c r="AL411" i="63733" s="1"/>
  <c r="AL10" i="63733"/>
  <c r="AL368" i="63733"/>
  <c r="AL357" i="63733"/>
  <c r="Z226" i="1336"/>
  <c r="AC19" i="1336"/>
  <c r="AF17" i="63733"/>
  <c r="P34" i="63836" a="1"/>
  <c r="P34" i="63836" s="1"/>
  <c r="AE10" i="63733"/>
  <c r="AI361" i="63733" l="1"/>
  <c r="AF360" i="63733"/>
  <c r="AL198" i="1336"/>
  <c r="AI205" i="1336"/>
  <c r="AC231" i="1336"/>
  <c r="AB220" i="1336"/>
  <c r="AB46" i="63733"/>
  <c r="AB404" i="63733"/>
  <c r="AB405" i="63733" s="1"/>
  <c r="AC75" i="63829"/>
  <c r="AB71" i="63829"/>
  <c r="AB75" i="63829" s="1"/>
  <c r="AC230" i="1336"/>
  <c r="AL64" i="1336"/>
  <c r="AI255" i="1336"/>
  <c r="AE17" i="63733"/>
  <c r="AE403" i="63733"/>
  <c r="AE12" i="63733"/>
  <c r="AE18" i="63733" s="1"/>
  <c r="AL403" i="63733"/>
  <c r="AL12" i="63733"/>
  <c r="AH12" i="63733"/>
  <c r="AH403" i="63733"/>
  <c r="P36" i="63836" a="1"/>
  <c r="P36" i="63836" s="1"/>
  <c r="P35" i="63836" s="1"/>
  <c r="AF6" i="1336"/>
  <c r="AD6" i="63733"/>
  <c r="AF18" i="63733"/>
  <c r="Q36" i="63836" a="1"/>
  <c r="Q36" i="63836" s="1"/>
  <c r="Q35" i="63836" s="1"/>
  <c r="AI18" i="63733"/>
  <c r="AI6" i="1336"/>
  <c r="AG6" i="63733"/>
  <c r="AL423" i="63733"/>
  <c r="AL425" i="63733" s="1"/>
  <c r="AL426" i="63733" s="1"/>
  <c r="AL369" i="63733"/>
  <c r="AL74" i="63829"/>
  <c r="AC404" i="63733"/>
  <c r="AC405" i="63733" s="1"/>
  <c r="AC46" i="63733"/>
  <c r="O42" i="63836" s="1" a="1"/>
  <c r="O42" i="63836" s="1"/>
  <c r="AU340" i="63733"/>
  <c r="AX333" i="63733"/>
  <c r="AC29" i="1336"/>
  <c r="AH17" i="63733"/>
  <c r="R34" i="63836" a="1"/>
  <c r="R34" i="63836" s="1"/>
  <c r="AL17" i="63733"/>
  <c r="AR384" i="63733"/>
  <c r="AR383" i="63733"/>
  <c r="AR350" i="63733"/>
  <c r="AR388" i="63733" s="1"/>
  <c r="AH412" i="63733"/>
  <c r="AH411" i="63733"/>
  <c r="AC14" i="63829"/>
  <c r="AD5" i="63829"/>
  <c r="AF5" i="63829"/>
  <c r="AF27" i="63733"/>
  <c r="AE26" i="63733"/>
  <c r="AI27" i="63733"/>
  <c r="AH26" i="63733"/>
  <c r="AC242" i="1336"/>
  <c r="I43" i="63807"/>
  <c r="G28" i="63836" a="1"/>
  <c r="G28" i="63836" s="1"/>
  <c r="AF426" i="63733"/>
  <c r="AE425" i="63733"/>
  <c r="AE426" i="63733" s="1"/>
  <c r="AE358" i="63733"/>
  <c r="AH358" i="63733" s="1"/>
  <c r="AH425" i="63733"/>
  <c r="AH426" i="63733" s="1"/>
  <c r="AI426" i="63733"/>
  <c r="AC114" i="1336"/>
  <c r="AB114" i="1336" s="1"/>
  <c r="AC159" i="1336"/>
  <c r="AB159" i="1336" s="1"/>
  <c r="AD17" i="63829"/>
  <c r="AF17" i="63829"/>
  <c r="X226" i="1336"/>
  <c r="Y226" i="1336"/>
  <c r="AE412" i="63733"/>
  <c r="AE411" i="63733"/>
  <c r="AH74" i="63829"/>
  <c r="AH423" i="63733"/>
  <c r="AH424" i="63733" s="1"/>
  <c r="AH370" i="63733"/>
  <c r="AH369" i="63733"/>
  <c r="AH407" i="63733"/>
  <c r="AI408" i="63733"/>
  <c r="AI409" i="63733"/>
  <c r="AL407" i="63733"/>
  <c r="AL26" i="63733"/>
  <c r="AO410" i="63733"/>
  <c r="AO411" i="63733" s="1"/>
  <c r="AO10" i="63733"/>
  <c r="AO352" i="63733"/>
  <c r="AO353" i="63733" s="1"/>
  <c r="AO368" i="63733"/>
  <c r="AO357" i="63733"/>
  <c r="AE423" i="63733"/>
  <c r="AE424" i="63733" s="1"/>
  <c r="AE369" i="63733"/>
  <c r="AE370" i="63733"/>
  <c r="AE74" i="63829"/>
  <c r="AF408" i="63733"/>
  <c r="AE407" i="63733"/>
  <c r="AF409" i="63733"/>
  <c r="AC229" i="1336"/>
  <c r="AB29" i="1336" l="1"/>
  <c r="AC30" i="1336"/>
  <c r="AE360" i="63733"/>
  <c r="AF364" i="63733"/>
  <c r="AF362" i="63733"/>
  <c r="AL361" i="63733"/>
  <c r="AI360" i="63733"/>
  <c r="AO198" i="1336"/>
  <c r="AL205" i="1336"/>
  <c r="AB242" i="1336"/>
  <c r="AB231" i="1336"/>
  <c r="AB229" i="1336"/>
  <c r="AB230" i="1336"/>
  <c r="AC69" i="1336"/>
  <c r="AC72" i="63829"/>
  <c r="AC73" i="63829" s="1"/>
  <c r="AO64" i="1336"/>
  <c r="AL255" i="1336"/>
  <c r="AH18" i="63733"/>
  <c r="AO17" i="63733"/>
  <c r="AO403" i="63733"/>
  <c r="AO12" i="63733"/>
  <c r="AI49" i="63829"/>
  <c r="AI151" i="1336"/>
  <c r="AI72" i="1336"/>
  <c r="BL41" i="63802"/>
  <c r="AI14" i="1336"/>
  <c r="AI18" i="1336"/>
  <c r="I6" i="63836" a="1"/>
  <c r="I6" i="63836" s="1"/>
  <c r="AI7" i="1336"/>
  <c r="Q59" i="63836" s="1" a="1"/>
  <c r="Q59" i="63836" s="1"/>
  <c r="AI20" i="1336"/>
  <c r="AI257" i="1336"/>
  <c r="AI171" i="1336"/>
  <c r="AI219" i="1336"/>
  <c r="AI16" i="1336"/>
  <c r="AH6" i="1336"/>
  <c r="AF171" i="1336"/>
  <c r="BK41" i="63802"/>
  <c r="AF257" i="1336"/>
  <c r="AF259" i="1336" s="1"/>
  <c r="AF18" i="1336"/>
  <c r="AF14" i="1336"/>
  <c r="AF49" i="63829"/>
  <c r="H6" i="63836" a="1"/>
  <c r="H6" i="63836" s="1"/>
  <c r="AF151" i="1336"/>
  <c r="AF20" i="1336"/>
  <c r="AF72" i="1336"/>
  <c r="L3" i="63832"/>
  <c r="N3" i="63832" s="1"/>
  <c r="AF16" i="1336"/>
  <c r="AF219" i="1336"/>
  <c r="AE6" i="1336"/>
  <c r="AE7" i="1336" s="1"/>
  <c r="AF7" i="1336"/>
  <c r="AL6" i="1336"/>
  <c r="AL18" i="63733"/>
  <c r="R36" i="63836" a="1"/>
  <c r="R36" i="63836" s="1"/>
  <c r="R35" i="63836" s="1"/>
  <c r="G29" i="63836" a="1"/>
  <c r="G29" i="63836" s="1"/>
  <c r="I44" i="63807"/>
  <c r="I47" i="63807" s="1"/>
  <c r="AO423" i="63733"/>
  <c r="AO425" i="63733" s="1"/>
  <c r="AO426" i="63733" s="1"/>
  <c r="AO369" i="63733"/>
  <c r="AO74" i="63829"/>
  <c r="AR352" i="63733"/>
  <c r="AR353" i="63733" s="1"/>
  <c r="AR356" i="63733" s="1"/>
  <c r="AR10" i="63733"/>
  <c r="AR410" i="63733"/>
  <c r="AR411" i="63733" s="1"/>
  <c r="AR368" i="63733"/>
  <c r="AR357" i="63733"/>
  <c r="AE408" i="63733"/>
  <c r="AE409" i="63733"/>
  <c r="G50" i="63836" a="1"/>
  <c r="G50" i="63836" s="1"/>
  <c r="AC118" i="1336"/>
  <c r="AB118" i="1336" s="1"/>
  <c r="AH27" i="63733"/>
  <c r="G48" i="63836" a="1"/>
  <c r="G48" i="63836" s="1"/>
  <c r="AC163" i="1336"/>
  <c r="AB163" i="1336" s="1"/>
  <c r="AX340" i="63733"/>
  <c r="BA333" i="63733"/>
  <c r="AH408" i="63733"/>
  <c r="AH409" i="63733"/>
  <c r="AO407" i="63733"/>
  <c r="AO26" i="63733"/>
  <c r="AL27" i="63733"/>
  <c r="AC243" i="1336"/>
  <c r="AB243" i="1336" s="1"/>
  <c r="AU383" i="63733"/>
  <c r="AU384" i="63733"/>
  <c r="AU350" i="63733"/>
  <c r="AC120" i="1336"/>
  <c r="AL408" i="63733"/>
  <c r="AL409" i="63733"/>
  <c r="AF20" i="63829"/>
  <c r="AE27" i="63733"/>
  <c r="I6" i="63832"/>
  <c r="K6" i="63832" s="1"/>
  <c r="G10" i="63836" a="1"/>
  <c r="G10" i="63836" s="1"/>
  <c r="AC106" i="1336"/>
  <c r="AC140" i="1336" s="1"/>
  <c r="I32" i="63807"/>
  <c r="AO361" i="63733" l="1"/>
  <c r="AL360" i="63733"/>
  <c r="AF366" i="63733"/>
  <c r="AF365" i="63733"/>
  <c r="AF372" i="63733"/>
  <c r="AE362" i="63733"/>
  <c r="AE364" i="63733"/>
  <c r="AE361" i="63733"/>
  <c r="AI364" i="63733"/>
  <c r="AI362" i="63733"/>
  <c r="AH360" i="63733"/>
  <c r="AR198" i="1336"/>
  <c r="AO205" i="1336"/>
  <c r="AF18" i="63829"/>
  <c r="AF22" i="63829" s="1"/>
  <c r="AI17" i="63829" s="1"/>
  <c r="AF52" i="63829"/>
  <c r="AF58" i="63829" s="1"/>
  <c r="AB244" i="1336"/>
  <c r="AB223" i="1336" s="1"/>
  <c r="AR64" i="1336"/>
  <c r="AO255" i="1336"/>
  <c r="AE14" i="1336"/>
  <c r="AF15" i="1336"/>
  <c r="AE20" i="1336"/>
  <c r="AE21" i="1336" s="1"/>
  <c r="AF21" i="1336"/>
  <c r="AE18" i="1336"/>
  <c r="AF19" i="1336"/>
  <c r="P59" i="63836" a="1"/>
  <c r="P59" i="63836" s="1"/>
  <c r="AE16" i="1336"/>
  <c r="AF17" i="1336"/>
  <c r="AR17" i="63733"/>
  <c r="AR12" i="63733"/>
  <c r="AR403" i="63733"/>
  <c r="J6" i="63836" a="1"/>
  <c r="J6" i="63836" s="1"/>
  <c r="AL20" i="1336"/>
  <c r="AL21" i="1336" s="1"/>
  <c r="AL18" i="1336"/>
  <c r="AL19" i="1336" s="1"/>
  <c r="AL257" i="1336"/>
  <c r="AL219" i="1336"/>
  <c r="AI226" i="1336" s="1"/>
  <c r="AH226" i="1336" s="1"/>
  <c r="AL171" i="1336"/>
  <c r="AL7" i="1336"/>
  <c r="R59" i="63836" s="1" a="1"/>
  <c r="R59" i="63836" s="1"/>
  <c r="AL16" i="1336"/>
  <c r="AL17" i="1336" s="1"/>
  <c r="AL14" i="1336"/>
  <c r="AL49" i="63829"/>
  <c r="BM41" i="63802"/>
  <c r="AL151" i="1336"/>
  <c r="AL72" i="1336"/>
  <c r="AE72" i="1336"/>
  <c r="AC226" i="1336"/>
  <c r="AE219" i="1336"/>
  <c r="H44" i="63836" a="1"/>
  <c r="H44" i="63836" s="1"/>
  <c r="AE151" i="1336"/>
  <c r="AF6" i="63829"/>
  <c r="AF220" i="1336"/>
  <c r="AE257" i="1336"/>
  <c r="AE259" i="1336" s="1"/>
  <c r="H59" i="63836" a="1"/>
  <c r="H59" i="63836" s="1"/>
  <c r="AE171" i="1336"/>
  <c r="AH7" i="1336"/>
  <c r="AH72" i="1336"/>
  <c r="AI17" i="1336"/>
  <c r="AH16" i="1336"/>
  <c r="AF226" i="1336"/>
  <c r="AH219" i="1336"/>
  <c r="I59" i="63836" a="1"/>
  <c r="I59" i="63836" s="1"/>
  <c r="AH171" i="1336"/>
  <c r="AI259" i="1336"/>
  <c r="AI220" i="1336"/>
  <c r="AH257" i="1336"/>
  <c r="AI21" i="1336"/>
  <c r="AH20" i="1336"/>
  <c r="AI19" i="1336"/>
  <c r="AH18" i="1336"/>
  <c r="AI15" i="1336"/>
  <c r="AH14" i="1336"/>
  <c r="I44" i="63836" a="1"/>
  <c r="I44" i="63836" s="1"/>
  <c r="AH151" i="1336"/>
  <c r="AI6" i="63829"/>
  <c r="AI18" i="63829"/>
  <c r="AI52" i="63829"/>
  <c r="AI58" i="63829" s="1"/>
  <c r="AO6" i="1336"/>
  <c r="AO18" i="63733"/>
  <c r="AC244" i="1336"/>
  <c r="AF241" i="1336" s="1"/>
  <c r="G24" i="63836" a="1"/>
  <c r="G24" i="63836" s="1"/>
  <c r="BJ43" i="63802"/>
  <c r="BA340" i="63733"/>
  <c r="BD333" i="63733"/>
  <c r="G54" i="63836" a="1"/>
  <c r="G54" i="63836" s="1"/>
  <c r="G53" i="63836" s="1"/>
  <c r="AR407" i="63733"/>
  <c r="AR26" i="63733"/>
  <c r="AX383" i="63733"/>
  <c r="AX384" i="63733"/>
  <c r="AX350" i="63733"/>
  <c r="AR423" i="63733"/>
  <c r="AR425" i="63733" s="1"/>
  <c r="AR426" i="63733" s="1"/>
  <c r="AR369" i="63733"/>
  <c r="AR74" i="63829"/>
  <c r="AD20" i="63829"/>
  <c r="AF68" i="63829"/>
  <c r="AF7" i="63829" s="1"/>
  <c r="AF62" i="63829" s="1"/>
  <c r="AO27" i="63733"/>
  <c r="AU10" i="63733"/>
  <c r="AU410" i="63733"/>
  <c r="AU411" i="63733" s="1"/>
  <c r="AU352" i="63733"/>
  <c r="AU353" i="63733" s="1"/>
  <c r="AU357" i="63733"/>
  <c r="AU368" i="63733"/>
  <c r="AO408" i="63733"/>
  <c r="AO409" i="63733"/>
  <c r="G31" i="63836" a="1"/>
  <c r="G31" i="63836" s="1"/>
  <c r="AH364" i="63733" l="1"/>
  <c r="AH361" i="63733"/>
  <c r="AH362" i="63733"/>
  <c r="AE372" i="63733"/>
  <c r="AF373" i="63733"/>
  <c r="AF36" i="63733"/>
  <c r="AF374" i="63733"/>
  <c r="AI365" i="63733"/>
  <c r="AI366" i="63733"/>
  <c r="AI372" i="63733"/>
  <c r="AL362" i="63733"/>
  <c r="AL364" i="63733"/>
  <c r="AE365" i="63733"/>
  <c r="AE366" i="63733"/>
  <c r="AR361" i="63733"/>
  <c r="AO360" i="63733"/>
  <c r="AU198" i="1336"/>
  <c r="AR205" i="1336"/>
  <c r="AA226" i="1336"/>
  <c r="AB226" i="1336"/>
  <c r="AU64" i="1336"/>
  <c r="AR255" i="1336"/>
  <c r="AD241" i="1336"/>
  <c r="AD244" i="1336" s="1"/>
  <c r="AE241" i="1336" s="1"/>
  <c r="AC223" i="1336"/>
  <c r="AG17" i="63829"/>
  <c r="AF25" i="63829"/>
  <c r="AF159" i="1336" s="1"/>
  <c r="AH21" i="1336"/>
  <c r="AF230" i="1336"/>
  <c r="AF229" i="1336"/>
  <c r="AE65" i="1336"/>
  <c r="AE19" i="1336"/>
  <c r="AI231" i="1336"/>
  <c r="AI230" i="1336"/>
  <c r="AI229" i="1336"/>
  <c r="AE62" i="1336"/>
  <c r="AE15" i="1336"/>
  <c r="AH259" i="1336"/>
  <c r="AE64" i="1336"/>
  <c r="AE17" i="1336"/>
  <c r="AF231" i="1336"/>
  <c r="AU17" i="63733"/>
  <c r="AU403" i="63733"/>
  <c r="AU12" i="63733"/>
  <c r="AO257" i="1336"/>
  <c r="AO72" i="1336"/>
  <c r="AO151" i="1336"/>
  <c r="AO20" i="1336"/>
  <c r="AO21" i="1336" s="1"/>
  <c r="AO171" i="1336"/>
  <c r="AO49" i="63829"/>
  <c r="BN41" i="63802"/>
  <c r="AO14" i="1336"/>
  <c r="AO15" i="1336" s="1"/>
  <c r="AO18" i="1336"/>
  <c r="AO19" i="1336" s="1"/>
  <c r="AO16" i="1336"/>
  <c r="AO17" i="1336" s="1"/>
  <c r="AO219" i="1336"/>
  <c r="AL226" i="1336" s="1"/>
  <c r="AO226" i="1336" s="1"/>
  <c r="AR226" i="1336" s="1"/>
  <c r="AU226" i="1336" s="1"/>
  <c r="AX226" i="1336" s="1"/>
  <c r="BA226" i="1336" s="1"/>
  <c r="BD226" i="1336" s="1"/>
  <c r="BG226" i="1336" s="1"/>
  <c r="BJ226" i="1336" s="1"/>
  <c r="AO7" i="1336"/>
  <c r="AI114" i="1336"/>
  <c r="AG58" i="63829"/>
  <c r="AG52" i="63829"/>
  <c r="AG113" i="1336" s="1"/>
  <c r="AI113" i="1336"/>
  <c r="AH15" i="1336"/>
  <c r="AH62" i="1336"/>
  <c r="AH19" i="1336"/>
  <c r="AH65" i="1336"/>
  <c r="AI242" i="1336"/>
  <c r="AI243" i="1336" s="1"/>
  <c r="AH220" i="1336"/>
  <c r="AH230" i="1336" s="1"/>
  <c r="AE226" i="1336"/>
  <c r="AG226" i="1336"/>
  <c r="AH64" i="1336"/>
  <c r="AH17" i="1336"/>
  <c r="AF242" i="1336"/>
  <c r="AF243" i="1336" s="1"/>
  <c r="AE220" i="1336"/>
  <c r="AE229" i="1336" s="1"/>
  <c r="AF114" i="1336"/>
  <c r="AD58" i="63829"/>
  <c r="AD114" i="1336" s="1"/>
  <c r="AF113" i="1336"/>
  <c r="AD52" i="63829"/>
  <c r="AD226" i="1336"/>
  <c r="J44" i="63836" a="1"/>
  <c r="J44" i="63836" s="1"/>
  <c r="AL6" i="63829"/>
  <c r="AL18" i="63829"/>
  <c r="AL52" i="63829"/>
  <c r="AL113" i="1336" s="1"/>
  <c r="AL15" i="1336"/>
  <c r="J59" i="63836" a="1"/>
  <c r="J59" i="63836" s="1"/>
  <c r="AL259" i="1336"/>
  <c r="AL220" i="1336"/>
  <c r="AL229" i="1336" s="1"/>
  <c r="AR6" i="1336"/>
  <c r="AR18" i="63733"/>
  <c r="AD68" i="63829"/>
  <c r="AD69" i="63829" s="1"/>
  <c r="AR408" i="63733"/>
  <c r="AR409" i="63733"/>
  <c r="AI20" i="63829"/>
  <c r="AI22" i="63829" s="1"/>
  <c r="BD340" i="63733"/>
  <c r="BG333" i="63733"/>
  <c r="AF69" i="63829"/>
  <c r="AF10" i="63829"/>
  <c r="BA383" i="63733"/>
  <c r="BA384" i="63733"/>
  <c r="BA350" i="63733"/>
  <c r="AX410" i="63733"/>
  <c r="AX411" i="63733" s="1"/>
  <c r="AX352" i="63733"/>
  <c r="AX353" i="63733" s="1"/>
  <c r="AX10" i="63733"/>
  <c r="AX368" i="63733"/>
  <c r="AX357" i="63733"/>
  <c r="AR27" i="63733"/>
  <c r="AU423" i="63733"/>
  <c r="AU425" i="63733" s="1"/>
  <c r="AU426" i="63733" s="1"/>
  <c r="AU369" i="63733"/>
  <c r="AU74" i="63829"/>
  <c r="AU407" i="63733"/>
  <c r="AU26" i="63733"/>
  <c r="H50" i="63836" l="1" a="1"/>
  <c r="H50" i="63836" s="1"/>
  <c r="AO362" i="63733"/>
  <c r="AO364" i="63733"/>
  <c r="AH372" i="63733"/>
  <c r="AG371" i="63733"/>
  <c r="AI374" i="63733"/>
  <c r="AI36" i="63733"/>
  <c r="AI373" i="63733"/>
  <c r="AU361" i="63733"/>
  <c r="AR360" i="63733"/>
  <c r="AE373" i="63733"/>
  <c r="AE374" i="63733"/>
  <c r="AE36" i="63733"/>
  <c r="AE46" i="63733" s="1"/>
  <c r="AL365" i="63733"/>
  <c r="AL366" i="63733"/>
  <c r="AL372" i="63733"/>
  <c r="AF46" i="63733"/>
  <c r="P42" i="63836" s="1" a="1"/>
  <c r="P42" i="63836" s="1"/>
  <c r="AH366" i="63733"/>
  <c r="AH365" i="63733"/>
  <c r="AF118" i="1336"/>
  <c r="AX198" i="1336"/>
  <c r="AU205" i="1336"/>
  <c r="AD223" i="1336"/>
  <c r="AE159" i="1336"/>
  <c r="AX64" i="1336"/>
  <c r="AU255" i="1336"/>
  <c r="AL231" i="1336"/>
  <c r="AL230" i="1336"/>
  <c r="AH242" i="1336"/>
  <c r="AH231" i="1336"/>
  <c r="AH229" i="1336"/>
  <c r="AL58" i="63829"/>
  <c r="AL114" i="1336" s="1"/>
  <c r="L44" i="63807" s="1"/>
  <c r="AE242" i="1336"/>
  <c r="AE231" i="1336"/>
  <c r="AE230" i="1336"/>
  <c r="AF244" i="1336"/>
  <c r="AX17" i="63733"/>
  <c r="AX403" i="63733"/>
  <c r="AX12" i="63733"/>
  <c r="AR257" i="1336"/>
  <c r="AR7" i="1336"/>
  <c r="AR14" i="1336"/>
  <c r="AR15" i="1336" s="1"/>
  <c r="AR171" i="1336"/>
  <c r="BO41" i="63802"/>
  <c r="AR18" i="1336"/>
  <c r="AR19" i="1336" s="1"/>
  <c r="AR72" i="1336"/>
  <c r="AR20" i="1336"/>
  <c r="AR21" i="1336" s="1"/>
  <c r="AR49" i="63829"/>
  <c r="AR151" i="1336"/>
  <c r="AR219" i="1336"/>
  <c r="AR16" i="1336"/>
  <c r="AR17" i="1336" s="1"/>
  <c r="AL242" i="1336"/>
  <c r="AL243" i="1336" s="1"/>
  <c r="AL249" i="1336" s="1"/>
  <c r="L43" i="63807"/>
  <c r="J28" i="63836" a="1"/>
  <c r="J28" i="63836" s="1"/>
  <c r="AD113" i="1336"/>
  <c r="AE113" i="1336" s="1"/>
  <c r="AD49" i="63829"/>
  <c r="H28" i="63836" a="1"/>
  <c r="H28" i="63836" s="1"/>
  <c r="J43" i="63807"/>
  <c r="AF120" i="1336"/>
  <c r="AE114" i="1336"/>
  <c r="J44" i="63807"/>
  <c r="H29" i="63836" a="1"/>
  <c r="H29" i="63836" s="1"/>
  <c r="AF249" i="1336"/>
  <c r="AF250" i="1336" s="1"/>
  <c r="AE243" i="1336"/>
  <c r="AI249" i="1336"/>
  <c r="AH243" i="1336"/>
  <c r="AI118" i="1336"/>
  <c r="AH113" i="1336"/>
  <c r="AI120" i="1336"/>
  <c r="K43" i="63807"/>
  <c r="I28" i="63836" a="1"/>
  <c r="I28" i="63836" s="1"/>
  <c r="AG49" i="63829"/>
  <c r="AG114" i="1336"/>
  <c r="AH114" i="1336" s="1"/>
  <c r="K44" i="63807"/>
  <c r="I29" i="63836" a="1"/>
  <c r="I29" i="63836" s="1"/>
  <c r="AO6" i="63829"/>
  <c r="AO52" i="63829"/>
  <c r="AO113" i="1336" s="1"/>
  <c r="AO18" i="63829"/>
  <c r="AO220" i="1336"/>
  <c r="AO259" i="1336"/>
  <c r="AU18" i="63733"/>
  <c r="AU6" i="1336"/>
  <c r="AL17" i="63829"/>
  <c r="AL20" i="63829" s="1"/>
  <c r="AI25" i="63829"/>
  <c r="AI159" i="1336" s="1"/>
  <c r="AG5" i="63829"/>
  <c r="AF157" i="1336"/>
  <c r="AF14" i="63829"/>
  <c r="AI5" i="63829"/>
  <c r="AU27" i="63733"/>
  <c r="BJ333" i="63733"/>
  <c r="BJ340" i="63733" s="1"/>
  <c r="BG340" i="63733"/>
  <c r="BD383" i="63733"/>
  <c r="BD384" i="63733"/>
  <c r="BD350" i="63733"/>
  <c r="AG20" i="63829"/>
  <c r="AI68" i="63829"/>
  <c r="AU408" i="63733"/>
  <c r="AU409" i="63733"/>
  <c r="BA410" i="63733"/>
  <c r="BA411" i="63733" s="1"/>
  <c r="BA10" i="63733"/>
  <c r="BA352" i="63733"/>
  <c r="BA353" i="63733" s="1"/>
  <c r="BA368" i="63733"/>
  <c r="BA357" i="63733"/>
  <c r="AD7" i="63829"/>
  <c r="AF63" i="63829"/>
  <c r="AF13" i="63829"/>
  <c r="AX407" i="63733"/>
  <c r="AX26" i="63733"/>
  <c r="AX423" i="63733"/>
  <c r="AX425" i="63733" s="1"/>
  <c r="AX426" i="63733" s="1"/>
  <c r="AX74" i="63829"/>
  <c r="AX369" i="63733"/>
  <c r="AL373" i="63733" l="1"/>
  <c r="AL374" i="63733"/>
  <c r="AL36" i="63733"/>
  <c r="AR362" i="63733"/>
  <c r="AR364" i="63733"/>
  <c r="AH373" i="63733"/>
  <c r="AH36" i="63733"/>
  <c r="AH46" i="63733" s="1"/>
  <c r="AH374" i="63733"/>
  <c r="D8" i="63808"/>
  <c r="AI46" i="63733"/>
  <c r="Q42" i="63836" s="1" a="1"/>
  <c r="Q42" i="63836" s="1"/>
  <c r="AX361" i="63733"/>
  <c r="AU360" i="63733"/>
  <c r="AO372" i="63733"/>
  <c r="AO366" i="63733"/>
  <c r="AO365" i="63733"/>
  <c r="BA198" i="1336"/>
  <c r="AX205" i="1336"/>
  <c r="BA64" i="1336"/>
  <c r="AX255" i="1336"/>
  <c r="L47" i="63807"/>
  <c r="J47" i="63807"/>
  <c r="AG118" i="1336"/>
  <c r="AH118" i="1336" s="1"/>
  <c r="AO58" i="63829"/>
  <c r="AO114" i="1336" s="1"/>
  <c r="M44" i="63807" s="1"/>
  <c r="AE244" i="1336"/>
  <c r="AE223" i="1336" s="1"/>
  <c r="I50" i="63836" a="1"/>
  <c r="I50" i="63836" s="1"/>
  <c r="AF223" i="1336"/>
  <c r="AI241" i="1336"/>
  <c r="AI244" i="1336" s="1"/>
  <c r="AG241" i="1336"/>
  <c r="AG244" i="1336" s="1"/>
  <c r="AL120" i="1336"/>
  <c r="J29" i="63836" a="1"/>
  <c r="J29" i="63836" s="1"/>
  <c r="AO242" i="1336"/>
  <c r="AO243" i="1336" s="1"/>
  <c r="AO249" i="1336" s="1"/>
  <c r="AO230" i="1336"/>
  <c r="AO229" i="1336"/>
  <c r="AO231" i="1336"/>
  <c r="AH159" i="1336"/>
  <c r="K47" i="63807"/>
  <c r="AG120" i="1336"/>
  <c r="AL118" i="1336"/>
  <c r="BA17" i="63733"/>
  <c r="BA12" i="63733"/>
  <c r="BA403" i="63733"/>
  <c r="AU257" i="1336"/>
  <c r="AU20" i="1336"/>
  <c r="AU21" i="1336" s="1"/>
  <c r="AU16" i="1336"/>
  <c r="AU17" i="1336" s="1"/>
  <c r="AU49" i="63829"/>
  <c r="AU7" i="1336"/>
  <c r="AU171" i="1336"/>
  <c r="AU18" i="1336"/>
  <c r="AU19" i="1336" s="1"/>
  <c r="AU14" i="1336"/>
  <c r="AU15" i="1336" s="1"/>
  <c r="AU72" i="1336"/>
  <c r="AU219" i="1336"/>
  <c r="AU151" i="1336"/>
  <c r="M43" i="63807"/>
  <c r="AG18" i="63829"/>
  <c r="AG22" i="63829" s="1"/>
  <c r="AG25" i="63829" s="1"/>
  <c r="AG159" i="1336" s="1"/>
  <c r="AG6" i="63829"/>
  <c r="AG50" i="63829"/>
  <c r="I31" i="63836" a="1"/>
  <c r="I31" i="63836" s="1"/>
  <c r="AE250" i="1336"/>
  <c r="AF222" i="1336"/>
  <c r="AI247" i="1336"/>
  <c r="AI250" i="1336" s="1"/>
  <c r="AG247" i="1336"/>
  <c r="AG249" i="1336" s="1"/>
  <c r="H31" i="63836" a="1"/>
  <c r="H31" i="63836" s="1"/>
  <c r="AD18" i="63829"/>
  <c r="AD22" i="63829" s="1"/>
  <c r="AD25" i="63829" s="1"/>
  <c r="AD159" i="1336" s="1"/>
  <c r="AD6" i="63829"/>
  <c r="AD10" i="63829" s="1"/>
  <c r="AD157" i="1336" s="1"/>
  <c r="AD50" i="63829"/>
  <c r="AD118" i="1336"/>
  <c r="AD120" i="1336"/>
  <c r="AR52" i="63829"/>
  <c r="AR113" i="1336" s="1"/>
  <c r="AR6" i="63829"/>
  <c r="AR18" i="63829"/>
  <c r="AR259" i="1336"/>
  <c r="AR220" i="1336"/>
  <c r="AR242" i="1336" s="1"/>
  <c r="AR243" i="1336" s="1"/>
  <c r="AR249" i="1336" s="1"/>
  <c r="AX6" i="1336"/>
  <c r="AX18" i="63733"/>
  <c r="AD62" i="63829"/>
  <c r="AD63" i="63829" s="1"/>
  <c r="AD64" i="63829" s="1"/>
  <c r="AG68" i="63829"/>
  <c r="AG69" i="63829" s="1"/>
  <c r="H48" i="63836" a="1"/>
  <c r="H48" i="63836" s="1"/>
  <c r="AE157" i="1336"/>
  <c r="AF163" i="1336"/>
  <c r="AL22" i="63829"/>
  <c r="AF12" i="63829"/>
  <c r="AL68" i="63829"/>
  <c r="BJ383" i="63733"/>
  <c r="BJ384" i="63733"/>
  <c r="BJ350" i="63733"/>
  <c r="AX27" i="63733"/>
  <c r="AF64" i="63829"/>
  <c r="AF71" i="63829"/>
  <c r="AI69" i="63829"/>
  <c r="AI7" i="63829"/>
  <c r="AI10" i="63829" s="1"/>
  <c r="AX408" i="63733"/>
  <c r="AX409" i="63733"/>
  <c r="BD410" i="63733"/>
  <c r="BD411" i="63733" s="1"/>
  <c r="BD352" i="63733"/>
  <c r="BD353" i="63733" s="1"/>
  <c r="BD10" i="63733"/>
  <c r="BD368" i="63733"/>
  <c r="BD357" i="63733"/>
  <c r="BA407" i="63733"/>
  <c r="BA26" i="63733"/>
  <c r="BA423" i="63733"/>
  <c r="BA425" i="63733" s="1"/>
  <c r="BA426" i="63733" s="1"/>
  <c r="BA74" i="63829"/>
  <c r="BA369" i="63733"/>
  <c r="BG384" i="63733"/>
  <c r="BG383" i="63733"/>
  <c r="BG350" i="63733"/>
  <c r="AU362" i="63733" l="1"/>
  <c r="AU364" i="63733"/>
  <c r="BA361" i="63733"/>
  <c r="AX360" i="63733"/>
  <c r="AR366" i="63733"/>
  <c r="AR372" i="63733"/>
  <c r="AR365" i="63733"/>
  <c r="AO36" i="63733"/>
  <c r="AO46" i="63733" s="1"/>
  <c r="AO373" i="63733"/>
  <c r="AO374" i="63733"/>
  <c r="I8" i="63808"/>
  <c r="B8" i="63842"/>
  <c r="D8" i="63842" s="1"/>
  <c r="AL46" i="63733"/>
  <c r="R42" i="63836" s="1" a="1"/>
  <c r="R42" i="63836" s="1"/>
  <c r="BD198" i="1336"/>
  <c r="BA205" i="1336"/>
  <c r="AE118" i="1336"/>
  <c r="AO120" i="1336"/>
  <c r="AO118" i="1336"/>
  <c r="AR58" i="63829"/>
  <c r="AR114" i="1336" s="1"/>
  <c r="N44" i="63807" s="1"/>
  <c r="BD64" i="1336"/>
  <c r="BA255" i="1336"/>
  <c r="M47" i="63807"/>
  <c r="AD163" i="1336"/>
  <c r="AD71" i="63829"/>
  <c r="AE71" i="63829" s="1"/>
  <c r="AE75" i="63829" s="1"/>
  <c r="AR230" i="1336"/>
  <c r="J31" i="63836" a="1"/>
  <c r="J31" i="63836" s="1"/>
  <c r="AR231" i="1336"/>
  <c r="AI223" i="1336"/>
  <c r="AL241" i="1336"/>
  <c r="AL244" i="1336" s="1"/>
  <c r="AH241" i="1336"/>
  <c r="AH244" i="1336" s="1"/>
  <c r="AH223" i="1336" s="1"/>
  <c r="AG223" i="1336"/>
  <c r="AR229" i="1336"/>
  <c r="BD17" i="63733"/>
  <c r="BD12" i="63733"/>
  <c r="BD6" i="1336" s="1"/>
  <c r="BD403" i="63733"/>
  <c r="AX257" i="1336"/>
  <c r="AX16" i="1336"/>
  <c r="AX17" i="1336" s="1"/>
  <c r="AX72" i="1336"/>
  <c r="AX20" i="1336"/>
  <c r="AX21" i="1336" s="1"/>
  <c r="AX171" i="1336"/>
  <c r="AX219" i="1336"/>
  <c r="AX49" i="63829"/>
  <c r="AX18" i="1336"/>
  <c r="AX19" i="1336" s="1"/>
  <c r="AX14" i="1336"/>
  <c r="AX15" i="1336" s="1"/>
  <c r="AX151" i="1336"/>
  <c r="AX7" i="1336"/>
  <c r="N43" i="63807"/>
  <c r="AI222" i="1336"/>
  <c r="AL221" i="1336" s="1"/>
  <c r="AH250" i="1336"/>
  <c r="AL247" i="1336"/>
  <c r="AL250" i="1336" s="1"/>
  <c r="AI221" i="1336"/>
  <c r="AG221" i="1336"/>
  <c r="AE222" i="1336"/>
  <c r="AE249" i="1336"/>
  <c r="AU18" i="63829"/>
  <c r="AU52" i="63829"/>
  <c r="AU113" i="1336" s="1"/>
  <c r="AU6" i="63829"/>
  <c r="AU259" i="1336"/>
  <c r="AU220" i="1336"/>
  <c r="BA18" i="63733"/>
  <c r="BA6" i="1336"/>
  <c r="AI157" i="1336"/>
  <c r="AL5" i="63829"/>
  <c r="AI14" i="63829"/>
  <c r="H54" i="63836" a="1"/>
  <c r="H54" i="63836" s="1"/>
  <c r="H53" i="63836" s="1"/>
  <c r="AE163" i="1336"/>
  <c r="AL25" i="63829"/>
  <c r="AL159" i="1336" s="1"/>
  <c r="AO17" i="63829"/>
  <c r="BG410" i="63733"/>
  <c r="BG411" i="63733" s="1"/>
  <c r="BG352" i="63733"/>
  <c r="BG353" i="63733" s="1"/>
  <c r="BG10" i="63733"/>
  <c r="BG368" i="63733"/>
  <c r="BG357" i="63733"/>
  <c r="AG7" i="63829"/>
  <c r="AI62" i="63829"/>
  <c r="AI63" i="63829" s="1"/>
  <c r="BD407" i="63733"/>
  <c r="BD26" i="63733"/>
  <c r="BD423" i="63733"/>
  <c r="BD425" i="63733" s="1"/>
  <c r="BD426" i="63733" s="1"/>
  <c r="BD369" i="63733"/>
  <c r="BD74" i="63829"/>
  <c r="AL69" i="63829"/>
  <c r="AL7" i="63829"/>
  <c r="AL62" i="63829" s="1"/>
  <c r="AL63" i="63829" s="1"/>
  <c r="BA27" i="63733"/>
  <c r="BA408" i="63733"/>
  <c r="BA409" i="63733"/>
  <c r="AF75" i="63829"/>
  <c r="AF29" i="1336"/>
  <c r="AF30" i="1336" s="1"/>
  <c r="BJ352" i="63733"/>
  <c r="BJ353" i="63733" s="1"/>
  <c r="BJ410" i="63733"/>
  <c r="BJ10" i="63733"/>
  <c r="BJ357" i="63733"/>
  <c r="BJ368" i="63733"/>
  <c r="AI13" i="63829"/>
  <c r="AX362" i="63733" l="1"/>
  <c r="AX364" i="63733"/>
  <c r="BD361" i="63733"/>
  <c r="BA360" i="63733"/>
  <c r="AR374" i="63733"/>
  <c r="AR373" i="63733"/>
  <c r="AR36" i="63733"/>
  <c r="AR46" i="63733" s="1"/>
  <c r="AU372" i="63733"/>
  <c r="AU365" i="63733"/>
  <c r="AU366" i="63733"/>
  <c r="BG198" i="1336"/>
  <c r="BD205" i="1336"/>
  <c r="AR120" i="1336"/>
  <c r="AR118" i="1336"/>
  <c r="N47" i="63807"/>
  <c r="AD75" i="63829"/>
  <c r="AD29" i="1336"/>
  <c r="AE29" i="1336" s="1"/>
  <c r="AE69" i="1336" s="1"/>
  <c r="BJ411" i="63733"/>
  <c r="BG64" i="1336"/>
  <c r="BD255" i="1336"/>
  <c r="BD219" i="1336" s="1"/>
  <c r="AU58" i="63829"/>
  <c r="AU114" i="1336" s="1"/>
  <c r="O44" i="63807" s="1"/>
  <c r="AO241" i="1336"/>
  <c r="AO244" i="1336" s="1"/>
  <c r="AL223" i="1336"/>
  <c r="AL222" i="1336"/>
  <c r="AO221" i="1336" s="1"/>
  <c r="AO247" i="1336"/>
  <c r="AO250" i="1336" s="1"/>
  <c r="AU242" i="1336"/>
  <c r="AU243" i="1336" s="1"/>
  <c r="AU249" i="1336" s="1"/>
  <c r="AU230" i="1336"/>
  <c r="AU231" i="1336"/>
  <c r="AU229" i="1336"/>
  <c r="BD18" i="63733"/>
  <c r="BJ17" i="63733"/>
  <c r="BJ403" i="63733"/>
  <c r="BJ12" i="63733"/>
  <c r="BG17" i="63733"/>
  <c r="BG12" i="63733"/>
  <c r="BG403" i="63733"/>
  <c r="BA257" i="1336"/>
  <c r="BA49" i="63829"/>
  <c r="BA20" i="1336"/>
  <c r="BA21" i="1336" s="1"/>
  <c r="BA14" i="1336"/>
  <c r="BA15" i="1336" s="1"/>
  <c r="BA171" i="1336"/>
  <c r="BA151" i="1336"/>
  <c r="BA18" i="1336"/>
  <c r="BA19" i="1336" s="1"/>
  <c r="BA7" i="1336"/>
  <c r="BA72" i="1336"/>
  <c r="BA219" i="1336"/>
  <c r="BA16" i="1336"/>
  <c r="BA17" i="1336" s="1"/>
  <c r="O43" i="63807"/>
  <c r="AH221" i="1336"/>
  <c r="AH249" i="1336"/>
  <c r="AH222" i="1336"/>
  <c r="AX18" i="63829"/>
  <c r="AX52" i="63829"/>
  <c r="AX113" i="1336" s="1"/>
  <c r="AX6" i="63829"/>
  <c r="AX259" i="1336"/>
  <c r="AX220" i="1336"/>
  <c r="AX229" i="1336" s="1"/>
  <c r="BD257" i="1336"/>
  <c r="BD49" i="63829"/>
  <c r="BD151" i="1336"/>
  <c r="BD20" i="1336"/>
  <c r="BD18" i="1336"/>
  <c r="BD16" i="1336"/>
  <c r="BD14" i="1336"/>
  <c r="BD171" i="1336"/>
  <c r="BD72" i="1336"/>
  <c r="BD7" i="1336"/>
  <c r="AO20" i="63829"/>
  <c r="J50" i="63836" a="1"/>
  <c r="J50" i="63836" s="1"/>
  <c r="AL10" i="63829"/>
  <c r="AG62" i="63829"/>
  <c r="AG63" i="63829" s="1"/>
  <c r="AG64" i="63829" s="1"/>
  <c r="AG10" i="63829"/>
  <c r="AG157" i="1336" s="1"/>
  <c r="AG163" i="1336" s="1"/>
  <c r="I48" i="63836" a="1"/>
  <c r="I48" i="63836" s="1"/>
  <c r="AH157" i="1336"/>
  <c r="AI163" i="1336"/>
  <c r="BD408" i="63733"/>
  <c r="BD409" i="63733"/>
  <c r="AL13" i="63829"/>
  <c r="AI12" i="63829"/>
  <c r="BJ423" i="63733"/>
  <c r="BJ425" i="63733" s="1"/>
  <c r="BJ426" i="63733" s="1"/>
  <c r="BJ369" i="63733"/>
  <c r="BJ74" i="63829"/>
  <c r="L6" i="63832"/>
  <c r="N6" i="63832" s="1"/>
  <c r="AF69" i="1336"/>
  <c r="AF106" i="1336"/>
  <c r="J32" i="63807"/>
  <c r="H10" i="63836" a="1"/>
  <c r="H10" i="63836" s="1"/>
  <c r="BJ407" i="63733"/>
  <c r="BJ26" i="63733"/>
  <c r="BD27" i="63733"/>
  <c r="BG407" i="63733"/>
  <c r="BG26" i="63733"/>
  <c r="BG423" i="63733"/>
  <c r="BG425" i="63733" s="1"/>
  <c r="BG426" i="63733" s="1"/>
  <c r="BG369" i="63733"/>
  <c r="BG74" i="63829"/>
  <c r="AI64" i="63829"/>
  <c r="AI71" i="63829"/>
  <c r="AL64" i="63829"/>
  <c r="AL71" i="63829"/>
  <c r="BG361" i="63733" l="1"/>
  <c r="BD360" i="63733"/>
  <c r="AU36" i="63733"/>
  <c r="AU46" i="63733" s="1"/>
  <c r="AU373" i="63733"/>
  <c r="AU374" i="63733"/>
  <c r="AX365" i="63733"/>
  <c r="AX372" i="63733"/>
  <c r="AX366" i="63733"/>
  <c r="BA362" i="63733"/>
  <c r="BA364" i="63733"/>
  <c r="BJ198" i="1336"/>
  <c r="BJ205" i="1336" s="1"/>
  <c r="BG205" i="1336"/>
  <c r="AU118" i="1336"/>
  <c r="AD69" i="1336"/>
  <c r="AU120" i="1336"/>
  <c r="AD106" i="1336"/>
  <c r="AD140" i="1336" s="1"/>
  <c r="AD25" i="1336"/>
  <c r="BD15" i="1336"/>
  <c r="BD21" i="1336"/>
  <c r="AX58" i="63829"/>
  <c r="AX114" i="1336" s="1"/>
  <c r="P44" i="63807" s="1"/>
  <c r="BJ64" i="1336"/>
  <c r="BJ255" i="1336" s="1"/>
  <c r="BG255" i="1336"/>
  <c r="O47" i="63807"/>
  <c r="BD17" i="1336"/>
  <c r="AO223" i="1336"/>
  <c r="AR241" i="1336"/>
  <c r="AR244" i="1336" s="1"/>
  <c r="AO222" i="1336"/>
  <c r="AR221" i="1336" s="1"/>
  <c r="AR247" i="1336"/>
  <c r="AR250" i="1336" s="1"/>
  <c r="AJ64" i="63829"/>
  <c r="BD19" i="1336"/>
  <c r="AX242" i="1336"/>
  <c r="AX243" i="1336" s="1"/>
  <c r="AX249" i="1336" s="1"/>
  <c r="AX230" i="1336"/>
  <c r="AX231" i="1336"/>
  <c r="BD52" i="63829"/>
  <c r="BD113" i="1336" s="1"/>
  <c r="BD18" i="63829"/>
  <c r="BD6" i="63829"/>
  <c r="BD220" i="1336"/>
  <c r="BD242" i="1336" s="1"/>
  <c r="BD243" i="1336" s="1"/>
  <c r="BD249" i="1336" s="1"/>
  <c r="BD259" i="1336"/>
  <c r="P43" i="63807"/>
  <c r="BA18" i="63829"/>
  <c r="BA6" i="63829"/>
  <c r="BA52" i="63829"/>
  <c r="BA113" i="1336" s="1"/>
  <c r="BA259" i="1336"/>
  <c r="BA220" i="1336"/>
  <c r="BA230" i="1336" s="1"/>
  <c r="BG18" i="63733"/>
  <c r="BG6" i="1336"/>
  <c r="BJ18" i="63733"/>
  <c r="BJ6" i="1336"/>
  <c r="AG71" i="63829"/>
  <c r="AH71" i="63829" s="1"/>
  <c r="AH75" i="63829" s="1"/>
  <c r="I54" i="63836" a="1"/>
  <c r="I54" i="63836" s="1"/>
  <c r="I53" i="63836" s="1"/>
  <c r="AH163" i="1336"/>
  <c r="AO5" i="63829"/>
  <c r="AL14" i="63829"/>
  <c r="AL12" i="63829" s="1"/>
  <c r="AL157" i="1336"/>
  <c r="AO68" i="63829"/>
  <c r="AO22" i="63829"/>
  <c r="BJ409" i="63733"/>
  <c r="BJ408" i="63733"/>
  <c r="BG27" i="63733"/>
  <c r="AF140" i="1336"/>
  <c r="H24" i="63836" a="1"/>
  <c r="H24" i="63836" s="1"/>
  <c r="BK43" i="63802"/>
  <c r="AL75" i="63829"/>
  <c r="AL29" i="1336"/>
  <c r="BG408" i="63733"/>
  <c r="BG409" i="63733"/>
  <c r="AI29" i="1336"/>
  <c r="AI75" i="63829"/>
  <c r="BJ27" i="63733"/>
  <c r="BA365" i="63733" l="1"/>
  <c r="BA372" i="63733"/>
  <c r="BA366" i="63733"/>
  <c r="AX373" i="63733"/>
  <c r="AX36" i="63733"/>
  <c r="AX46" i="63733" s="1"/>
  <c r="AX374" i="63733"/>
  <c r="BD362" i="63733"/>
  <c r="BD364" i="63733"/>
  <c r="BJ361" i="63733"/>
  <c r="BJ360" i="63733" s="1"/>
  <c r="BG360" i="63733"/>
  <c r="AD27" i="1336"/>
  <c r="AD26" i="1336"/>
  <c r="AD99" i="1336"/>
  <c r="BA58" i="63829"/>
  <c r="BA114" i="1336" s="1"/>
  <c r="Q44" i="63807" s="1"/>
  <c r="P47" i="63807"/>
  <c r="AX118" i="1336"/>
  <c r="AX120" i="1336"/>
  <c r="BD58" i="63829"/>
  <c r="BD114" i="1336" s="1"/>
  <c r="R44" i="63807" s="1"/>
  <c r="BD230" i="1336"/>
  <c r="BD229" i="1336"/>
  <c r="AR223" i="1336"/>
  <c r="AU241" i="1336"/>
  <c r="AU244" i="1336" s="1"/>
  <c r="AG29" i="1336"/>
  <c r="AG106" i="1336" s="1"/>
  <c r="AG140" i="1336" s="1"/>
  <c r="AR222" i="1336"/>
  <c r="AU221" i="1336" s="1"/>
  <c r="AU247" i="1336"/>
  <c r="AU250" i="1336" s="1"/>
  <c r="AG75" i="63829"/>
  <c r="BA242" i="1336"/>
  <c r="BA243" i="1336" s="1"/>
  <c r="BA249" i="1336" s="1"/>
  <c r="BA229" i="1336"/>
  <c r="BA231" i="1336"/>
  <c r="BD231" i="1336"/>
  <c r="BJ257" i="1336"/>
  <c r="BJ219" i="1336"/>
  <c r="BJ20" i="1336"/>
  <c r="BJ16" i="1336"/>
  <c r="BJ7" i="1336"/>
  <c r="BJ18" i="1336"/>
  <c r="BJ171" i="1336"/>
  <c r="BJ49" i="63829"/>
  <c r="BJ14" i="1336"/>
  <c r="BJ151" i="1336"/>
  <c r="BJ72" i="1336"/>
  <c r="BG257" i="1336"/>
  <c r="BG171" i="1336"/>
  <c r="BG49" i="63829"/>
  <c r="BG72" i="1336"/>
  <c r="BG7" i="1336"/>
  <c r="BG219" i="1336"/>
  <c r="BG151" i="1336"/>
  <c r="BG16" i="1336"/>
  <c r="BG17" i="1336" s="1"/>
  <c r="BG20" i="1336"/>
  <c r="BG21" i="1336" s="1"/>
  <c r="BG14" i="1336"/>
  <c r="BG15" i="1336" s="1"/>
  <c r="BG18" i="1336"/>
  <c r="BG19" i="1336" s="1"/>
  <c r="Q43" i="63807"/>
  <c r="R43" i="63807"/>
  <c r="AL163" i="1336"/>
  <c r="J48" i="63836" a="1"/>
  <c r="J48" i="63836" s="1"/>
  <c r="AR17" i="63829"/>
  <c r="AO25" i="63829"/>
  <c r="AO159" i="1336" s="1"/>
  <c r="AO7" i="63829"/>
  <c r="AO10" i="63829" s="1"/>
  <c r="AO69" i="63829"/>
  <c r="J10" i="63836" a="1"/>
  <c r="J10" i="63836" s="1"/>
  <c r="AL106" i="1336"/>
  <c r="L32" i="63807"/>
  <c r="AL69" i="1336"/>
  <c r="I10" i="63836" a="1"/>
  <c r="I10" i="63836" s="1"/>
  <c r="AI106" i="1336"/>
  <c r="AI69" i="1336"/>
  <c r="K32" i="63807"/>
  <c r="BG362" i="63733" l="1"/>
  <c r="BG364" i="63733"/>
  <c r="BJ364" i="63733"/>
  <c r="BJ362" i="63733"/>
  <c r="BD365" i="63733"/>
  <c r="BD366" i="63733"/>
  <c r="BD372" i="63733"/>
  <c r="BA374" i="63733"/>
  <c r="BA373" i="63733"/>
  <c r="BA36" i="63733"/>
  <c r="BA46" i="63733" s="1"/>
  <c r="BA118" i="1336"/>
  <c r="BA120" i="1336"/>
  <c r="Q47" i="63807"/>
  <c r="BD118" i="1336"/>
  <c r="R47" i="63807"/>
  <c r="BD120" i="1336"/>
  <c r="AH29" i="1336"/>
  <c r="AH69" i="1336" s="1"/>
  <c r="AG25" i="1336"/>
  <c r="BJ19" i="1336"/>
  <c r="AU222" i="1336"/>
  <c r="AX221" i="1336" s="1"/>
  <c r="AX247" i="1336"/>
  <c r="AX250" i="1336" s="1"/>
  <c r="BJ15" i="1336"/>
  <c r="BJ21" i="1336"/>
  <c r="AU223" i="1336"/>
  <c r="AX241" i="1336"/>
  <c r="AX244" i="1336" s="1"/>
  <c r="BJ17" i="1336"/>
  <c r="AG69" i="1336"/>
  <c r="BG6" i="63829"/>
  <c r="BG52" i="63829"/>
  <c r="BG113" i="1336" s="1"/>
  <c r="BG18" i="63829"/>
  <c r="BG259" i="1336"/>
  <c r="BG220" i="1336"/>
  <c r="BJ6" i="63829"/>
  <c r="BJ18" i="63829"/>
  <c r="BJ52" i="63829"/>
  <c r="BJ113" i="1336" s="1"/>
  <c r="BJ220" i="1336"/>
  <c r="BJ259" i="1336"/>
  <c r="AR20" i="63829"/>
  <c r="AO157" i="1336"/>
  <c r="AO163" i="1336" s="1"/>
  <c r="AR5" i="63829"/>
  <c r="AO14" i="63829"/>
  <c r="AO62" i="63829"/>
  <c r="AO63" i="63829" s="1"/>
  <c r="AO13" i="63829"/>
  <c r="J54" i="63836" a="1"/>
  <c r="J54" i="63836" s="1"/>
  <c r="J53" i="63836" s="1"/>
  <c r="BL43" i="63802"/>
  <c r="AI140" i="1336"/>
  <c r="I24" i="63836" a="1"/>
  <c r="I24" i="63836" s="1"/>
  <c r="J24" i="63836" a="1"/>
  <c r="J24" i="63836" s="1"/>
  <c r="AL140" i="1336"/>
  <c r="BM43" i="63802"/>
  <c r="BJ366" i="63733" l="1"/>
  <c r="BJ365" i="63733"/>
  <c r="BJ372" i="63733"/>
  <c r="BG365" i="63733"/>
  <c r="BG366" i="63733"/>
  <c r="BG372" i="63733"/>
  <c r="BD374" i="63733"/>
  <c r="BD373" i="63733"/>
  <c r="BD36" i="63733"/>
  <c r="BD46" i="63733" s="1"/>
  <c r="AG99" i="1336"/>
  <c r="AG27" i="1336"/>
  <c r="AG26" i="1336"/>
  <c r="BJ58" i="63829"/>
  <c r="BJ114" i="1336" s="1"/>
  <c r="T44" i="63807" s="1"/>
  <c r="BG58" i="63829"/>
  <c r="BG114" i="1336" s="1"/>
  <c r="S44" i="63807" s="1"/>
  <c r="BA247" i="1336"/>
  <c r="BA250" i="1336" s="1"/>
  <c r="AX222" i="1336"/>
  <c r="BA221" i="1336" s="1"/>
  <c r="AX223" i="1336"/>
  <c r="BA241" i="1336"/>
  <c r="BA244" i="1336" s="1"/>
  <c r="BG242" i="1336"/>
  <c r="BG243" i="1336" s="1"/>
  <c r="BG249" i="1336" s="1"/>
  <c r="BG229" i="1336"/>
  <c r="BG230" i="1336"/>
  <c r="BG231" i="1336"/>
  <c r="BJ242" i="1336"/>
  <c r="BJ243" i="1336" s="1"/>
  <c r="BJ249" i="1336" s="1"/>
  <c r="BJ231" i="1336"/>
  <c r="BJ230" i="1336"/>
  <c r="BJ229" i="1336"/>
  <c r="T43" i="63807"/>
  <c r="S43" i="63807"/>
  <c r="AO12" i="63829"/>
  <c r="AR68" i="63829"/>
  <c r="AR22" i="63829"/>
  <c r="AO71" i="63829"/>
  <c r="AO64" i="63829"/>
  <c r="BG373" i="63733" l="1"/>
  <c r="BG374" i="63733"/>
  <c r="BG36" i="63733"/>
  <c r="BG46" i="63733" s="1"/>
  <c r="BJ374" i="63733"/>
  <c r="BJ36" i="63733"/>
  <c r="BJ46" i="63733" s="1"/>
  <c r="BJ373" i="63733"/>
  <c r="BG120" i="1336"/>
  <c r="BG118" i="1336"/>
  <c r="BJ118" i="1336"/>
  <c r="BJ120" i="1336"/>
  <c r="T47" i="63807"/>
  <c r="S47" i="63807"/>
  <c r="BD241" i="1336"/>
  <c r="BD244" i="1336" s="1"/>
  <c r="BA223" i="1336"/>
  <c r="BD247" i="1336"/>
  <c r="BD250" i="1336" s="1"/>
  <c r="BA222" i="1336"/>
  <c r="BD221" i="1336" s="1"/>
  <c r="AO75" i="63829"/>
  <c r="AO29" i="1336"/>
  <c r="AU17" i="63829"/>
  <c r="AR25" i="63829"/>
  <c r="AR159" i="1336" s="1"/>
  <c r="AR7" i="63829"/>
  <c r="AR69" i="63829"/>
  <c r="BD222" i="1336" l="1"/>
  <c r="BG221" i="1336" s="1"/>
  <c r="BG247" i="1336"/>
  <c r="BG250" i="1336" s="1"/>
  <c r="BD223" i="1336"/>
  <c r="BG241" i="1336"/>
  <c r="BG244" i="1336" s="1"/>
  <c r="AU20" i="63829"/>
  <c r="AR62" i="63829"/>
  <c r="AR63" i="63829" s="1"/>
  <c r="AR10" i="63829"/>
  <c r="AR13" i="63829"/>
  <c r="M32" i="63807"/>
  <c r="AO69" i="1336"/>
  <c r="AO106" i="1336"/>
  <c r="BG223" i="1336" l="1"/>
  <c r="BJ241" i="1336"/>
  <c r="BJ244" i="1336" s="1"/>
  <c r="BJ223" i="1336" s="1"/>
  <c r="BJ247" i="1336"/>
  <c r="BJ250" i="1336" s="1"/>
  <c r="BJ222" i="1336" s="1"/>
  <c r="BG222" i="1336"/>
  <c r="BJ221" i="1336" s="1"/>
  <c r="AR64" i="63829"/>
  <c r="AR71" i="63829"/>
  <c r="AO140" i="1336"/>
  <c r="BN43" i="63802"/>
  <c r="AU68" i="63829"/>
  <c r="AU5" i="63829"/>
  <c r="AR14" i="63829"/>
  <c r="AR12" i="63829" s="1"/>
  <c r="AR157" i="1336"/>
  <c r="AR163" i="1336" s="1"/>
  <c r="AU22" i="63829"/>
  <c r="AR29" i="1336" l="1"/>
  <c r="AR75" i="63829"/>
  <c r="AU69" i="63829"/>
  <c r="AU7" i="63829"/>
  <c r="AX17" i="63829"/>
  <c r="AU25" i="63829"/>
  <c r="AU159" i="1336" s="1"/>
  <c r="AU62" i="63829" l="1"/>
  <c r="AU63" i="63829" s="1"/>
  <c r="AU13" i="63829"/>
  <c r="AX20" i="63829"/>
  <c r="AX22" i="63829" s="1"/>
  <c r="AU10" i="63829"/>
  <c r="AR69" i="1336"/>
  <c r="AR106" i="1336"/>
  <c r="N32" i="63807"/>
  <c r="BA17" i="63829" l="1"/>
  <c r="BA20" i="63829" s="1"/>
  <c r="AX25" i="63829"/>
  <c r="AX159" i="1336" s="1"/>
  <c r="AU157" i="1336"/>
  <c r="AU163" i="1336" s="1"/>
  <c r="AX5" i="63829"/>
  <c r="AU14" i="63829"/>
  <c r="AU12" i="63829" s="1"/>
  <c r="AR140" i="1336"/>
  <c r="BO43" i="63802"/>
  <c r="AX68" i="63829"/>
  <c r="AU64" i="63829"/>
  <c r="AU71" i="63829"/>
  <c r="AX69" i="63829" l="1"/>
  <c r="AX7" i="63829"/>
  <c r="BA68" i="63829"/>
  <c r="AU75" i="63829"/>
  <c r="AU29" i="1336"/>
  <c r="BA22" i="63829"/>
  <c r="BA69" i="63829" l="1"/>
  <c r="BA7" i="63829"/>
  <c r="BA62" i="63829" s="1"/>
  <c r="BA63" i="63829" s="1"/>
  <c r="BA25" i="63829"/>
  <c r="BA159" i="1336" s="1"/>
  <c r="BD17" i="63829"/>
  <c r="AX62" i="63829"/>
  <c r="AX63" i="63829" s="1"/>
  <c r="AX13" i="63829"/>
  <c r="AU69" i="1336"/>
  <c r="O32" i="63807"/>
  <c r="AU106" i="1336"/>
  <c r="AU140" i="1336" s="1"/>
  <c r="AX10" i="63829"/>
  <c r="BA13" i="63829" l="1"/>
  <c r="AX71" i="63829"/>
  <c r="AX64" i="63829"/>
  <c r="BD20" i="63829"/>
  <c r="BD22" i="63829" s="1"/>
  <c r="AX157" i="1336"/>
  <c r="AX163" i="1336" s="1"/>
  <c r="AX14" i="63829"/>
  <c r="AX12" i="63829" s="1"/>
  <c r="BA5" i="63829"/>
  <c r="BA10" i="63829" s="1"/>
  <c r="BA71" i="63829"/>
  <c r="BA64" i="63829"/>
  <c r="BA75" i="63829" l="1"/>
  <c r="BA29" i="1336"/>
  <c r="BD68" i="63829"/>
  <c r="BG17" i="63829"/>
  <c r="BD25" i="63829"/>
  <c r="BD159" i="1336" s="1"/>
  <c r="BD5" i="63829"/>
  <c r="BA14" i="63829"/>
  <c r="BA12" i="63829" s="1"/>
  <c r="BA157" i="1336"/>
  <c r="BA163" i="1336" s="1"/>
  <c r="AX75" i="63829"/>
  <c r="AX29" i="1336"/>
  <c r="BA106" i="1336" l="1"/>
  <c r="BA140" i="1336" s="1"/>
  <c r="BA69" i="1336"/>
  <c r="Q32" i="63807"/>
  <c r="AX106" i="1336"/>
  <c r="AX69" i="1336"/>
  <c r="P32" i="63807"/>
  <c r="BG20" i="63829"/>
  <c r="BD69" i="63829"/>
  <c r="BD7" i="63829"/>
  <c r="BD10" i="63829" s="1"/>
  <c r="BG68" i="63829" l="1"/>
  <c r="BG5" i="63829"/>
  <c r="BD157" i="1336"/>
  <c r="BD163" i="1336" s="1"/>
  <c r="BD14" i="63829"/>
  <c r="BD62" i="63829"/>
  <c r="BD63" i="63829" s="1"/>
  <c r="BD13" i="63829"/>
  <c r="AX140" i="1336"/>
  <c r="BG22" i="63829"/>
  <c r="BJ17" i="63829" l="1"/>
  <c r="BG25" i="63829"/>
  <c r="BG159" i="1336" s="1"/>
  <c r="BG69" i="63829"/>
  <c r="BG7" i="63829"/>
  <c r="BG62" i="63829" s="1"/>
  <c r="BG63" i="63829" s="1"/>
  <c r="BD64" i="63829"/>
  <c r="BD71" i="63829"/>
  <c r="BD12" i="63829"/>
  <c r="BG13" i="63829" l="1"/>
  <c r="BG71" i="63829"/>
  <c r="BG64" i="63829"/>
  <c r="BG10" i="63829"/>
  <c r="BD75" i="63829"/>
  <c r="BD29" i="1336"/>
  <c r="BJ20" i="63829"/>
  <c r="BJ68" i="63829" s="1"/>
  <c r="BJ5" i="63829" l="1"/>
  <c r="BG14" i="63829"/>
  <c r="BG12" i="63829" s="1"/>
  <c r="BG157" i="1336"/>
  <c r="BG163" i="1336" s="1"/>
  <c r="BJ22" i="63829"/>
  <c r="BJ25" i="63829" s="1"/>
  <c r="BJ159" i="1336" s="1"/>
  <c r="BG75" i="63829"/>
  <c r="BG29" i="1336"/>
  <c r="BJ69" i="63829"/>
  <c r="BJ7" i="63829"/>
  <c r="R32" i="63807"/>
  <c r="BD69" i="1336"/>
  <c r="BD106" i="1336"/>
  <c r="BD140" i="1336" s="1"/>
  <c r="BJ10" i="63829" l="1"/>
  <c r="BJ14" i="63829" s="1"/>
  <c r="BG106" i="1336"/>
  <c r="BG140" i="1336" s="1"/>
  <c r="BG69" i="1336"/>
  <c r="S32" i="63807"/>
  <c r="BJ62" i="63829"/>
  <c r="BJ63" i="63829" s="1"/>
  <c r="BJ13" i="63829"/>
  <c r="BJ157" i="1336" l="1"/>
  <c r="BJ163" i="1336" s="1"/>
  <c r="BJ71" i="63829"/>
  <c r="BJ64" i="63829"/>
  <c r="BJ12" i="63829"/>
  <c r="BJ29" i="1336" l="1"/>
  <c r="BJ75" i="63829"/>
  <c r="BJ69" i="1336" l="1"/>
  <c r="T32" i="63807"/>
  <c r="BJ106" i="1336"/>
  <c r="BJ140" i="1336" s="1"/>
  <c r="Z49" i="63829" l="1"/>
  <c r="G45" i="63836" a="1"/>
  <c r="G45" i="63836" s="1"/>
  <c r="G7" i="63836" a="1"/>
  <c r="G7" i="63836" s="1"/>
  <c r="G58" i="63836" l="1" a="1"/>
  <c r="G58" i="63836" s="1"/>
  <c r="AC195" i="1336"/>
  <c r="AC173" i="1336"/>
  <c r="AB173" i="1336" s="1"/>
  <c r="G61" i="63836" l="1" a="1"/>
  <c r="G61" i="63836" s="1"/>
  <c r="G60" i="63836" s="1"/>
  <c r="AC182" i="1336"/>
  <c r="AD196" i="1336"/>
  <c r="AD109" i="1336" s="1"/>
  <c r="AC196" i="1336"/>
  <c r="AC194" i="1336" l="1"/>
  <c r="AB182" i="1336"/>
  <c r="G67" i="63836" a="1"/>
  <c r="G67" i="63836" s="1"/>
  <c r="G8" i="63836" a="1"/>
  <c r="G8" i="63836" s="1"/>
  <c r="I4" i="63832"/>
  <c r="AC11" i="1336"/>
  <c r="AC28" i="63733"/>
  <c r="AC29" i="63733" l="1"/>
  <c r="AC20" i="63733"/>
  <c r="O53" i="63836" a="1"/>
  <c r="O53" i="63836" s="1"/>
  <c r="AC21" i="63733" l="1"/>
  <c r="AC75" i="63733"/>
  <c r="AC76" i="63733" s="1"/>
  <c r="AF76" i="63733" s="1"/>
  <c r="AB75" i="63733" l="1"/>
  <c r="AB20" i="63733" s="1"/>
  <c r="AC110" i="63733"/>
  <c r="AC78" i="63733"/>
  <c r="AB78" i="63733" s="1"/>
  <c r="AB76" i="63733" l="1"/>
  <c r="AF75" i="63733"/>
  <c r="AI76" i="63733"/>
  <c r="AL76" i="63733" s="1"/>
  <c r="AO76" i="63733" s="1"/>
  <c r="AR76" i="63733" s="1"/>
  <c r="AU76" i="63733" s="1"/>
  <c r="AX76" i="63733" s="1"/>
  <c r="BA76" i="63733" s="1"/>
  <c r="BD76" i="63733" s="1"/>
  <c r="BG76" i="63733" s="1"/>
  <c r="BJ76" i="63733" s="1"/>
  <c r="AB82" i="63733"/>
  <c r="AB80" i="63733"/>
  <c r="AB79" i="63733"/>
  <c r="AB21" i="63733"/>
  <c r="AB28" i="63733"/>
  <c r="AC79" i="63733"/>
  <c r="AC80" i="63733"/>
  <c r="AF80" i="63733" s="1"/>
  <c r="AI80" i="63733" s="1"/>
  <c r="AI75" i="63733" l="1"/>
  <c r="AE75" i="63733"/>
  <c r="AF20" i="63733"/>
  <c r="AB10" i="1336"/>
  <c r="AB29" i="63733"/>
  <c r="AB83" i="63733"/>
  <c r="AB84" i="63733"/>
  <c r="AF78" i="63733"/>
  <c r="AB23" i="1336" l="1"/>
  <c r="AL80" i="63733"/>
  <c r="AO80" i="63733" s="1"/>
  <c r="AE76" i="63733"/>
  <c r="AE20" i="63733"/>
  <c r="AF21" i="63733"/>
  <c r="AF28" i="63733"/>
  <c r="AI20" i="63733"/>
  <c r="AH75" i="63733"/>
  <c r="AL75" i="63733"/>
  <c r="AL20" i="63733" s="1"/>
  <c r="AB35" i="1336"/>
  <c r="AB11" i="1336"/>
  <c r="AB13" i="1336" s="1"/>
  <c r="AB22" i="1336"/>
  <c r="AF79" i="63733"/>
  <c r="AE78" i="63733"/>
  <c r="AF82" i="63733"/>
  <c r="AI78" i="63733"/>
  <c r="AI28" i="63733" l="1"/>
  <c r="AI21" i="63733"/>
  <c r="AF29" i="63733"/>
  <c r="AF10" i="1336"/>
  <c r="AL21" i="63733"/>
  <c r="AL28" i="63733"/>
  <c r="AO75" i="63733"/>
  <c r="AO20" i="63733" s="1"/>
  <c r="AE21" i="63733"/>
  <c r="AE28" i="63733"/>
  <c r="AH76" i="63733"/>
  <c r="AH20" i="63733"/>
  <c r="AI79" i="63733"/>
  <c r="AH78" i="63733"/>
  <c r="AI82" i="63733"/>
  <c r="AF83" i="63733"/>
  <c r="AF84" i="63733"/>
  <c r="AF90" i="63733"/>
  <c r="AE79" i="63733"/>
  <c r="AE82" i="63733"/>
  <c r="AE80" i="63733"/>
  <c r="AL78" i="63733"/>
  <c r="AO28" i="63733" l="1"/>
  <c r="AO21" i="63733"/>
  <c r="AE29" i="63733"/>
  <c r="AE10" i="1336"/>
  <c r="AH21" i="63733"/>
  <c r="AH28" i="63733"/>
  <c r="AL29" i="63733"/>
  <c r="AL10" i="1336"/>
  <c r="AF9" i="1336"/>
  <c r="AF11" i="1336"/>
  <c r="AE13" i="1336" s="1"/>
  <c r="H8" i="63836" a="1"/>
  <c r="H8" i="63836" s="1"/>
  <c r="L4" i="63832"/>
  <c r="AR75" i="63733"/>
  <c r="AR20" i="63733" s="1"/>
  <c r="AI29" i="63733"/>
  <c r="AI10" i="1336"/>
  <c r="AR80" i="63733"/>
  <c r="AO78" i="63733"/>
  <c r="AF91" i="63733"/>
  <c r="AF92" i="63733"/>
  <c r="AE90" i="63733"/>
  <c r="AF33" i="63733"/>
  <c r="AI83" i="63733"/>
  <c r="AI84" i="63733"/>
  <c r="AI90" i="63733"/>
  <c r="AE84" i="63733"/>
  <c r="AE83" i="63733"/>
  <c r="AH79" i="63733"/>
  <c r="AH80" i="63733"/>
  <c r="AH82" i="63733"/>
  <c r="AL79" i="63733"/>
  <c r="AL82" i="63733"/>
  <c r="AE11" i="1336" l="1"/>
  <c r="AI9" i="1336"/>
  <c r="AI11" i="1336"/>
  <c r="Q53" i="63836" s="1" a="1"/>
  <c r="Q53" i="63836" s="1"/>
  <c r="I8" i="63836" a="1"/>
  <c r="I8" i="63836" s="1"/>
  <c r="P53" i="63836" a="1"/>
  <c r="P53" i="63836" s="1"/>
  <c r="AU75" i="63733"/>
  <c r="AU20" i="63733" s="1"/>
  <c r="AF170" i="1336"/>
  <c r="H7" i="63836" a="1"/>
  <c r="H7" i="63836" s="1"/>
  <c r="AE9" i="1336"/>
  <c r="AF152" i="1336"/>
  <c r="AR21" i="63733"/>
  <c r="AR28" i="63733"/>
  <c r="AL11" i="1336"/>
  <c r="R53" i="63836" s="1" a="1"/>
  <c r="R53" i="63836" s="1"/>
  <c r="J8" i="63836" a="1"/>
  <c r="J8" i="63836" s="1"/>
  <c r="AL9" i="1336"/>
  <c r="AH29" i="63733"/>
  <c r="AH10" i="1336"/>
  <c r="AH11" i="1336" s="1"/>
  <c r="AO29" i="63733"/>
  <c r="AO10" i="1336"/>
  <c r="AL83" i="63733"/>
  <c r="AL84" i="63733"/>
  <c r="AL90" i="63733"/>
  <c r="AE91" i="63733"/>
  <c r="AE92" i="63733"/>
  <c r="AE33" i="63733"/>
  <c r="AI91" i="63733"/>
  <c r="AI92" i="63733"/>
  <c r="AI33" i="63733"/>
  <c r="AH90" i="63733"/>
  <c r="AH83" i="63733"/>
  <c r="AH84" i="63733"/>
  <c r="AO79" i="63733"/>
  <c r="AO82" i="63733"/>
  <c r="AF43" i="63733"/>
  <c r="AF404" i="63733"/>
  <c r="AF405" i="63733" s="1"/>
  <c r="AF38" i="63733"/>
  <c r="AU80" i="63733"/>
  <c r="AR78" i="63733"/>
  <c r="AE170" i="1336" l="1"/>
  <c r="AF173" i="1336"/>
  <c r="H58" i="63836" a="1"/>
  <c r="H58" i="63836" s="1"/>
  <c r="AX75" i="63733"/>
  <c r="AX20" i="63733" s="1"/>
  <c r="AR10" i="1336"/>
  <c r="AR29" i="63733"/>
  <c r="AO9" i="1336"/>
  <c r="AO11" i="1336"/>
  <c r="J7" i="63836" a="1"/>
  <c r="J7" i="63836" s="1"/>
  <c r="AL170" i="1336"/>
  <c r="AL152" i="1336"/>
  <c r="AF215" i="1336"/>
  <c r="AF195" i="1336"/>
  <c r="AE152" i="1336"/>
  <c r="H45" i="63836" a="1"/>
  <c r="H45" i="63836" s="1"/>
  <c r="AU21" i="63733"/>
  <c r="AU28" i="63733"/>
  <c r="I7" i="63836" a="1"/>
  <c r="I7" i="63836" s="1"/>
  <c r="AI152" i="1336"/>
  <c r="AH9" i="1336"/>
  <c r="AI170" i="1336"/>
  <c r="P39" i="63836" a="1"/>
  <c r="P39" i="63836" s="1"/>
  <c r="AE43" i="63733"/>
  <c r="AE404" i="63733"/>
  <c r="AE405" i="63733" s="1"/>
  <c r="AE38" i="63733"/>
  <c r="AL92" i="63733"/>
  <c r="AL91" i="63733"/>
  <c r="AL33" i="63733"/>
  <c r="AR79" i="63733"/>
  <c r="AR82" i="63733"/>
  <c r="AH91" i="63733"/>
  <c r="AH92" i="63733"/>
  <c r="AH33" i="63733"/>
  <c r="AU78" i="63733"/>
  <c r="AX80" i="63733"/>
  <c r="AI43" i="63733"/>
  <c r="AI404" i="63733"/>
  <c r="AI405" i="63733" s="1"/>
  <c r="D6" i="63808"/>
  <c r="AI38" i="63733"/>
  <c r="AF39" i="63733"/>
  <c r="AF47" i="63733"/>
  <c r="P43" i="63836" s="1" a="1"/>
  <c r="P43" i="63836" s="1"/>
  <c r="AF31" i="1336"/>
  <c r="AO84" i="63733"/>
  <c r="AO83" i="63733"/>
  <c r="AO90" i="63733"/>
  <c r="AF24" i="1336" l="1"/>
  <c r="AF23" i="1336"/>
  <c r="AF61" i="1336"/>
  <c r="AF25" i="1336"/>
  <c r="AE25" i="1336" s="1"/>
  <c r="AI173" i="1336"/>
  <c r="I58" i="63836" a="1"/>
  <c r="I58" i="63836" s="1"/>
  <c r="AH170" i="1336"/>
  <c r="BA75" i="63733"/>
  <c r="BA20" i="63733" s="1"/>
  <c r="J45" i="63836" a="1"/>
  <c r="J45" i="63836" s="1"/>
  <c r="AL195" i="1336"/>
  <c r="AL215" i="1336"/>
  <c r="AR11" i="1336"/>
  <c r="AR9" i="1336"/>
  <c r="AX21" i="63733"/>
  <c r="AX28" i="63733"/>
  <c r="AH152" i="1336"/>
  <c r="I45" i="63836" a="1"/>
  <c r="I45" i="63836" s="1"/>
  <c r="AI215" i="1336"/>
  <c r="AI195" i="1336"/>
  <c r="AI196" i="1336" s="1"/>
  <c r="AI109" i="1336" s="1"/>
  <c r="AL173" i="1336"/>
  <c r="J58" i="63836" a="1"/>
  <c r="J58" i="63836" s="1"/>
  <c r="AE215" i="1336"/>
  <c r="AE195" i="1336"/>
  <c r="AE173" i="1336"/>
  <c r="AF182" i="1336"/>
  <c r="H61" i="63836" a="1"/>
  <c r="H61" i="63836" s="1"/>
  <c r="H60" i="63836" s="1"/>
  <c r="AG196" i="1336"/>
  <c r="AG109" i="1336" s="1"/>
  <c r="AF196" i="1336"/>
  <c r="AF109" i="1336" s="1"/>
  <c r="AU29" i="63733"/>
  <c r="AU10" i="1336"/>
  <c r="AO170" i="1336"/>
  <c r="AO173" i="1336" s="1"/>
  <c r="AO182" i="1336" s="1"/>
  <c r="AO194" i="1336" s="1"/>
  <c r="AO152" i="1336"/>
  <c r="Q39" i="63836" a="1"/>
  <c r="Q39" i="63836" s="1"/>
  <c r="D11" i="63808"/>
  <c r="F29" i="63808" s="1"/>
  <c r="G29" i="63808" s="1"/>
  <c r="I29" i="63808" s="1"/>
  <c r="I6" i="63808"/>
  <c r="B6" i="63842"/>
  <c r="D6" i="63842" s="1"/>
  <c r="D10" i="63842" s="1"/>
  <c r="AE39" i="63733"/>
  <c r="AE47" i="63733"/>
  <c r="AU79" i="63733"/>
  <c r="AU82" i="63733"/>
  <c r="AL404" i="63733"/>
  <c r="AL405" i="63733" s="1"/>
  <c r="AL43" i="63733"/>
  <c r="AL38" i="63733"/>
  <c r="AI39" i="63733"/>
  <c r="AI47" i="63733"/>
  <c r="Q43" i="63836" s="1" a="1"/>
  <c r="Q43" i="63836" s="1"/>
  <c r="AI31" i="1336"/>
  <c r="AI23" i="1336" s="1"/>
  <c r="AH43" i="63733"/>
  <c r="AH38" i="63733"/>
  <c r="AH404" i="63733"/>
  <c r="AH405" i="63733" s="1"/>
  <c r="L7" i="63832"/>
  <c r="N7" i="63832" s="1"/>
  <c r="AF22" i="1336"/>
  <c r="AF33" i="1336"/>
  <c r="P55" i="63836" s="1" a="1"/>
  <c r="P55" i="63836" s="1"/>
  <c r="BK42" i="63802"/>
  <c r="H11" i="63836" a="1"/>
  <c r="H11" i="63836" s="1"/>
  <c r="AE31" i="1336"/>
  <c r="AE23" i="1336" s="1"/>
  <c r="AX78" i="63733"/>
  <c r="BA80" i="63733"/>
  <c r="AO91" i="63733"/>
  <c r="AO92" i="63733"/>
  <c r="AO33" i="63733"/>
  <c r="AR83" i="63733"/>
  <c r="AR84" i="63733"/>
  <c r="AR90" i="63733"/>
  <c r="AL196" i="1336" l="1"/>
  <c r="AL109" i="1336" s="1"/>
  <c r="L38" i="63807" s="1"/>
  <c r="K38" i="63807"/>
  <c r="I25" i="63836" a="1"/>
  <c r="I25" i="63836" s="1"/>
  <c r="AH109" i="1336"/>
  <c r="AR152" i="1336"/>
  <c r="AR170" i="1336"/>
  <c r="AR173" i="1336" s="1"/>
  <c r="AR182" i="1336" s="1"/>
  <c r="AR194" i="1336" s="1"/>
  <c r="BD75" i="63733"/>
  <c r="BD20" i="63733" s="1"/>
  <c r="AO215" i="1336"/>
  <c r="AO195" i="1336"/>
  <c r="BA28" i="63733"/>
  <c r="BA21" i="63733"/>
  <c r="AU9" i="1336"/>
  <c r="AU11" i="1336"/>
  <c r="AF194" i="1336"/>
  <c r="H67" i="63836" a="1"/>
  <c r="H67" i="63836" s="1"/>
  <c r="AE182" i="1336"/>
  <c r="AH215" i="1336"/>
  <c r="AH195" i="1336"/>
  <c r="AL182" i="1336"/>
  <c r="J61" i="63836" a="1"/>
  <c r="J61" i="63836" s="1"/>
  <c r="J60" i="63836" s="1"/>
  <c r="AX29" i="63733"/>
  <c r="AX10" i="1336"/>
  <c r="AE109" i="1336"/>
  <c r="H25" i="63836" a="1"/>
  <c r="H25" i="63836" s="1"/>
  <c r="J38" i="63807"/>
  <c r="AH173" i="1336"/>
  <c r="AI182" i="1336"/>
  <c r="I61" i="63836" a="1"/>
  <c r="I61" i="63836" s="1"/>
  <c r="I60" i="63836" s="1"/>
  <c r="R39" i="63836" a="1"/>
  <c r="R39" i="63836" s="1"/>
  <c r="BA78" i="63733"/>
  <c r="BD80" i="63733"/>
  <c r="L5" i="63832"/>
  <c r="N5" i="63832" s="1"/>
  <c r="AF27" i="1336"/>
  <c r="P54" i="63836" s="1" a="1"/>
  <c r="P54" i="63836" s="1"/>
  <c r="AF99" i="1336"/>
  <c r="AE99" i="1336" s="1"/>
  <c r="H9" i="63836" a="1"/>
  <c r="H9" i="63836" s="1"/>
  <c r="BK69" i="63802"/>
  <c r="AH47" i="63733"/>
  <c r="AH39" i="63733"/>
  <c r="AL39" i="63733"/>
  <c r="AL47" i="63733"/>
  <c r="R43" i="63836" s="1" a="1"/>
  <c r="R43" i="63836" s="1"/>
  <c r="AL31" i="1336"/>
  <c r="AL23" i="1336" s="1"/>
  <c r="AU83" i="63733"/>
  <c r="AU84" i="63733"/>
  <c r="AU90" i="63733"/>
  <c r="AO43" i="63733"/>
  <c r="AO404" i="63733"/>
  <c r="AO405" i="63733" s="1"/>
  <c r="AO38" i="63733"/>
  <c r="BL42" i="63802"/>
  <c r="AI33" i="1336"/>
  <c r="Q55" i="63836" s="1" a="1"/>
  <c r="Q55" i="63836" s="1"/>
  <c r="I11" i="63836" a="1"/>
  <c r="I11" i="63836" s="1"/>
  <c r="AI61" i="1336"/>
  <c r="AI22" i="1336"/>
  <c r="AI32" i="1336"/>
  <c r="Q61" i="63836" s="1" a="1"/>
  <c r="Q61" i="63836" s="1"/>
  <c r="AH31" i="1336"/>
  <c r="AI25" i="1336"/>
  <c r="AX79" i="63733"/>
  <c r="AX82" i="63733"/>
  <c r="AR92" i="63733"/>
  <c r="AR91" i="63733"/>
  <c r="AR33" i="63733"/>
  <c r="AE61" i="1336"/>
  <c r="AE33" i="1336"/>
  <c r="AE22" i="1336"/>
  <c r="AE68" i="1336" s="1"/>
  <c r="AF68" i="1336"/>
  <c r="F11" i="63808"/>
  <c r="I13" i="63808"/>
  <c r="AH23" i="1336" l="1"/>
  <c r="AK23" i="1336"/>
  <c r="J25" i="63836" a="1"/>
  <c r="J25" i="63836" s="1"/>
  <c r="AR195" i="1336"/>
  <c r="AR196" i="1336" s="1"/>
  <c r="AR109" i="1336" s="1"/>
  <c r="N38" i="63807" s="1"/>
  <c r="AR215" i="1336"/>
  <c r="AL194" i="1336"/>
  <c r="J67" i="63836" a="1"/>
  <c r="J67" i="63836" s="1"/>
  <c r="AO196" i="1336"/>
  <c r="AO109" i="1336" s="1"/>
  <c r="AI194" i="1336"/>
  <c r="I67" i="63836" a="1"/>
  <c r="I67" i="63836" s="1"/>
  <c r="AH182" i="1336"/>
  <c r="AX9" i="1336"/>
  <c r="AX11" i="1336"/>
  <c r="BJ75" i="63733"/>
  <c r="BJ20" i="63733" s="1"/>
  <c r="BG75" i="63733"/>
  <c r="BG20" i="63733" s="1"/>
  <c r="BA10" i="1336"/>
  <c r="BA29" i="63733"/>
  <c r="AU170" i="1336"/>
  <c r="AU173" i="1336" s="1"/>
  <c r="AU182" i="1336" s="1"/>
  <c r="AU194" i="1336" s="1"/>
  <c r="AU152" i="1336"/>
  <c r="BD21" i="63733"/>
  <c r="BD28" i="63733"/>
  <c r="AI68" i="1336"/>
  <c r="AU92" i="63733"/>
  <c r="AU91" i="63733"/>
  <c r="AU33" i="63733"/>
  <c r="J10" i="63808"/>
  <c r="J7" i="63808"/>
  <c r="J8" i="63808"/>
  <c r="J9" i="63808"/>
  <c r="AI27" i="1336"/>
  <c r="Q54" i="63836" s="1" a="1"/>
  <c r="Q54" i="63836" s="1"/>
  <c r="AH25" i="1336"/>
  <c r="AI99" i="1336"/>
  <c r="AH99" i="1336" s="1"/>
  <c r="AI26" i="1336"/>
  <c r="Q60" i="63836" s="1" a="1"/>
  <c r="Q60" i="63836" s="1"/>
  <c r="BL69" i="63802"/>
  <c r="I9" i="63836" a="1"/>
  <c r="I9" i="63836" s="1"/>
  <c r="AR43" i="63733"/>
  <c r="AR404" i="63733"/>
  <c r="AR405" i="63733" s="1"/>
  <c r="AR38" i="63733"/>
  <c r="AH33" i="1336"/>
  <c r="AH22" i="1336"/>
  <c r="AH68" i="1336" s="1"/>
  <c r="AH61" i="1336"/>
  <c r="AH32" i="1336"/>
  <c r="J6" i="63808"/>
  <c r="AO47" i="63733"/>
  <c r="AO31" i="1336"/>
  <c r="AO23" i="1336" s="1"/>
  <c r="AO39" i="63733"/>
  <c r="AL33" i="1336"/>
  <c r="R55" i="63836" s="1" a="1"/>
  <c r="R55" i="63836" s="1"/>
  <c r="AL61" i="1336"/>
  <c r="AL22" i="1336"/>
  <c r="AL25" i="1336"/>
  <c r="AL32" i="1336"/>
  <c r="R61" i="63836" s="1" a="1"/>
  <c r="R61" i="63836" s="1"/>
  <c r="BM42" i="63802"/>
  <c r="J11" i="63836" a="1"/>
  <c r="J11" i="63836" s="1"/>
  <c r="AE27" i="1336"/>
  <c r="AX90" i="63733"/>
  <c r="AX83" i="63733"/>
  <c r="AX84" i="63733"/>
  <c r="BG80" i="63733"/>
  <c r="BD78" i="63733"/>
  <c r="BA79" i="63733"/>
  <c r="BA82" i="63733"/>
  <c r="BA9" i="1336" l="1"/>
  <c r="BA11" i="1336"/>
  <c r="BD29" i="63733"/>
  <c r="BD10" i="1336"/>
  <c r="BG21" i="63733"/>
  <c r="BG28" i="63733"/>
  <c r="AX170" i="1336"/>
  <c r="AX173" i="1336" s="1"/>
  <c r="AX182" i="1336" s="1"/>
  <c r="AX194" i="1336" s="1"/>
  <c r="AX152" i="1336"/>
  <c r="BJ28" i="63733"/>
  <c r="BJ21" i="63733"/>
  <c r="AU215" i="1336"/>
  <c r="AU195" i="1336"/>
  <c r="AU196" i="1336" s="1"/>
  <c r="AU109" i="1336" s="1"/>
  <c r="O38" i="63807" s="1"/>
  <c r="M38" i="63807"/>
  <c r="AL99" i="1336"/>
  <c r="J9" i="63836" a="1"/>
  <c r="J9" i="63836" s="1"/>
  <c r="BM69" i="63802"/>
  <c r="AL27" i="1336"/>
  <c r="R54" i="63836" s="1" a="1"/>
  <c r="R54" i="63836" s="1"/>
  <c r="AL26" i="1336"/>
  <c r="R60" i="63836" s="1" a="1"/>
  <c r="R60" i="63836" s="1"/>
  <c r="AR47" i="63733"/>
  <c r="AR39" i="63733"/>
  <c r="AR31" i="1336"/>
  <c r="AR23" i="1336" s="1"/>
  <c r="AU43" i="63733"/>
  <c r="AU404" i="63733"/>
  <c r="AU405" i="63733" s="1"/>
  <c r="AU38" i="63733"/>
  <c r="BD82" i="63733"/>
  <c r="BD79" i="63733"/>
  <c r="AL68" i="1336"/>
  <c r="AO25" i="1336"/>
  <c r="AO61" i="1336"/>
  <c r="AO33" i="1336"/>
  <c r="AO32" i="1336"/>
  <c r="AO22" i="1336"/>
  <c r="AO68" i="1336" s="1"/>
  <c r="BN42" i="63802"/>
  <c r="BA84" i="63733"/>
  <c r="BA83" i="63733"/>
  <c r="BA90" i="63733"/>
  <c r="BJ80" i="63733"/>
  <c r="BJ78" i="63733" s="1"/>
  <c r="BG78" i="63733"/>
  <c r="AX92" i="63733"/>
  <c r="AX91" i="63733"/>
  <c r="AX33" i="63733"/>
  <c r="AH26" i="1336"/>
  <c r="AH27" i="1336"/>
  <c r="BG29" i="63733" l="1"/>
  <c r="BG10" i="1336"/>
  <c r="BD11" i="1336"/>
  <c r="BD9" i="1336"/>
  <c r="BJ10" i="1336"/>
  <c r="BJ29" i="63733"/>
  <c r="AX195" i="1336"/>
  <c r="AX215" i="1336"/>
  <c r="BA170" i="1336"/>
  <c r="BA173" i="1336" s="1"/>
  <c r="BA182" i="1336" s="1"/>
  <c r="BA194" i="1336" s="1"/>
  <c r="BA152" i="1336"/>
  <c r="AX43" i="63733"/>
  <c r="AX404" i="63733"/>
  <c r="AX405" i="63733" s="1"/>
  <c r="AX38" i="63733"/>
  <c r="BA33" i="63733"/>
  <c r="BA91" i="63733"/>
  <c r="BA92" i="63733"/>
  <c r="BJ79" i="63733"/>
  <c r="BJ82" i="63733"/>
  <c r="BG79" i="63733"/>
  <c r="BG82" i="63733"/>
  <c r="BD90" i="63733"/>
  <c r="BD83" i="63733"/>
  <c r="BD84" i="63733"/>
  <c r="AU39" i="63733"/>
  <c r="AU47" i="63733"/>
  <c r="AU31" i="1336"/>
  <c r="AU23" i="1336" s="1"/>
  <c r="AO99" i="1336"/>
  <c r="BN69" i="63802"/>
  <c r="AO26" i="1336"/>
  <c r="AO27" i="1336"/>
  <c r="AR25" i="1336"/>
  <c r="AR22" i="1336"/>
  <c r="AR68" i="1336" s="1"/>
  <c r="AR33" i="1336"/>
  <c r="AR61" i="1336"/>
  <c r="AR32" i="1336"/>
  <c r="BO42" i="63802"/>
  <c r="BJ11" i="1336" l="1"/>
  <c r="BJ9" i="1336"/>
  <c r="BA215" i="1336"/>
  <c r="BA195" i="1336"/>
  <c r="BA196" i="1336" s="1"/>
  <c r="BA109" i="1336" s="1"/>
  <c r="Q38" i="63807" s="1"/>
  <c r="BD170" i="1336"/>
  <c r="BD173" i="1336" s="1"/>
  <c r="BD182" i="1336" s="1"/>
  <c r="BD194" i="1336" s="1"/>
  <c r="BD152" i="1336"/>
  <c r="BG11" i="1336"/>
  <c r="BG9" i="1336"/>
  <c r="AX196" i="1336"/>
  <c r="AX109" i="1336" s="1"/>
  <c r="BG83" i="63733"/>
  <c r="BG84" i="63733"/>
  <c r="BG90" i="63733"/>
  <c r="BA43" i="63733"/>
  <c r="BA404" i="63733"/>
  <c r="BA405" i="63733" s="1"/>
  <c r="BA38" i="63733"/>
  <c r="AU61" i="1336"/>
  <c r="AU33" i="1336"/>
  <c r="AU32" i="1336"/>
  <c r="AU22" i="1336"/>
  <c r="AU68" i="1336" s="1"/>
  <c r="AU25" i="1336"/>
  <c r="BO69" i="63802"/>
  <c r="AR99" i="1336"/>
  <c r="AR27" i="1336"/>
  <c r="AR26" i="1336"/>
  <c r="BD91" i="63733"/>
  <c r="BD92" i="63733"/>
  <c r="BD33" i="63733"/>
  <c r="AX39" i="63733"/>
  <c r="AX47" i="63733"/>
  <c r="AX31" i="1336"/>
  <c r="AX23" i="1336" s="1"/>
  <c r="BJ90" i="63733"/>
  <c r="BJ83" i="63733"/>
  <c r="BJ84" i="63733"/>
  <c r="BD215" i="1336" l="1"/>
  <c r="BD195" i="1336"/>
  <c r="P38" i="63807"/>
  <c r="BG170" i="1336"/>
  <c r="BG173" i="1336" s="1"/>
  <c r="BG182" i="1336" s="1"/>
  <c r="BG194" i="1336" s="1"/>
  <c r="BG152" i="1336"/>
  <c r="BJ170" i="1336"/>
  <c r="BJ173" i="1336" s="1"/>
  <c r="BJ182" i="1336" s="1"/>
  <c r="BJ194" i="1336" s="1"/>
  <c r="BJ152" i="1336"/>
  <c r="BD43" i="63733"/>
  <c r="BD404" i="63733"/>
  <c r="BD405" i="63733" s="1"/>
  <c r="BD38" i="63733"/>
  <c r="BG91" i="63733"/>
  <c r="BG92" i="63733"/>
  <c r="BG33" i="63733"/>
  <c r="BA47" i="63733"/>
  <c r="BA39" i="63733"/>
  <c r="BA31" i="1336"/>
  <c r="BA23" i="1336" s="1"/>
  <c r="BJ92" i="63733"/>
  <c r="BJ91" i="63733"/>
  <c r="BJ33" i="63733"/>
  <c r="AX22" i="1336"/>
  <c r="AX68" i="1336" s="1"/>
  <c r="AX25" i="1336"/>
  <c r="AX33" i="1336"/>
  <c r="AX32" i="1336"/>
  <c r="AX61" i="1336"/>
  <c r="AU26" i="1336"/>
  <c r="AU99" i="1336"/>
  <c r="AU27" i="1336"/>
  <c r="BG215" i="1336" l="1"/>
  <c r="BG195" i="1336"/>
  <c r="BG196" i="1336" s="1"/>
  <c r="BG109" i="1336" s="1"/>
  <c r="S38" i="63807" s="1"/>
  <c r="BD196" i="1336"/>
  <c r="BD109" i="1336" s="1"/>
  <c r="R38" i="63807" s="1"/>
  <c r="BJ215" i="1336"/>
  <c r="BJ195" i="1336"/>
  <c r="BG43" i="63733"/>
  <c r="BG404" i="63733"/>
  <c r="BG405" i="63733" s="1"/>
  <c r="BG38" i="63733"/>
  <c r="BA25" i="1336"/>
  <c r="BA22" i="1336"/>
  <c r="BA68" i="1336" s="1"/>
  <c r="BA33" i="1336"/>
  <c r="BA61" i="1336"/>
  <c r="BA32" i="1336"/>
  <c r="AX99" i="1336"/>
  <c r="AX27" i="1336"/>
  <c r="AX26" i="1336"/>
  <c r="BD47" i="63733"/>
  <c r="BD39" i="63733"/>
  <c r="BD31" i="1336"/>
  <c r="BD23" i="1336" s="1"/>
  <c r="BJ43" i="63733"/>
  <c r="BJ404" i="63733"/>
  <c r="BJ405" i="63733" s="1"/>
  <c r="BJ38" i="63733"/>
  <c r="BJ196" i="1336" l="1"/>
  <c r="BJ109" i="1336" s="1"/>
  <c r="T38" i="63807" s="1"/>
  <c r="BD61" i="1336"/>
  <c r="BD32" i="1336"/>
  <c r="BD33" i="1336"/>
  <c r="BD25" i="1336"/>
  <c r="BD22" i="1336"/>
  <c r="BD68" i="1336" s="1"/>
  <c r="BA26" i="1336"/>
  <c r="BA99" i="1336"/>
  <c r="BA27" i="1336"/>
  <c r="BJ39" i="63733"/>
  <c r="BJ47" i="63733"/>
  <c r="BJ31" i="1336"/>
  <c r="BG47" i="63733"/>
  <c r="BG39" i="63733"/>
  <c r="BG31" i="1336"/>
  <c r="BG23" i="1336" s="1"/>
  <c r="BJ23" i="1336" l="1"/>
  <c r="BD26" i="1336"/>
  <c r="BD99" i="1336"/>
  <c r="BD27" i="1336"/>
  <c r="BG61" i="1336"/>
  <c r="BG33" i="1336"/>
  <c r="BG32" i="1336"/>
  <c r="BG25" i="1336"/>
  <c r="BG22" i="1336"/>
  <c r="BG68" i="1336" s="1"/>
  <c r="BJ61" i="1336"/>
  <c r="BJ22" i="1336"/>
  <c r="BJ68" i="1336" s="1"/>
  <c r="BJ33" i="1336"/>
  <c r="BJ32" i="1336"/>
  <c r="BJ25" i="1336"/>
  <c r="BG27" i="1336" l="1"/>
  <c r="BG99" i="1336"/>
  <c r="BG26" i="1336"/>
  <c r="BJ99" i="1336"/>
  <c r="Z32" i="63811"/>
  <c r="BJ27" i="1336"/>
  <c r="BJ26" i="1336"/>
  <c r="Z33" i="63811" l="1"/>
  <c r="O2" i="63824"/>
  <c r="O9" i="63824" s="1"/>
  <c r="AE26" i="1336"/>
  <c r="I5" i="63832"/>
  <c r="K5" i="63832" s="1"/>
  <c r="AC99" i="1336"/>
  <c r="AC27" i="1336"/>
  <c r="O54" i="63836" s="1" a="1"/>
  <c r="O54" i="63836" s="1"/>
  <c r="AC26" i="1336"/>
  <c r="O60" i="63836" s="1" a="1"/>
  <c r="O60" i="63836" s="1"/>
  <c r="AF26" i="1336"/>
  <c r="P60" i="63836" s="1" a="1"/>
  <c r="P60" i="63836" s="1"/>
  <c r="G9" i="63836" a="1"/>
  <c r="G9" i="63836" s="1"/>
  <c r="BJ69" i="63802"/>
  <c r="AB99" i="1336" l="1"/>
  <c r="AB145" i="1336" s="1"/>
  <c r="AC100" i="1336"/>
  <c r="AB100" i="1336" s="1"/>
  <c r="AC103" i="1336"/>
  <c r="AC33" i="1336"/>
  <c r="O55" i="63836" s="1" a="1"/>
  <c r="O55" i="63836" s="1"/>
  <c r="I7" i="63832"/>
  <c r="K7" i="63832" s="1"/>
  <c r="AC32" i="1336"/>
  <c r="AC22" i="1336"/>
  <c r="AF32" i="1336"/>
  <c r="AC61" i="1336"/>
  <c r="G11" i="63836" a="1"/>
  <c r="G11" i="63836" s="1"/>
  <c r="BJ42" i="63802"/>
  <c r="AC38" i="63733"/>
  <c r="AB38" i="63733" s="1"/>
  <c r="AC39" i="1336"/>
  <c r="AC59" i="1336" l="1"/>
  <c r="AC288" i="1336" s="1"/>
  <c r="AB39" i="1336"/>
  <c r="AB59" i="1336" s="1"/>
  <c r="AB288" i="1336" s="1"/>
  <c r="AB39" i="63733"/>
  <c r="AB47" i="63733"/>
  <c r="AB37" i="63733"/>
  <c r="O61" i="63836" a="1"/>
  <c r="O61" i="63836" s="1"/>
  <c r="AC68" i="1336"/>
  <c r="I9" i="63832"/>
  <c r="K9" i="63832" s="1"/>
  <c r="I27" i="63807"/>
  <c r="G14" i="63836" a="1"/>
  <c r="G14" i="63836" s="1"/>
  <c r="AC47" i="63733"/>
  <c r="O43" i="63836" s="1" a="1"/>
  <c r="O43" i="63836" s="1"/>
  <c r="AC39" i="63733"/>
  <c r="AC37" i="63733"/>
  <c r="AC438" i="63733" s="1"/>
  <c r="P61" i="63836" a="1"/>
  <c r="P61" i="63836" s="1"/>
  <c r="AC40" i="63733"/>
  <c r="AC105" i="1336"/>
  <c r="AE32" i="1336"/>
  <c r="AD59" i="1336" l="1"/>
  <c r="AD41" i="1336" s="1"/>
  <c r="AF59" i="1336"/>
  <c r="AG59" i="1336" s="1"/>
  <c r="G23" i="63836" a="1"/>
  <c r="G23" i="63836" s="1"/>
  <c r="AC107" i="1336"/>
  <c r="AC109" i="1336" s="1"/>
  <c r="BJ45" i="63802"/>
  <c r="I35" i="63807"/>
  <c r="I37" i="63807" s="1"/>
  <c r="G16" i="63836" a="1"/>
  <c r="G16" i="63836" s="1"/>
  <c r="AC43" i="1336"/>
  <c r="AI59" i="1336" l="1"/>
  <c r="AL59" i="1336" s="1"/>
  <c r="AD288" i="1336"/>
  <c r="AF288" i="1336"/>
  <c r="AE59" i="1336"/>
  <c r="AE288" i="1336" s="1"/>
  <c r="AB109" i="1336"/>
  <c r="G25" i="63836" a="1"/>
  <c r="G25" i="63836" s="1"/>
  <c r="I38" i="63807"/>
  <c r="I49" i="63807" s="1"/>
  <c r="I10" i="63807" s="1"/>
  <c r="AC44" i="1336"/>
  <c r="AC45" i="1336"/>
  <c r="O56" i="63836" s="1" a="1"/>
  <c r="O56" i="63836" s="1"/>
  <c r="AB43" i="1336"/>
  <c r="AI288" i="1336"/>
  <c r="AD43" i="1336"/>
  <c r="AD107" i="1336"/>
  <c r="AD111" i="1336" s="1"/>
  <c r="AD129" i="1336" s="1"/>
  <c r="AD150" i="1336" s="1"/>
  <c r="AH59" i="1336"/>
  <c r="AH288" i="1336" s="1"/>
  <c r="AG288" i="1336"/>
  <c r="I13" i="63832"/>
  <c r="K13" i="63832" s="1"/>
  <c r="AC145" i="1336"/>
  <c r="AC142" i="1336"/>
  <c r="AB142" i="1336" s="1"/>
  <c r="G27" i="63836" a="1"/>
  <c r="G27" i="63836" s="1"/>
  <c r="G40" i="63836" s="1"/>
  <c r="AC129" i="1336"/>
  <c r="AB129" i="1336" s="1"/>
  <c r="AC54" i="1336"/>
  <c r="O68" i="63836" s="1" a="1"/>
  <c r="O68" i="63836" s="1"/>
  <c r="I10" i="63832"/>
  <c r="K10" i="63832" s="1"/>
  <c r="G17" i="63836" a="1"/>
  <c r="G17" i="63836" s="1"/>
  <c r="AC77" i="1336"/>
  <c r="AC51" i="1336"/>
  <c r="AB51" i="1336" s="1"/>
  <c r="BJ71" i="63802"/>
  <c r="G26" i="63836" a="1"/>
  <c r="G26" i="63836" s="1"/>
  <c r="AB80" i="1336" l="1"/>
  <c r="AB81" i="1336" s="1"/>
  <c r="AB83" i="1336"/>
  <c r="AB84" i="1336" s="1"/>
  <c r="AB45" i="1336"/>
  <c r="AB44" i="1336"/>
  <c r="AB77" i="1336"/>
  <c r="AB78" i="1336" s="1"/>
  <c r="AB54" i="1336"/>
  <c r="AD142" i="1336"/>
  <c r="AD143" i="1336" s="1"/>
  <c r="AD145" i="1336"/>
  <c r="AD45" i="1336"/>
  <c r="AD44" i="1336"/>
  <c r="AD77" i="1336"/>
  <c r="AD51" i="1336"/>
  <c r="AO59" i="1336"/>
  <c r="AL288" i="1336"/>
  <c r="G38" i="63836" a="1"/>
  <c r="G38" i="63836" s="1"/>
  <c r="I11" i="63832"/>
  <c r="K11" i="63832" s="1"/>
  <c r="AC78" i="1336"/>
  <c r="I42" i="63808"/>
  <c r="AC143" i="1336"/>
  <c r="AC80" i="1336"/>
  <c r="AC81" i="1336" s="1"/>
  <c r="AC83" i="1336"/>
  <c r="AC187" i="1336"/>
  <c r="AB187" i="1336" s="1"/>
  <c r="O62" i="63836" a="1"/>
  <c r="O62" i="63836" s="1"/>
  <c r="AC213" i="1336" l="1"/>
  <c r="AC214" i="1336" s="1"/>
  <c r="AB150" i="1336"/>
  <c r="AB213" i="1336" s="1"/>
  <c r="AB214" i="1336" s="1"/>
  <c r="AD78" i="1336"/>
  <c r="AR59" i="1336"/>
  <c r="AO288" i="1336"/>
  <c r="AD55" i="1336"/>
  <c r="AD91" i="1336" s="1"/>
  <c r="AD80" i="1336"/>
  <c r="AD81" i="1336" s="1"/>
  <c r="AD83" i="1336"/>
  <c r="AD84" i="1336" s="1"/>
  <c r="AD187" i="1336"/>
  <c r="AD189" i="1336" s="1"/>
  <c r="AC189" i="1336"/>
  <c r="AB189" i="1336" s="1"/>
  <c r="I14" i="63832"/>
  <c r="K14" i="63832" s="1"/>
  <c r="AC17" i="63830"/>
  <c r="AF16" i="63830" s="1"/>
  <c r="AF80" i="63829" s="1"/>
  <c r="AF81" i="63829" s="1"/>
  <c r="AF37" i="1336" s="1"/>
  <c r="AC132" i="1336"/>
  <c r="AC154" i="1336"/>
  <c r="AB154" i="1336" s="1"/>
  <c r="AF134" i="1336"/>
  <c r="G43" i="63836" a="1"/>
  <c r="G43" i="63836" s="1"/>
  <c r="G19" i="63836" a="1"/>
  <c r="G19" i="63836" s="1"/>
  <c r="O19" i="63836" s="1"/>
  <c r="AC84" i="1336"/>
  <c r="O63" i="63836" s="1" a="1"/>
  <c r="O63" i="63836" s="1"/>
  <c r="AC138" i="1336" l="1"/>
  <c r="AD138" i="1336" s="1"/>
  <c r="AD135" i="1336" s="1"/>
  <c r="AD136" i="1336" s="1"/>
  <c r="AB132" i="1336"/>
  <c r="AB137" i="1336" s="1"/>
  <c r="AD56" i="1336"/>
  <c r="AD93" i="1336"/>
  <c r="AU59" i="1336"/>
  <c r="AR288" i="1336"/>
  <c r="AE37" i="1336"/>
  <c r="L8" i="63832"/>
  <c r="AF139" i="1336"/>
  <c r="J29" i="63807"/>
  <c r="J36" i="63807" s="1"/>
  <c r="H13" i="63836" a="1"/>
  <c r="H13" i="63836" s="1"/>
  <c r="BK44" i="63802"/>
  <c r="AF39" i="1336"/>
  <c r="AE16" i="63830"/>
  <c r="AE80" i="63829" s="1"/>
  <c r="AE81" i="63829" s="1"/>
  <c r="G47" i="63836" a="1"/>
  <c r="G47" i="63836" s="1"/>
  <c r="G46" i="63836" s="1"/>
  <c r="AC165" i="1336"/>
  <c r="AC190" i="1336" s="1"/>
  <c r="BJ48" i="63802"/>
  <c r="G68" i="63836" a="1"/>
  <c r="G68" i="63836" s="1"/>
  <c r="AD132" i="1336"/>
  <c r="AD213" i="1336"/>
  <c r="AD214" i="1336" s="1"/>
  <c r="AD154" i="1336"/>
  <c r="AG16" i="63830"/>
  <c r="AG80" i="63829" s="1"/>
  <c r="AG81" i="63829" s="1"/>
  <c r="AG37" i="1336" s="1"/>
  <c r="AD131" i="1336"/>
  <c r="AF131" i="1336"/>
  <c r="AC133" i="1336"/>
  <c r="BJ46" i="63802"/>
  <c r="BJ47" i="63802" s="1"/>
  <c r="AE134" i="1336"/>
  <c r="O66" i="63836" a="1"/>
  <c r="O66" i="63836" s="1"/>
  <c r="AF138" i="1336" l="1"/>
  <c r="AG138" i="1336" s="1"/>
  <c r="AG135" i="1336" s="1"/>
  <c r="AG136" i="1336" s="1"/>
  <c r="AC193" i="1336"/>
  <c r="AB165" i="1336"/>
  <c r="AB286" i="1336" s="1"/>
  <c r="AB287" i="1336" s="1"/>
  <c r="AB289" i="1336" s="1"/>
  <c r="AC286" i="1336"/>
  <c r="AC287" i="1336" s="1"/>
  <c r="AC289" i="1336" s="1"/>
  <c r="O67" i="63836" s="1" a="1"/>
  <c r="O67" i="63836" s="1"/>
  <c r="AF135" i="1336"/>
  <c r="AX59" i="1336"/>
  <c r="AU288" i="1336"/>
  <c r="AD133" i="1336"/>
  <c r="AD165" i="1336"/>
  <c r="AD190" i="1336" s="1"/>
  <c r="J27" i="63807"/>
  <c r="L9" i="63832"/>
  <c r="N9" i="63832" s="1"/>
  <c r="H14" i="63836" a="1"/>
  <c r="H14" i="63836" s="1"/>
  <c r="AF105" i="1336"/>
  <c r="AF41" i="1336"/>
  <c r="AF43" i="1336" s="1"/>
  <c r="AE39" i="1336"/>
  <c r="AG139" i="1336"/>
  <c r="AG39" i="1336"/>
  <c r="G55" i="63836" a="1"/>
  <c r="G55" i="63836" s="1"/>
  <c r="AE131" i="1336"/>
  <c r="AI138" i="1336" l="1"/>
  <c r="AI135" i="1336" s="1"/>
  <c r="AD193" i="1336"/>
  <c r="AL138" i="1336"/>
  <c r="AE135" i="1336"/>
  <c r="AF136" i="1336"/>
  <c r="AE136" i="1336" s="1"/>
  <c r="BA59" i="1336"/>
  <c r="AX288" i="1336"/>
  <c r="AF45" i="1336"/>
  <c r="P56" i="63836" s="1" a="1"/>
  <c r="P56" i="63836" s="1"/>
  <c r="AF44" i="1336"/>
  <c r="L10" i="63832"/>
  <c r="N10" i="63832" s="1"/>
  <c r="AE43" i="1336"/>
  <c r="H17" i="63836" a="1"/>
  <c r="H17" i="63836" s="1"/>
  <c r="AF51" i="1336"/>
  <c r="AF77" i="1336"/>
  <c r="BK45" i="63802"/>
  <c r="H16" i="63836" a="1"/>
  <c r="H16" i="63836" s="1"/>
  <c r="AE41" i="1336"/>
  <c r="J35" i="63807"/>
  <c r="J37" i="63807" s="1"/>
  <c r="J49" i="63807" s="1"/>
  <c r="J10" i="63807" s="1"/>
  <c r="AF107" i="1336"/>
  <c r="AF111" i="1336" s="1"/>
  <c r="AG41" i="1336"/>
  <c r="AG107" i="1336" s="1"/>
  <c r="AG105" i="1336"/>
  <c r="H23" i="63836" a="1"/>
  <c r="H23" i="63836" s="1"/>
  <c r="AD286" i="1336"/>
  <c r="AD287" i="1336" s="1"/>
  <c r="AD289" i="1336" s="1"/>
  <c r="AL135" i="1336" l="1"/>
  <c r="AO138" i="1336"/>
  <c r="AH135" i="1336"/>
  <c r="BD59" i="1336"/>
  <c r="BA288" i="1336"/>
  <c r="AG111" i="1336"/>
  <c r="AG145" i="1336" s="1"/>
  <c r="AG43" i="1336"/>
  <c r="AG77" i="1336" s="1"/>
  <c r="L11" i="63832"/>
  <c r="N11" i="63832" s="1"/>
  <c r="AF78" i="1336"/>
  <c r="I43" i="63808"/>
  <c r="AF83" i="1336"/>
  <c r="AF80" i="1336"/>
  <c r="AF81" i="1336" s="1"/>
  <c r="AF55" i="1336"/>
  <c r="P62" i="63836" a="1"/>
  <c r="P62" i="63836" s="1"/>
  <c r="H27" i="63836" a="1"/>
  <c r="H27" i="63836" s="1"/>
  <c r="H40" i="63836" s="1"/>
  <c r="AF142" i="1336"/>
  <c r="L13" i="63832"/>
  <c r="N13" i="63832" s="1"/>
  <c r="AE111" i="1336"/>
  <c r="AE145" i="1336" s="1"/>
  <c r="AF145" i="1336"/>
  <c r="AE44" i="1336"/>
  <c r="AE51" i="1336"/>
  <c r="AE45" i="1336"/>
  <c r="AE77" i="1336"/>
  <c r="H26" i="63836" a="1"/>
  <c r="H26" i="63836" s="1"/>
  <c r="AG142" i="1336" l="1"/>
  <c r="AR138" i="1336"/>
  <c r="AO135" i="1336"/>
  <c r="AG44" i="1336"/>
  <c r="AG45" i="1336"/>
  <c r="AG51" i="1336"/>
  <c r="AG83" i="1336" s="1"/>
  <c r="BG59" i="1336"/>
  <c r="BD288" i="1336"/>
  <c r="AG78" i="1336"/>
  <c r="AE55" i="1336"/>
  <c r="AF93" i="1336"/>
  <c r="AF84" i="1336"/>
  <c r="P63" i="63836" s="1" a="1"/>
  <c r="P63" i="63836" s="1"/>
  <c r="H19" i="63836" a="1"/>
  <c r="H19" i="63836" s="1"/>
  <c r="P19" i="63836" s="1"/>
  <c r="AE78" i="1336"/>
  <c r="BK71" i="63802"/>
  <c r="AE80" i="1336"/>
  <c r="AE81" i="1336" s="1"/>
  <c r="AE83" i="1336"/>
  <c r="AE84" i="1336" s="1"/>
  <c r="AE142" i="1336"/>
  <c r="AU138" i="1336" l="1"/>
  <c r="AR135" i="1336"/>
  <c r="AG80" i="1336"/>
  <c r="AJ81" i="1336" s="1"/>
  <c r="AG55" i="1336"/>
  <c r="AG91" i="1336" s="1"/>
  <c r="AG93" i="1336" s="1"/>
  <c r="BJ59" i="1336"/>
  <c r="BJ288" i="1336" s="1"/>
  <c r="BG288" i="1336"/>
  <c r="J53" i="63807"/>
  <c r="J55" i="63807" s="1"/>
  <c r="H20" i="63836" a="1"/>
  <c r="H20" i="63836" s="1"/>
  <c r="AF94" i="1336"/>
  <c r="AF91" i="1336"/>
  <c r="AF92" i="1336" s="1"/>
  <c r="AJ84" i="1336"/>
  <c r="AG84" i="1336"/>
  <c r="AG81" i="1336"/>
  <c r="AX138" i="1336" l="1"/>
  <c r="AU135" i="1336"/>
  <c r="AG56" i="1336"/>
  <c r="AE92" i="1336"/>
  <c r="AF125" i="1336"/>
  <c r="AF187" i="1336" s="1"/>
  <c r="AF56" i="1336"/>
  <c r="I36" i="63808" s="1"/>
  <c r="AX135" i="1336" l="1"/>
  <c r="BA138" i="1336"/>
  <c r="H34" i="63836" a="1"/>
  <c r="H34" i="63836" s="1"/>
  <c r="AE125" i="1336"/>
  <c r="AF127" i="1336"/>
  <c r="AF129" i="1336" s="1"/>
  <c r="AF150" i="1336" s="1"/>
  <c r="AF143" i="1336"/>
  <c r="AE93" i="1336"/>
  <c r="AE56" i="1336"/>
  <c r="AG125" i="1336"/>
  <c r="BD138" i="1336" l="1"/>
  <c r="BA135" i="1336"/>
  <c r="H37" i="63836" a="1"/>
  <c r="H37" i="63836" s="1"/>
  <c r="H36" i="63836" s="1"/>
  <c r="AE127" i="1336"/>
  <c r="AG127" i="1336"/>
  <c r="AG129" i="1336" s="1"/>
  <c r="AG143" i="1336"/>
  <c r="AG187" i="1336"/>
  <c r="AG189" i="1336" s="1"/>
  <c r="AF189" i="1336"/>
  <c r="AE187" i="1336"/>
  <c r="BD135" i="1336" l="1"/>
  <c r="BG138" i="1336"/>
  <c r="AE189" i="1336"/>
  <c r="BK48" i="63802"/>
  <c r="H68" i="63836" a="1"/>
  <c r="H68" i="63836" s="1"/>
  <c r="H38" i="63836" a="1"/>
  <c r="H38" i="63836" s="1"/>
  <c r="AE129" i="1336"/>
  <c r="I15" i="63808"/>
  <c r="BG135" i="1336" l="1"/>
  <c r="BJ138" i="1336"/>
  <c r="BJ135" i="1336" s="1"/>
  <c r="AE150" i="1336"/>
  <c r="H43" i="63836" a="1"/>
  <c r="H43" i="63836" s="1"/>
  <c r="AG150" i="1336"/>
  <c r="L14" i="63832"/>
  <c r="N14" i="63832" s="1"/>
  <c r="AF132" i="1336"/>
  <c r="AI134" i="1336"/>
  <c r="AF154" i="1336"/>
  <c r="AF213" i="1336"/>
  <c r="AI16" i="63830"/>
  <c r="AI80" i="63829" s="1"/>
  <c r="AI81" i="63829" s="1"/>
  <c r="AI37" i="1336" s="1"/>
  <c r="AF214" i="1336" l="1"/>
  <c r="P66" i="63836" a="1"/>
  <c r="P66" i="63836" s="1"/>
  <c r="W14" i="63836" s="1"/>
  <c r="R15" i="63836" s="1"/>
  <c r="AG213" i="1336"/>
  <c r="AG214" i="1336" s="1"/>
  <c r="AG154" i="1336"/>
  <c r="AG132" i="1336"/>
  <c r="K29" i="63807"/>
  <c r="K36" i="63807" s="1"/>
  <c r="I13" i="63836" a="1"/>
  <c r="I13" i="63836" s="1"/>
  <c r="AI139" i="1336"/>
  <c r="AI39" i="1336"/>
  <c r="BL44" i="63802"/>
  <c r="AH37" i="1336"/>
  <c r="AE154" i="1336"/>
  <c r="AF165" i="1336"/>
  <c r="AF190" i="1336" s="1"/>
  <c r="H47" i="63836" a="1"/>
  <c r="H47" i="63836" s="1"/>
  <c r="H46" i="63836" s="1"/>
  <c r="AH16" i="63830"/>
  <c r="AH80" i="63829" s="1"/>
  <c r="AH81" i="63829" s="1"/>
  <c r="AE213" i="1336"/>
  <c r="AE214" i="1336" s="1"/>
  <c r="D11" i="63842"/>
  <c r="D12" i="63842" s="1"/>
  <c r="D14" i="63842" s="1"/>
  <c r="I17" i="63808"/>
  <c r="I20" i="63808" s="1"/>
  <c r="AE132" i="1336"/>
  <c r="AG131" i="1336"/>
  <c r="AI131" i="1336"/>
  <c r="BK46" i="63802"/>
  <c r="BK47" i="63802" s="1"/>
  <c r="AF133" i="1336"/>
  <c r="AI136" i="1336"/>
  <c r="AH136" i="1336" s="1"/>
  <c r="AH134" i="1336"/>
  <c r="AG133" i="1336" l="1"/>
  <c r="AE137" i="1336"/>
  <c r="AH131" i="1336"/>
  <c r="AI41" i="1336"/>
  <c r="AI43" i="1336" s="1"/>
  <c r="AH39" i="1336"/>
  <c r="K27" i="63807"/>
  <c r="AI105" i="1336"/>
  <c r="I14" i="63836" a="1"/>
  <c r="I14" i="63836" s="1"/>
  <c r="X14" i="63836"/>
  <c r="AF286" i="1336"/>
  <c r="AF287" i="1336" s="1"/>
  <c r="AF289" i="1336" s="1"/>
  <c r="P67" i="63836" s="1" a="1"/>
  <c r="P67" i="63836" s="1"/>
  <c r="AE165" i="1336"/>
  <c r="AE286" i="1336" s="1"/>
  <c r="AE287" i="1336" s="1"/>
  <c r="AE289" i="1336" s="1"/>
  <c r="H55" i="63836" a="1"/>
  <c r="H55" i="63836" s="1"/>
  <c r="AG165" i="1336"/>
  <c r="AF193" i="1336"/>
  <c r="P21" i="63836"/>
  <c r="Q21" i="63836"/>
  <c r="N21" i="63836"/>
  <c r="O20" i="63836"/>
  <c r="Q20" i="63836"/>
  <c r="P20" i="63836"/>
  <c r="O21" i="63836"/>
  <c r="N22" i="63836"/>
  <c r="R21" i="63836"/>
  <c r="N20" i="63836"/>
  <c r="R20" i="63836"/>
  <c r="O22" i="63836"/>
  <c r="P22" i="63836"/>
  <c r="AI44" i="1336" l="1"/>
  <c r="Q62" i="63836" s="1" a="1"/>
  <c r="Q62" i="63836" s="1"/>
  <c r="AI77" i="1336"/>
  <c r="AI45" i="1336"/>
  <c r="Q56" i="63836" s="1" a="1"/>
  <c r="Q56" i="63836" s="1"/>
  <c r="I17" i="63836" a="1"/>
  <c r="I17" i="63836" s="1"/>
  <c r="AH43" i="1336"/>
  <c r="AI51" i="1336"/>
  <c r="AG190" i="1336"/>
  <c r="AG286" i="1336"/>
  <c r="P27" i="63836"/>
  <c r="R27" i="63836"/>
  <c r="N27" i="63836"/>
  <c r="O26" i="63836"/>
  <c r="N26" i="63836"/>
  <c r="N28" i="63836"/>
  <c r="Q26" i="63836"/>
  <c r="O27" i="63836"/>
  <c r="R26" i="63836"/>
  <c r="P26" i="63836"/>
  <c r="Q27" i="63836"/>
  <c r="O28" i="63836"/>
  <c r="P28" i="63836"/>
  <c r="AG193" i="1336"/>
  <c r="AH41" i="1336"/>
  <c r="K35" i="63807"/>
  <c r="K37" i="63807" s="1"/>
  <c r="K49" i="63807" s="1"/>
  <c r="K10" i="63807" s="1"/>
  <c r="K13" i="63807" s="1"/>
  <c r="AI107" i="1336"/>
  <c r="I16" i="63836" a="1"/>
  <c r="I16" i="63836" s="1"/>
  <c r="BL45" i="63802"/>
  <c r="N8" i="63836"/>
  <c r="I23" i="63836" a="1"/>
  <c r="I23" i="63836" s="1"/>
  <c r="AI83" i="1336" l="1"/>
  <c r="AI80" i="1336"/>
  <c r="AI81" i="1336" s="1"/>
  <c r="AI55" i="1336"/>
  <c r="I44" i="63808"/>
  <c r="AI78" i="1336"/>
  <c r="AH77" i="1336"/>
  <c r="AH51" i="1336"/>
  <c r="AH44" i="1336"/>
  <c r="AH45" i="1336"/>
  <c r="I26" i="63836" a="1"/>
  <c r="I26" i="63836" s="1"/>
  <c r="BL71" i="63802"/>
  <c r="AJ287" i="1336"/>
  <c r="AJ289" i="1336" s="1"/>
  <c r="AG287" i="1336"/>
  <c r="AG289" i="1336" s="1"/>
  <c r="AI111" i="1336"/>
  <c r="AI84" i="1336" l="1"/>
  <c r="Q63" i="63836" s="1" a="1"/>
  <c r="Q63" i="63836" s="1"/>
  <c r="I19" i="63836" a="1"/>
  <c r="I19" i="63836" s="1"/>
  <c r="Q19" i="63836" s="1"/>
  <c r="AH80" i="1336"/>
  <c r="AH83" i="1336"/>
  <c r="AH78" i="1336"/>
  <c r="AH55" i="1336"/>
  <c r="AI93" i="1336"/>
  <c r="AH111" i="1336"/>
  <c r="AH145" i="1336" s="1"/>
  <c r="AI142" i="1336"/>
  <c r="AI145" i="1336"/>
  <c r="I27" i="63836" a="1"/>
  <c r="I27" i="63836" s="1"/>
  <c r="I40" i="63836" s="1"/>
  <c r="Q28" i="63836" l="1"/>
  <c r="Q22" i="63836"/>
  <c r="AK84" i="1336"/>
  <c r="AH84" i="1336"/>
  <c r="K53" i="63807"/>
  <c r="K55" i="63807" s="1"/>
  <c r="K58" i="63807" s="1"/>
  <c r="I20" i="63836" a="1"/>
  <c r="I20" i="63836" s="1"/>
  <c r="AI94" i="1336"/>
  <c r="AI91" i="1336"/>
  <c r="AK81" i="1336"/>
  <c r="AH81" i="1336"/>
  <c r="AH142" i="1336"/>
  <c r="AI125" i="1336" l="1"/>
  <c r="AI92" i="1336"/>
  <c r="AH92" i="1336" l="1"/>
  <c r="I34" i="63836" a="1"/>
  <c r="I34" i="63836" s="1"/>
  <c r="AH125" i="1336"/>
  <c r="AI127" i="1336"/>
  <c r="AI187" i="1336"/>
  <c r="AI143" i="1336"/>
  <c r="AI56" i="1336"/>
  <c r="AI189" i="1336" l="1"/>
  <c r="AH187" i="1336"/>
  <c r="I37" i="63836" a="1"/>
  <c r="I37" i="63836" s="1"/>
  <c r="I36" i="63836" s="1"/>
  <c r="AH127" i="1336"/>
  <c r="AI129" i="1336"/>
  <c r="AH93" i="1336"/>
  <c r="AH56" i="1336"/>
  <c r="I68" i="63836" l="1" a="1"/>
  <c r="I68" i="63836" s="1"/>
  <c r="BL48" i="63802"/>
  <c r="AH189" i="1336"/>
  <c r="AH129" i="1336"/>
  <c r="I38" i="63836" a="1"/>
  <c r="I38" i="63836" s="1"/>
  <c r="AI150" i="1336"/>
  <c r="AI213" i="1336" l="1"/>
  <c r="AL134" i="1336"/>
  <c r="AH150" i="1336"/>
  <c r="AH213" i="1336" s="1"/>
  <c r="AH214" i="1336" s="1"/>
  <c r="I43" i="63836" a="1"/>
  <c r="I43" i="63836" s="1"/>
  <c r="AI132" i="1336"/>
  <c r="AI154" i="1336"/>
  <c r="AL16" i="63830"/>
  <c r="AL80" i="63829" s="1"/>
  <c r="AL81" i="63829" s="1"/>
  <c r="AL37" i="1336" s="1"/>
  <c r="I47" i="63836" l="1" a="1"/>
  <c r="I47" i="63836" s="1"/>
  <c r="I46" i="63836" s="1"/>
  <c r="AH154" i="1336"/>
  <c r="AI165" i="1336"/>
  <c r="BL46" i="63802"/>
  <c r="BL47" i="63802" s="1"/>
  <c r="AH132" i="1336"/>
  <c r="AH137" i="1336" s="1"/>
  <c r="AL131" i="1336"/>
  <c r="AI133" i="1336"/>
  <c r="J13" i="63836" a="1"/>
  <c r="J13" i="63836" s="1"/>
  <c r="AL139" i="1336"/>
  <c r="BM44" i="63802"/>
  <c r="L29" i="63807"/>
  <c r="L36" i="63807" s="1"/>
  <c r="AL39" i="1336"/>
  <c r="AL136" i="1336"/>
  <c r="AI214" i="1336"/>
  <c r="Q66" i="63836" a="1"/>
  <c r="Q66" i="63836" s="1"/>
  <c r="L27" i="63807" l="1"/>
  <c r="J14" i="63836" a="1"/>
  <c r="J14" i="63836" s="1"/>
  <c r="AL41" i="1336"/>
  <c r="AL43" i="1336" s="1"/>
  <c r="AL105" i="1336"/>
  <c r="AH165" i="1336"/>
  <c r="AH286" i="1336" s="1"/>
  <c r="AI286" i="1336"/>
  <c r="AI287" i="1336" s="1"/>
  <c r="AI289" i="1336" s="1"/>
  <c r="Q67" i="63836" s="1" a="1"/>
  <c r="Q67" i="63836" s="1"/>
  <c r="I55" i="63836" a="1"/>
  <c r="I55" i="63836" s="1"/>
  <c r="AI190" i="1336"/>
  <c r="AI193" i="1336"/>
  <c r="AL44" i="1336" l="1"/>
  <c r="J17" i="63836" a="1"/>
  <c r="J17" i="63836" s="1"/>
  <c r="AL45" i="1336"/>
  <c r="R56" i="63836" s="1" a="1"/>
  <c r="R56" i="63836" s="1"/>
  <c r="AL51" i="1336"/>
  <c r="AL77" i="1336"/>
  <c r="AH287" i="1336"/>
  <c r="AH289" i="1336" s="1"/>
  <c r="AK287" i="1336"/>
  <c r="AK289" i="1336" s="1"/>
  <c r="AL107" i="1336"/>
  <c r="J16" i="63836" a="1"/>
  <c r="J16" i="63836" s="1"/>
  <c r="L35" i="63807"/>
  <c r="L37" i="63807" s="1"/>
  <c r="L49" i="63807" s="1"/>
  <c r="L10" i="63807" s="1"/>
  <c r="L13" i="63807" s="1"/>
  <c r="BM45" i="63802"/>
  <c r="J23" i="63836" a="1"/>
  <c r="J23" i="63836" s="1"/>
  <c r="J26" i="63836" l="1" a="1"/>
  <c r="J26" i="63836" s="1"/>
  <c r="AL80" i="1336"/>
  <c r="AL81" i="1336" s="1"/>
  <c r="AL83" i="1336"/>
  <c r="AL55" i="1336"/>
  <c r="AL93" i="1336" s="1"/>
  <c r="AL78" i="1336"/>
  <c r="R62" i="63836" a="1"/>
  <c r="R62" i="63836" s="1"/>
  <c r="AL111" i="1336"/>
  <c r="BM71" i="63802" l="1"/>
  <c r="AL142" i="1336"/>
  <c r="AL145" i="1336"/>
  <c r="J27" i="63836" a="1"/>
  <c r="J27" i="63836" s="1"/>
  <c r="J40" i="63836" s="1"/>
  <c r="L53" i="63807"/>
  <c r="L55" i="63807" s="1"/>
  <c r="L58" i="63807" s="1"/>
  <c r="J20" i="63836" a="1"/>
  <c r="J20" i="63836" s="1"/>
  <c r="AL94" i="1336"/>
  <c r="AL91" i="1336"/>
  <c r="AL92" i="1336" s="1"/>
  <c r="J19" i="63836" a="1"/>
  <c r="J19" i="63836" s="1"/>
  <c r="R19" i="63836" s="1"/>
  <c r="AL84" i="1336"/>
  <c r="R63" i="63836" s="1" a="1"/>
  <c r="R63" i="63836" s="1"/>
  <c r="R22" i="63836" l="1"/>
  <c r="R28" i="63836"/>
  <c r="AL56" i="1336"/>
  <c r="AL125" i="1336"/>
  <c r="AL143" i="1336" s="1"/>
  <c r="J34" i="63836" l="1" a="1"/>
  <c r="J34" i="63836" s="1"/>
  <c r="AL127" i="1336"/>
  <c r="AL187" i="1336"/>
  <c r="AL189" i="1336" l="1"/>
  <c r="J37" i="63836" a="1"/>
  <c r="J37" i="63836" s="1"/>
  <c r="J36" i="63836" s="1"/>
  <c r="AL129" i="1336"/>
  <c r="J68" i="63836" l="1" a="1"/>
  <c r="J68" i="63836" s="1"/>
  <c r="BM48" i="63802"/>
  <c r="J38" i="63836" a="1"/>
  <c r="J38" i="63836" s="1"/>
  <c r="AL150" i="1336"/>
  <c r="AL213" i="1336" l="1"/>
  <c r="AO16" i="63830"/>
  <c r="AO80" i="63829" s="1"/>
  <c r="AO81" i="63829" s="1"/>
  <c r="AO37" i="1336" s="1"/>
  <c r="AO134" i="1336"/>
  <c r="AO136" i="1336" s="1"/>
  <c r="AL132" i="1336"/>
  <c r="AL154" i="1336"/>
  <c r="J43" i="63836" a="1"/>
  <c r="J43" i="63836" s="1"/>
  <c r="AO139" i="1336" l="1"/>
  <c r="M29" i="63807"/>
  <c r="M36" i="63807" s="1"/>
  <c r="BN44" i="63802"/>
  <c r="AO39" i="1336"/>
  <c r="J47" i="63836" a="1"/>
  <c r="J47" i="63836" s="1"/>
  <c r="J46" i="63836" s="1"/>
  <c r="AL165" i="1336"/>
  <c r="BM46" i="63802"/>
  <c r="BM47" i="63802" s="1"/>
  <c r="AO131" i="1336"/>
  <c r="AL133" i="1336"/>
  <c r="R66" i="63836" a="1"/>
  <c r="R66" i="63836" s="1"/>
  <c r="AL214" i="1336"/>
  <c r="AO41" i="1336" l="1"/>
  <c r="M27" i="63807"/>
  <c r="AO105" i="1336"/>
  <c r="AL286" i="1336"/>
  <c r="AL287" i="1336" s="1"/>
  <c r="AL289" i="1336" s="1"/>
  <c r="R67" i="63836" s="1" a="1"/>
  <c r="R67" i="63836" s="1"/>
  <c r="AL190" i="1336"/>
  <c r="J55" i="63836" a="1"/>
  <c r="J55" i="63836" s="1"/>
  <c r="AL193" i="1336"/>
  <c r="AO107" i="1336" l="1"/>
  <c r="AO111" i="1336" s="1"/>
  <c r="M35" i="63807"/>
  <c r="M37" i="63807" s="1"/>
  <c r="M49" i="63807" s="1"/>
  <c r="M10" i="63807" s="1"/>
  <c r="M13" i="63807" s="1"/>
  <c r="BN45" i="63802"/>
  <c r="AO43" i="1336"/>
  <c r="AO142" i="1336" l="1"/>
  <c r="AO145" i="1336"/>
  <c r="AO77" i="1336"/>
  <c r="AO78" i="1336" s="1"/>
  <c r="AO44" i="1336"/>
  <c r="AO45" i="1336"/>
  <c r="AO51" i="1336"/>
  <c r="AO83" i="1336" l="1"/>
  <c r="AO84" i="1336" s="1"/>
  <c r="AO80" i="1336"/>
  <c r="AO81" i="1336" s="1"/>
  <c r="AO55" i="1336"/>
  <c r="AO93" i="1336" l="1"/>
  <c r="BN71" i="63802"/>
  <c r="M53" i="63807" l="1"/>
  <c r="M55" i="63807" s="1"/>
  <c r="M58" i="63807" s="1"/>
  <c r="AO94" i="1336"/>
  <c r="AO91" i="1336"/>
  <c r="AO92" i="1336" s="1"/>
  <c r="AO56" i="1336" l="1"/>
  <c r="AO125" i="1336"/>
  <c r="AO127" i="1336" l="1"/>
  <c r="AO129" i="1336" s="1"/>
  <c r="AO150" i="1336" s="1"/>
  <c r="AO143" i="1336"/>
  <c r="AO187" i="1336"/>
  <c r="AO189" i="1336" l="1"/>
  <c r="BN48" i="63802" s="1"/>
  <c r="AO132" i="1336"/>
  <c r="AR134" i="1336"/>
  <c r="AR136" i="1336" s="1"/>
  <c r="AO213" i="1336"/>
  <c r="AO214" i="1336" s="1"/>
  <c r="AO154" i="1336"/>
  <c r="AR16" i="63830"/>
  <c r="AR80" i="63829" s="1"/>
  <c r="AR81" i="63829" s="1"/>
  <c r="AR37" i="1336" s="1"/>
  <c r="AR131" i="1336" l="1"/>
  <c r="BN46" i="63802"/>
  <c r="BN47" i="63802" s="1"/>
  <c r="AO133" i="1336"/>
  <c r="BO44" i="63802"/>
  <c r="AR139" i="1336"/>
  <c r="N29" i="63807"/>
  <c r="N36" i="63807" s="1"/>
  <c r="AR39" i="1336"/>
  <c r="AO165" i="1336"/>
  <c r="AO190" i="1336" l="1"/>
  <c r="AO286" i="1336"/>
  <c r="AO287" i="1336" s="1"/>
  <c r="AO289" i="1336" s="1"/>
  <c r="AO193" i="1336"/>
  <c r="AR41" i="1336"/>
  <c r="AR105" i="1336"/>
  <c r="N27" i="63807"/>
  <c r="BO45" i="63802" l="1"/>
  <c r="AR107" i="1336"/>
  <c r="N35" i="63807"/>
  <c r="N37" i="63807" s="1"/>
  <c r="N49" i="63807" s="1"/>
  <c r="N10" i="63807" s="1"/>
  <c r="N13" i="63807" s="1"/>
  <c r="AR43" i="1336"/>
  <c r="AR77" i="1336" l="1"/>
  <c r="AR78" i="1336" s="1"/>
  <c r="AR45" i="1336"/>
  <c r="AR44" i="1336"/>
  <c r="AR51" i="1336"/>
  <c r="AR111" i="1336"/>
  <c r="AR142" i="1336" l="1"/>
  <c r="AR145" i="1336"/>
  <c r="AR80" i="1336"/>
  <c r="AR81" i="1336" s="1"/>
  <c r="AR55" i="1336"/>
  <c r="AR83" i="1336"/>
  <c r="AR84" i="1336" s="1"/>
  <c r="AR93" i="1336" l="1"/>
  <c r="BO71" i="63802"/>
  <c r="AR94" i="1336" l="1"/>
  <c r="N53" i="63807"/>
  <c r="N55" i="63807" s="1"/>
  <c r="N58" i="63807" s="1"/>
  <c r="AR91" i="1336"/>
  <c r="AR125" i="1336" l="1"/>
  <c r="AR92" i="1336"/>
  <c r="AR127" i="1336" l="1"/>
  <c r="AR129" i="1336" s="1"/>
  <c r="AR150" i="1336" s="1"/>
  <c r="AR187" i="1336"/>
  <c r="AR143" i="1336"/>
  <c r="AR56" i="1336"/>
  <c r="AR189" i="1336" l="1"/>
  <c r="BO48" i="63802" s="1"/>
  <c r="AR213" i="1336"/>
  <c r="AR214" i="1336" s="1"/>
  <c r="AR154" i="1336"/>
  <c r="AU134" i="1336"/>
  <c r="AU136" i="1336" s="1"/>
  <c r="AR132" i="1336"/>
  <c r="AU16" i="63830"/>
  <c r="AU80" i="63829" s="1"/>
  <c r="AU81" i="63829" s="1"/>
  <c r="AU37" i="1336" s="1"/>
  <c r="AR165" i="1336" l="1"/>
  <c r="AR193" i="1336" s="1"/>
  <c r="BO46" i="63802"/>
  <c r="BO47" i="63802" s="1"/>
  <c r="AU131" i="1336"/>
  <c r="AR133" i="1336"/>
  <c r="O29" i="63807"/>
  <c r="O36" i="63807" s="1"/>
  <c r="AU139" i="1336"/>
  <c r="AU39" i="1336"/>
  <c r="AU105" i="1336" l="1"/>
  <c r="O27" i="63807"/>
  <c r="AU41" i="1336"/>
  <c r="AU43" i="1336" s="1"/>
  <c r="AR190" i="1336"/>
  <c r="AR286" i="1336"/>
  <c r="AR287" i="1336" s="1"/>
  <c r="AR289" i="1336" s="1"/>
  <c r="AU77" i="1336" l="1"/>
  <c r="AU78" i="1336" s="1"/>
  <c r="AU51" i="1336"/>
  <c r="AU45" i="1336"/>
  <c r="AU44" i="1336"/>
  <c r="AU107" i="1336"/>
  <c r="AU111" i="1336" s="1"/>
  <c r="O35" i="63807"/>
  <c r="O37" i="63807" s="1"/>
  <c r="O49" i="63807" s="1"/>
  <c r="O10" i="63807" s="1"/>
  <c r="O13" i="63807" s="1"/>
  <c r="AU145" i="1336" l="1"/>
  <c r="AU142" i="1336"/>
  <c r="AU83" i="1336"/>
  <c r="AU84" i="1336" s="1"/>
  <c r="AU80" i="1336"/>
  <c r="AU81" i="1336" s="1"/>
  <c r="AU55" i="1336"/>
  <c r="AU93" i="1336" s="1"/>
  <c r="O53" i="63807" l="1"/>
  <c r="O55" i="63807" s="1"/>
  <c r="O58" i="63807" s="1"/>
  <c r="AU94" i="1336"/>
  <c r="AU91" i="1336"/>
  <c r="AU125" i="1336" l="1"/>
  <c r="AU92" i="1336"/>
  <c r="AU127" i="1336" l="1"/>
  <c r="AU129" i="1336" s="1"/>
  <c r="AU150" i="1336" s="1"/>
  <c r="AU187" i="1336"/>
  <c r="AU143" i="1336"/>
  <c r="AU56" i="1336"/>
  <c r="AU189" i="1336" l="1"/>
  <c r="AU132" i="1336"/>
  <c r="AU213" i="1336"/>
  <c r="AU214" i="1336" s="1"/>
  <c r="AX134" i="1336"/>
  <c r="AX136" i="1336" s="1"/>
  <c r="AU154" i="1336"/>
  <c r="AX16" i="63830"/>
  <c r="AX80" i="63829" s="1"/>
  <c r="AX81" i="63829" s="1"/>
  <c r="AX37" i="1336" s="1"/>
  <c r="AX131" i="1336" l="1"/>
  <c r="AU133" i="1336"/>
  <c r="AU165" i="1336"/>
  <c r="AX139" i="1336"/>
  <c r="AX39" i="1336"/>
  <c r="P29" i="63807"/>
  <c r="P36" i="63807" s="1"/>
  <c r="P27" i="63807" l="1"/>
  <c r="AX41" i="1336"/>
  <c r="AX43" i="1336" s="1"/>
  <c r="AX105" i="1336"/>
  <c r="AU190" i="1336"/>
  <c r="AU286" i="1336"/>
  <c r="AU287" i="1336" s="1"/>
  <c r="AU289" i="1336" s="1"/>
  <c r="AU193" i="1336"/>
  <c r="P35" i="63807" l="1"/>
  <c r="P37" i="63807" s="1"/>
  <c r="P49" i="63807" s="1"/>
  <c r="P10" i="63807" s="1"/>
  <c r="P13" i="63807" s="1"/>
  <c r="AX107" i="1336"/>
  <c r="AX77" i="1336"/>
  <c r="AX78" i="1336" s="1"/>
  <c r="AX44" i="1336"/>
  <c r="AX45" i="1336"/>
  <c r="AX51" i="1336"/>
  <c r="AX80" i="1336" l="1"/>
  <c r="AX81" i="1336" s="1"/>
  <c r="AX83" i="1336"/>
  <c r="AX84" i="1336" s="1"/>
  <c r="AX55" i="1336"/>
  <c r="AX93" i="1336" s="1"/>
  <c r="AX111" i="1336"/>
  <c r="P53" i="63807" l="1"/>
  <c r="P55" i="63807" s="1"/>
  <c r="P58" i="63807" s="1"/>
  <c r="AX94" i="1336"/>
  <c r="AX91" i="1336"/>
  <c r="AX92" i="1336" s="1"/>
  <c r="AX142" i="1336"/>
  <c r="AX145" i="1336"/>
  <c r="AX56" i="1336" l="1"/>
  <c r="AX125" i="1336"/>
  <c r="AX127" i="1336" l="1"/>
  <c r="AX129" i="1336" s="1"/>
  <c r="AX150" i="1336" s="1"/>
  <c r="AX187" i="1336"/>
  <c r="AX143" i="1336"/>
  <c r="AX189" i="1336" l="1"/>
  <c r="AX154" i="1336"/>
  <c r="AX213" i="1336"/>
  <c r="AX214" i="1336" s="1"/>
  <c r="AX132" i="1336"/>
  <c r="BA134" i="1336"/>
  <c r="BA136" i="1336" s="1"/>
  <c r="BA16" i="63830"/>
  <c r="BA80" i="63829" s="1"/>
  <c r="BA81" i="63829" s="1"/>
  <c r="BA37" i="1336" s="1"/>
  <c r="BA131" i="1336" l="1"/>
  <c r="AX133" i="1336"/>
  <c r="AX165" i="1336"/>
  <c r="AX193" i="1336" s="1"/>
  <c r="Q29" i="63807"/>
  <c r="Q36" i="63807" s="1"/>
  <c r="BA139" i="1336"/>
  <c r="BA39" i="1336"/>
  <c r="AX286" i="1336" l="1"/>
  <c r="AX287" i="1336" s="1"/>
  <c r="AX289" i="1336" s="1"/>
  <c r="AX190" i="1336"/>
  <c r="BA105" i="1336"/>
  <c r="BA41" i="1336"/>
  <c r="BA43" i="1336" s="1"/>
  <c r="Q27" i="63807"/>
  <c r="BA45" i="1336" l="1"/>
  <c r="BA77" i="1336"/>
  <c r="BA78" i="1336" s="1"/>
  <c r="BA51" i="1336"/>
  <c r="BA44" i="1336"/>
  <c r="Q35" i="63807"/>
  <c r="Q37" i="63807" s="1"/>
  <c r="Q49" i="63807" s="1"/>
  <c r="Q10" i="63807" s="1"/>
  <c r="Q13" i="63807" s="1"/>
  <c r="BA107" i="1336"/>
  <c r="BA111" i="1336" s="1"/>
  <c r="BA145" i="1336" l="1"/>
  <c r="BA142" i="1336"/>
  <c r="BA83" i="1336"/>
  <c r="BA84" i="1336" s="1"/>
  <c r="BA80" i="1336"/>
  <c r="BA81" i="1336" s="1"/>
  <c r="BA55" i="1336"/>
  <c r="BA93" i="1336" s="1"/>
  <c r="Q53" i="63807" l="1"/>
  <c r="Q55" i="63807" s="1"/>
  <c r="Q58" i="63807" s="1"/>
  <c r="BA94" i="1336"/>
  <c r="BA91" i="1336"/>
  <c r="BA92" i="1336" s="1"/>
  <c r="BA56" i="1336" l="1"/>
  <c r="BA125" i="1336"/>
  <c r="BA127" i="1336" l="1"/>
  <c r="BA129" i="1336" s="1"/>
  <c r="BA150" i="1336" s="1"/>
  <c r="BA187" i="1336"/>
  <c r="BA143" i="1336"/>
  <c r="BA189" i="1336" l="1"/>
  <c r="BD134" i="1336"/>
  <c r="BD136" i="1336" s="1"/>
  <c r="BA154" i="1336"/>
  <c r="BA213" i="1336"/>
  <c r="BA214" i="1336" s="1"/>
  <c r="BA132" i="1336"/>
  <c r="BD16" i="63830"/>
  <c r="BD80" i="63829" s="1"/>
  <c r="BD81" i="63829" s="1"/>
  <c r="BD37" i="1336" s="1"/>
  <c r="BD131" i="1336" l="1"/>
  <c r="BA133" i="1336"/>
  <c r="BA165" i="1336"/>
  <c r="BA193" i="1336" s="1"/>
  <c r="BD139" i="1336"/>
  <c r="R29" i="63807"/>
  <c r="R36" i="63807" s="1"/>
  <c r="BD39" i="1336"/>
  <c r="BA190" i="1336" l="1"/>
  <c r="BA286" i="1336"/>
  <c r="BA287" i="1336" s="1"/>
  <c r="BA289" i="1336" s="1"/>
  <c r="R27" i="63807"/>
  <c r="BD41" i="1336"/>
  <c r="BD105" i="1336"/>
  <c r="BD107" i="1336" l="1"/>
  <c r="BD111" i="1336" s="1"/>
  <c r="R35" i="63807"/>
  <c r="R37" i="63807" s="1"/>
  <c r="R49" i="63807" s="1"/>
  <c r="R10" i="63807" s="1"/>
  <c r="R13" i="63807" s="1"/>
  <c r="BD43" i="1336"/>
  <c r="BD145" i="1336" l="1"/>
  <c r="BD142" i="1336"/>
  <c r="BD77" i="1336"/>
  <c r="BD78" i="1336" s="1"/>
  <c r="BD45" i="1336"/>
  <c r="BD51" i="1336"/>
  <c r="BD44" i="1336"/>
  <c r="BD55" i="1336" l="1"/>
  <c r="BD93" i="1336" s="1"/>
  <c r="BD83" i="1336"/>
  <c r="BD84" i="1336" s="1"/>
  <c r="BD80" i="1336"/>
  <c r="BD81" i="1336" s="1"/>
  <c r="R53" i="63807" l="1"/>
  <c r="R55" i="63807" s="1"/>
  <c r="R58" i="63807" s="1"/>
  <c r="BD94" i="1336"/>
  <c r="BD91" i="1336"/>
  <c r="BD125" i="1336" l="1"/>
  <c r="BD92" i="1336"/>
  <c r="BD127" i="1336" l="1"/>
  <c r="BD129" i="1336" s="1"/>
  <c r="BD150" i="1336" s="1"/>
  <c r="BD143" i="1336"/>
  <c r="BD187" i="1336"/>
  <c r="BD56" i="1336"/>
  <c r="BD189" i="1336" l="1"/>
  <c r="BD132" i="1336"/>
  <c r="BG134" i="1336"/>
  <c r="BG136" i="1336" s="1"/>
  <c r="BD154" i="1336"/>
  <c r="BG16" i="63830"/>
  <c r="BG80" i="63829" s="1"/>
  <c r="BG81" i="63829" s="1"/>
  <c r="BG37" i="1336" s="1"/>
  <c r="BD213" i="1336"/>
  <c r="BD214" i="1336" s="1"/>
  <c r="BD165" i="1336" l="1"/>
  <c r="BG131" i="1336"/>
  <c r="BD133" i="1336"/>
  <c r="BG139" i="1336"/>
  <c r="S29" i="63807"/>
  <c r="S36" i="63807" s="1"/>
  <c r="BG39" i="1336"/>
  <c r="BD190" i="1336" l="1"/>
  <c r="BD286" i="1336"/>
  <c r="BD287" i="1336" s="1"/>
  <c r="BD289" i="1336" s="1"/>
  <c r="BG105" i="1336"/>
  <c r="BG41" i="1336"/>
  <c r="S27" i="63807"/>
  <c r="BD193" i="1336"/>
  <c r="S35" i="63807" l="1"/>
  <c r="S37" i="63807" s="1"/>
  <c r="S49" i="63807" s="1"/>
  <c r="S10" i="63807" s="1"/>
  <c r="S13" i="63807" s="1"/>
  <c r="BG107" i="1336"/>
  <c r="BG111" i="1336" s="1"/>
  <c r="BG43" i="1336"/>
  <c r="BG77" i="1336" l="1"/>
  <c r="BG78" i="1336" s="1"/>
  <c r="BG45" i="1336"/>
  <c r="BG44" i="1336"/>
  <c r="BG51" i="1336"/>
  <c r="BG145" i="1336"/>
  <c r="BG142" i="1336"/>
  <c r="BG80" i="1336" l="1"/>
  <c r="BG81" i="1336" s="1"/>
  <c r="BG83" i="1336"/>
  <c r="BG84" i="1336" s="1"/>
  <c r="BG55" i="1336"/>
  <c r="BG93" i="1336" s="1"/>
  <c r="BG94" i="1336" l="1"/>
  <c r="S53" i="63807"/>
  <c r="S55" i="63807" s="1"/>
  <c r="S58" i="63807" s="1"/>
  <c r="BG91" i="1336"/>
  <c r="BG125" i="1336" l="1"/>
  <c r="BG92" i="1336"/>
  <c r="BG127" i="1336" l="1"/>
  <c r="BG129" i="1336" s="1"/>
  <c r="BG150" i="1336" s="1"/>
  <c r="BG143" i="1336"/>
  <c r="BG187" i="1336"/>
  <c r="BG56" i="1336"/>
  <c r="BG189" i="1336" l="1"/>
  <c r="BG154" i="1336"/>
  <c r="BG132" i="1336"/>
  <c r="BJ134" i="1336"/>
  <c r="BJ136" i="1336" s="1"/>
  <c r="BJ16" i="63830"/>
  <c r="BJ80" i="63829" s="1"/>
  <c r="BJ81" i="63829" s="1"/>
  <c r="BJ37" i="1336" s="1"/>
  <c r="BG213" i="1336"/>
  <c r="BG214" i="1336" s="1"/>
  <c r="BJ131" i="1336" l="1"/>
  <c r="BG133" i="1336"/>
  <c r="BG165" i="1336"/>
  <c r="T29" i="63807"/>
  <c r="T36" i="63807" s="1"/>
  <c r="BJ139" i="1336"/>
  <c r="BJ39" i="1336"/>
  <c r="BG190" i="1336" l="1"/>
  <c r="BG286" i="1336"/>
  <c r="BG287" i="1336" s="1"/>
  <c r="BG289" i="1336" s="1"/>
  <c r="BG193" i="1336"/>
  <c r="T27" i="63807"/>
  <c r="BJ41" i="1336"/>
  <c r="BJ105" i="1336"/>
  <c r="Z5" i="63811" l="1"/>
  <c r="Z4" i="63811" s="1"/>
  <c r="BJ107" i="1336"/>
  <c r="BJ111" i="1336" s="1"/>
  <c r="T35" i="63807"/>
  <c r="T37" i="63807" s="1"/>
  <c r="T49" i="63807" s="1"/>
  <c r="T10" i="63807" s="1"/>
  <c r="BJ43" i="1336"/>
  <c r="T13" i="63807" l="1"/>
  <c r="U10" i="63807"/>
  <c r="U13" i="63807" s="1"/>
  <c r="BJ77" i="1336"/>
  <c r="BJ78" i="1336" s="1"/>
  <c r="BJ45" i="1336"/>
  <c r="BJ44" i="1336"/>
  <c r="BJ51" i="1336"/>
  <c r="BJ142" i="1336"/>
  <c r="BJ145" i="1336"/>
  <c r="Z7" i="63811"/>
  <c r="Z29" i="63811"/>
  <c r="Z30" i="63811" s="1"/>
  <c r="C16" i="63807" l="1"/>
  <c r="BJ55" i="1336"/>
  <c r="BJ93" i="1336" s="1"/>
  <c r="BJ80" i="1336"/>
  <c r="BJ81" i="1336" s="1"/>
  <c r="BJ83" i="1336"/>
  <c r="BJ84" i="1336" s="1"/>
  <c r="C19" i="63807" l="1"/>
  <c r="T53" i="63807"/>
  <c r="BJ94" i="1336"/>
  <c r="BJ91" i="1336"/>
  <c r="BJ92" i="1336" s="1"/>
  <c r="BJ56" i="1336" l="1"/>
  <c r="BJ125" i="1336"/>
  <c r="T55" i="63807"/>
  <c r="T58" i="63807" s="1"/>
  <c r="U53" i="63807"/>
  <c r="U55" i="63807" s="1"/>
  <c r="U58" i="63807" s="1"/>
  <c r="U59" i="63807" l="1"/>
  <c r="C21" i="63807" s="1"/>
  <c r="BJ127" i="1336"/>
  <c r="BJ129" i="1336" s="1"/>
  <c r="BJ150" i="1336" s="1"/>
  <c r="BJ143" i="1336"/>
  <c r="BJ187" i="1336"/>
  <c r="BJ189" i="1336" s="1"/>
  <c r="C22" i="63807" l="1"/>
  <c r="BJ213" i="1336"/>
  <c r="BJ214" i="1336" s="1"/>
  <c r="BJ154" i="1336"/>
  <c r="BJ132" i="1336"/>
  <c r="I25" i="63808" l="1"/>
  <c r="I32" i="63808" s="1"/>
  <c r="Z36" i="63811"/>
  <c r="BJ133" i="1336"/>
  <c r="BJ165" i="1336"/>
  <c r="D18" i="63842" l="1"/>
  <c r="N7" i="63836"/>
  <c r="Z40" i="63811"/>
  <c r="Z37" i="63811"/>
  <c r="Z39" i="63811" s="1"/>
  <c r="O6" i="63824"/>
  <c r="I35" i="63808"/>
  <c r="I37" i="63808" s="1"/>
  <c r="D19" i="63842"/>
  <c r="C8" i="63816"/>
  <c r="N9" i="63836"/>
  <c r="BJ286" i="1336"/>
  <c r="BJ287" i="1336" s="1"/>
  <c r="BJ289" i="1336" s="1"/>
  <c r="BJ190" i="1336"/>
  <c r="BJ193" i="1336"/>
  <c r="X13" i="63836" l="1"/>
  <c r="R9" i="63836"/>
  <c r="O14" i="63824"/>
  <c r="O11" i="63824"/>
  <c r="O8" i="63824"/>
  <c r="O7" i="63824"/>
  <c r="O19" i="63824" l="1"/>
  <c r="O16" i="63824"/>
  <c r="O15" i="63824"/>
  <c r="N25" i="63836"/>
  <c r="Q25" i="63836"/>
  <c r="O25" i="63836"/>
  <c r="L24" i="63836"/>
  <c r="P25" i="63836"/>
  <c r="R25" i="63836"/>
  <c r="R10" i="63836"/>
  <c r="O17" i="63824" l="1"/>
  <c r="O20" i="638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Leigh, James [GIR]</author>
  </authors>
  <commentList>
    <comment ref="A1" authorId="0" shapeId="0" xr:uid="{EE235EBA-456F-4AD8-90D5-EED5AF5859E3}">
      <text>
        <r>
          <rPr>
            <b/>
            <sz val="9"/>
            <color indexed="81"/>
            <rFont val="Tahoma"/>
            <charset val="1"/>
          </rPr>
          <t>&lt;?xml version="1.0" encoding="utf-8"?&gt;&lt;Schema xmlns:xsd="http://www.w3.org/2001/XMLSchema" xmlns:xsi="http://www.w3.org/2001/XMLSchema-instance" Version="2" Timestamp="1761253642"&gt;&lt;FQL&gt;&lt;Q&gt;SUL-AU^FE_ESTIMATE(EBIT_ADJ,MEAN,ANN_ROLL,+1,NOW,,,'')&lt;/Q&gt;&lt;R&gt;1&lt;/R&gt;&lt;C&gt;1&lt;/C&gt;&lt;D xsi:type="xsd:double"&gt;395.96948&lt;/D&gt;&lt;/FQL&gt;&lt;FQL&gt;&lt;Q&gt;SUL-AU^FE_ESTIMATE(DPS,MEAN,ANN_ROLL,+1,NOW,,,'')&lt;/Q&gt;&lt;R&gt;1&lt;/R&gt;&lt;C&gt;1&lt;/C&gt;&lt;D xsi:type="xsd:double"&gt;0.84225094&lt;/D&gt;&lt;/FQL&gt;&lt;FQL&gt;&lt;Q&gt;SUL-AU^FE_ESTIMATE(SALES,MEAN,ANN_ROLL,+2,NOW,,,'')&lt;/Q&gt;&lt;R&gt;1&lt;/R&gt;&lt;C&gt;1&lt;/C&gt;&lt;D xsi:type="xsd:double"&gt;4031.7625&lt;/D&gt;&lt;/FQL&gt;&lt;FQL&gt;&lt;Q&gt;SUL-AU^FE_ESTIMATE(DEP_AMORT_EXP,MEAN,ANN_ROLL,+2,NOW,,,'')&lt;/Q&gt;&lt;R&gt;1&lt;/R&gt;&lt;C&gt;1&lt;/C&gt;&lt;D xsi:type="xsd:double"&gt;359.96536&lt;/D&gt;&lt;/FQL&gt;&lt;FQL&gt;&lt;Q&gt;SUL-AU^FE_ESTIMATE(EBITDA,MEAN,ANN_ROLL,+2,NOW,,,'')&lt;/Q&gt;&lt;R&gt;1&lt;/R&gt;&lt;C&gt;1&lt;/C&gt;&lt;D xsi:type="xsd:double"&gt;753.602&lt;/D&gt;&lt;/FQL&gt;&lt;FQL&gt;&lt;Q&gt;SUL-AU^FE_ESTIMATE(EBIT_ADJ,MEAN,ANN_ROLL,+2,NOW,,,'')&lt;/Q&gt;&lt;R&gt;1&lt;/R&gt;&lt;C&gt;1&lt;/C&gt;&lt;D xsi:type="xsd:double"&gt;396.88986&lt;/D&gt;&lt;/FQL&gt;&lt;FQL&gt;&lt;Q&gt;SUL-AU^FE_ESTIMATE(DEP_AMORT_EXP,MEAN,ANN_ROLL,+3,NOW,,,'')&lt;/Q&gt;&lt;R&gt;1&lt;/R&gt;&lt;C&gt;1&lt;/C&gt;&lt;D xsi:type="xsd:double"&gt;374.32648&lt;/D&gt;&lt;/FQL&gt;&lt;FQL&gt;&lt;Q&gt;SUL-AU^FE_ESTIMATE(NET_DEBT,MEAN,ANN_ROLL,+1,NOW,,,'')&lt;/Q&gt;&lt;R&gt;1&lt;/R&gt;&lt;C&gt;1&lt;/C&gt;&lt;D xsi:type="xsd:double"&gt;-160.01144&lt;/D&gt;&lt;/FQL&gt;&lt;FQL&gt;&lt;Q&gt;SUL-AU^FE_ESTIMATE(EPS,MEAN,ANN_ROLL,+1,NOW,,,'')&lt;/Q&gt;&lt;R&gt;1&lt;/R&gt;&lt;C&gt;1&lt;/C&gt;&lt;D xsi:type="xsd:double"&gt;1.0638378&lt;/D&gt;&lt;/FQL&gt;&lt;FQL&gt;&lt;Q&gt;SUL-AU^FE_ESTIMATE(EBIT,MEAN,ANN_ROLL,+2,NOW,,,'')&lt;/Q&gt;&lt;R&gt;1&lt;/R&gt;&lt;C&gt;1&lt;/C&gt;&lt;D xsi:type="xsd:double"&gt;396.7212&lt;/D&gt;&lt;/FQL&gt;&lt;FQL&gt;&lt;Q&gt;SUL-AU^FE_ESTIMATE(PTX_INC,MEAN,ANN_ROLL,+1,NOW,,,'')&lt;/Q&gt;&lt;R&gt;1&lt;/R&gt;&lt;C&gt;1&lt;/C&gt;&lt;D xsi:type="xsd:double"&gt;344.835&lt;/D&gt;&lt;/FQL&gt;&lt;FQL&gt;&lt;Q&gt;SUL-AU^FE_ESTIMATE(PTX_INC,MEAN,ANN_ROLL,+2,NOW,,,'')&lt;/Q&gt;&lt;R&gt;1&lt;/R&gt;&lt;C&gt;1&lt;/C&gt;&lt;D xsi:type="xsd:double"&gt;341.7287&lt;/D&gt;&lt;/FQL&gt;&lt;FQL&gt;&lt;Q&gt;SUL-AU^FE_ESTIMATE(GROSS_INC,MEAN,ANN_ROLL,+3,NOW,,,'')&lt;/Q&gt;&lt;R&gt;0&lt;/R&gt;&lt;C&gt;0&lt;/C&gt;&lt;/FQL&gt;&lt;FQL&gt;&lt;Q&gt;SUL-AU^FE_ESTIMATE(INT_EXP,MEAN,ANN_ROLL,+2,NOW,,,'')&lt;/Q&gt;&lt;R&gt;1&lt;/R&gt;&lt;C&gt;1&lt;/C&gt;&lt;D xsi:type="xsd:double"&gt;35.333332&lt;/D&gt;&lt;/FQL&gt;&lt;FQL&gt;&lt;Q&gt;SUL-AU^FE_ESTIMATE(EPS,MEAN,ANN_ROLL,+3,NOW,,,'')&lt;/Q&gt;&lt;R&gt;1&lt;/R&gt;&lt;C&gt;1&lt;/C&gt;&lt;D xsi:type="xsd:double"&gt;1.121349&lt;/D&gt;&lt;/FQL&gt;&lt;FQL&gt;&lt;Q&gt;SUL-AU^FE_ESTIMATE(INT_EXP,MEAN,ANN_ROLL,+1,NOW,,,'')&lt;/Q&gt;&lt;R&gt;1&lt;/R&gt;&lt;C&gt;1&lt;/C&gt;&lt;D xsi:type="xsd:double"&gt;36&lt;/D&gt;&lt;/FQL&gt;&lt;FQL&gt;&lt;Q&gt;SUL-AU^FE_ESTIMATE(NET_INC_ADJ,MEAN,ANN_ROLL,+3,NOW,,,'')&lt;/Q&gt;&lt;R&gt;1&lt;/R&gt;&lt;C&gt;1&lt;/C&gt;&lt;D xsi:type="xsd:double"&gt;256.55862&lt;/D&gt;&lt;/FQL&gt;&lt;FQL&gt;&lt;Q&gt;SUL-AU^FE_ESTIMATE(DEP_AMORT_EXP,MEAN,ANN_ROLL,+1,NOW,,,'')&lt;/Q&gt;&lt;R&gt;1&lt;/R&gt;&lt;C&gt;1&lt;/C&gt;&lt;D xsi:type="xsd:double"&gt;342.42523&lt;/D&gt;&lt;/FQL&gt;&lt;FQL&gt;&lt;Q&gt;SUL-AU^FE_ESTIMATE(INT_EXP,MEAN,ANN_ROLL,+3,NOW,,,'')&lt;/Q&gt;&lt;R&gt;1&lt;/R&gt;&lt;C&gt;1&lt;/C&gt;&lt;D xsi:type="xsd:double"&gt;37.7&lt;/D&gt;&lt;/FQL&gt;&lt;FQL&gt;&lt;Q&gt;SUL-AU^FE_ESTIMATE(NET_INC_ADJ,MEAN,ANN_ROLL,+2,NOW,,,'')&lt;/Q&gt;&lt;R&gt;1&lt;/R&gt;&lt;C&gt;1&lt;/C&gt;&lt;D xsi:type="xsd:double"&gt;239.76144&lt;/D&gt;&lt;/FQL&gt;&lt;FQL&gt;&lt;Q&gt;SUL-AU^FE_ESTIMATE(NET_INC_ADJ,MEAN,ANN_ROLL,+1,NOW,,,'')&lt;/Q&gt;&lt;R&gt;1&lt;/R&gt;&lt;C&gt;1&lt;/C&gt;&lt;D xsi:type="xsd:double"&gt;242.17337&lt;/D&gt;&lt;/FQL&gt;&lt;FQL&gt;&lt;Q&gt;SUL-AU^FE_ESTIMATE(NET_DEBT,MEAN,ANN_ROLL,+3,NOW,,,'')&lt;/Q&gt;&lt;R&gt;1&lt;/R&gt;&lt;C&gt;1&lt;/C&gt;&lt;D xsi:type="xsd:double"&gt;264.58157&lt;/D&gt;&lt;/FQL&gt;&lt;FQL&gt;&lt;Q&gt;SUL-AU^FE_ESTIMATE(EPS,MEAN,ANN_ROLL,+2,NOW,,,'')&lt;/Q&gt;&lt;R&gt;1&lt;/R&gt;&lt;C&gt;1&lt;/C&gt;&lt;D xsi:type="xsd:double"&gt;1.0524791&lt;/D&gt;&lt;/FQL&gt;&lt;FQL&gt;&lt;Q&gt;SUL-AU^FE_ESTIMATE(EBIT,MEAN,ANN_ROLL,+1,NOW,,,'')&lt;/Q&gt;&lt;R&gt;1&lt;/R&gt;&lt;C&gt;1&lt;/C&gt;&lt;D xsi:type="xsd:double"&gt;389.75748&lt;/D&gt;&lt;/FQL&gt;&lt;FQL&gt;&lt;Q&gt;SUL-AU^FE_ESTIMATE(EBITDA,MEAN,ANN_ROLL,+3,NOW,,,'')&lt;/Q&gt;&lt;R&gt;1&lt;/R&gt;&lt;C&gt;1&lt;/C&gt;&lt;D xsi:type="xsd:double"&gt;790.54755&lt;/D&gt;&lt;/FQL&gt;&lt;FQL&gt;&lt;Q&gt;SUL-AU^FE_ESTIMATE(SALES,MEAN,ANN_ROLL,+1,NOW,,,'')&lt;/Q&gt;&lt;R&gt;1&lt;/R&gt;&lt;C&gt;1&lt;/C&gt;&lt;D xsi:type="xsd:double"&gt;3890.988&lt;/D&gt;&lt;/FQL&gt;&lt;FQL&gt;&lt;Q&gt;SUL-AU^FE_ESTIMATE(EBIT,MEAN,ANN_ROLL,+3,NOW,,,'')&lt;/Q&gt;&lt;R&gt;1&lt;/R&gt;&lt;C&gt;1&lt;/C&gt;&lt;D xsi:type="xsd:double"&gt;423.61896&lt;/D&gt;&lt;/FQL&gt;&lt;FQL&gt;&lt;Q&gt;SUL-AU^FE_ESTIMATE(EBIT_ADJ,MEAN,ANN_ROLL,+3,NOW,,,'')&lt;/Q&gt;&lt;R&gt;1&lt;/R&gt;&lt;C&gt;1&lt;/C&gt;&lt;D xsi:type="xsd:double"&gt;425.5069&lt;/D&gt;&lt;/FQL&gt;&lt;FQL&gt;&lt;Q&gt;SUL-AU^FE_ESTIMATE(CF_OP,MEAN,ANN_ROLL,+3,NOW,,,'')&lt;/Q&gt;&lt;R&gt;1&lt;/R&gt;&lt;C&gt;1&lt;/C&gt;&lt;D xsi:type="xsd:double"&gt;619.85266&lt;/D&gt;&lt;/FQL&gt;&lt;FQL&gt;&lt;Q&gt;SUL-AU^FE_ESTIMATE(EBITDA,MEAN,ANN_ROLL,+1,NOW,,,'')&lt;/Q&gt;&lt;R&gt;1&lt;/R&gt;&lt;C&gt;1&lt;/C&gt;&lt;D xsi:type="xsd:double"&gt;741.10126&lt;/D&gt;&lt;/FQL&gt;&lt;FQL&gt;&lt;Q&gt;SUL-AU^FE_ESTIMATE(PTX_INC,MEAN,ANN_ROLL,+3,NOW,,,'')&lt;/Q&gt;&lt;R&gt;1&lt;/R&gt;&lt;C&gt;1&lt;/C&gt;&lt;D xsi:type="xsd:double"&gt;365.6126&lt;/D&gt;&lt;/FQL&gt;&lt;FQL&gt;&lt;Q&gt;SUL-AU^FE_ESTIMATE(CF_OP,MEAN,ANN_ROLL,+1,NOW,,,'')&lt;/Q&gt;&lt;R&gt;1&lt;/R&gt;&lt;C&gt;1&lt;/C&gt;&lt;D xsi:type="xsd:double"&gt;584.6219&lt;/D&gt;&lt;/FQL&gt;&lt;FQL&gt;&lt;Q&gt;SUL-AU^FE_ESTIMATE(GROSS_INC,MEAN,ANN_ROLL,+2,NOW,,,'')&lt;/Q&gt;&lt;R&gt;1&lt;/R&gt;&lt;C&gt;1&lt;/C&gt;&lt;D xsi:type="xsd:double"&gt;1502.3899&lt;/D&gt;&lt;/FQL&gt;&lt;FQL&gt;&lt;Q&gt;SUL-AU^FE_ESTIMATE(SALES,MEAN,ANN_ROLL,+1,-90D,,,'')&lt;/Q&gt;&lt;R&gt;1&lt;/R&gt;&lt;C&gt;1&lt;/C&gt;&lt;D xsi:type="xsd:double"&gt;3565.5586&lt;/D&gt;&lt;/FQL&gt;&lt;FQL&gt;&lt;Q&gt;SUL-AU^FE_ESTIMATE(CF_OP,MEAN,ANN_ROLL,+2,NOW,,,'')&lt;/Q&gt;&lt;R&gt;1&lt;/R&gt;&lt;C&gt;1&lt;/C&gt;&lt;D xsi:type="xsd:double"&gt;590.0633&lt;/D&gt;&lt;/FQL&gt;&lt;FQL&gt;&lt;Q&gt;SUL-AU^FE_ESTIMATE(SALES,MEAN,ANN_ROLL,+3,NOW,,,'')&lt;/Q&gt;&lt;R&gt;1&lt;/R&gt;&lt;C&gt;1&lt;/C&gt;&lt;D xsi:type="xsd:double"&gt;4210.591&lt;/D&gt;&lt;/FQL&gt;&lt;FQL&gt;&lt;Q&gt;SUL-AU^FE_ESTIMATE(GROSS_INC,MEAN,ANN_ROLL,+1,NOW,,,'')&lt;/Q&gt;&lt;R&gt;1&lt;/R&gt;&lt;C&gt;1&lt;/C&gt;&lt;D xsi:type="xsd:double"&gt;1784.7849&lt;/D&gt;&lt;/FQL&gt;&lt;FQL&gt;&lt;Q&gt;SUL-AU^FE_ESTIMATE(NET_DEBT,MEAN,ANN_ROLL,+2,NOW,,,'')&lt;/Q&gt;&lt;R&gt;1&lt;/R&gt;&lt;C&gt;1&lt;/C&gt;&lt;D xsi:type="xsd:double"&gt;-127.46048&lt;/D&gt;&lt;/FQL&gt;&lt;/Schema&gt;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Leigh, James [GIR]</author>
    <author>Deng, Lisa L [GIR]</author>
    <author>Nair Syama, Darshana [GIR]</author>
    <author>Davies, Abigail [GIR]</author>
    <author>Ashwini Chandra</author>
    <author>Haidar, Rayanne [GIR]</author>
    <author>Carran, Sophie [GIR]</author>
    <author>Yeoh, Aaron [GIR]</author>
  </authors>
  <commentList>
    <comment ref="X11" authorId="0" shapeId="0" xr:uid="{3D550DA4-6BAB-4C13-9BF8-8A7FB82677DD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After 16w Gross margins are modestly above pcp</t>
        </r>
      </text>
    </comment>
    <comment ref="W18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FY22 results: higher rental cost due to more than half of group lease on fixed increass. </t>
        </r>
      </text>
    </comment>
    <comment ref="AA18" authorId="0" shapeId="0" xr:uid="{90C285D2-90A5-49AF-9F7D-E7957A42336B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20m reclassified to occupancy from Admin</t>
        </r>
      </text>
    </comment>
    <comment ref="AA20" authorId="0" shapeId="0" xr:uid="{6FBEB223-2668-4F98-96B1-35E1E635B828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20m reclassified to occupancy from Admin</t>
        </r>
      </text>
    </comment>
    <comment ref="Z22" authorId="0" shapeId="0" xr:uid="{32538B93-BB82-4E86-8161-3087B9BF3A72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Execution of team member remuneration</t>
        </r>
      </text>
    </comment>
    <comment ref="W25" authorId="0" shapeId="0" xr:uid="{9B4520A9-F547-4A59-A9A8-CC43D81F0AB3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Exclude Interest Income</t>
        </r>
      </text>
    </comment>
    <comment ref="Z25" authorId="0" shapeId="0" xr:uid="{792F4C52-0D1E-44E6-B7C5-A08BF5800B13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Exclude Interest Income</t>
        </r>
      </text>
    </comment>
    <comment ref="E31" authorId="2" shapeId="0" xr:uid="{00000000-0006-0000-0900-000003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1.4mn of costs on the payment anomaly has been taken above the line</t>
        </r>
      </text>
    </comment>
    <comment ref="X39" authorId="1" shapeId="0" xr:uid="{446B1990-85CE-47C8-85CC-9D7B41C304FF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1H 24 trading update guided range of A$200-203mn </t>
        </r>
      </text>
    </comment>
    <comment ref="I41" authorId="2" shapeId="0" xr:uid="{00000000-0006-0000-0900-000004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0.1 being tax savings on the loss from associates</t>
        </r>
      </text>
    </comment>
    <comment ref="K41" authorId="2" shapeId="0" xr:uid="{00000000-0006-0000-0900-000005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0.4 being tax impact of the associate profit</t>
        </r>
      </text>
    </comment>
    <comment ref="E48" authorId="3" shapeId="0" xr:uid="{00000000-0006-0000-0900-000006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Restructuring costs</t>
        </r>
      </text>
    </comment>
    <comment ref="G48" authorId="4" shapeId="0" xr:uid="{00000000-0006-0000-0900-000007000000}">
      <text>
        <r>
          <rPr>
            <b/>
            <sz val="9"/>
            <color indexed="81"/>
            <rFont val="Tahoma"/>
            <family val="2"/>
          </rPr>
          <t>Ashwini Chandra:</t>
        </r>
        <r>
          <rPr>
            <sz val="9"/>
            <color indexed="81"/>
            <rFont val="Tahoma"/>
            <family val="2"/>
          </rPr>
          <t xml:space="preserve">
A$4mn pre tax acquisition costs for </t>
        </r>
        <r>
          <rPr>
            <b/>
            <sz val="9"/>
            <color indexed="81"/>
            <rFont val="Tahoma"/>
            <family val="2"/>
          </rPr>
          <t>Macpac</t>
        </r>
        <r>
          <rPr>
            <sz val="9"/>
            <color indexed="81"/>
            <rFont val="Tahoma"/>
            <family val="2"/>
          </rPr>
          <t xml:space="preserve">
A$13mn restructuring costs for Rays</t>
        </r>
      </text>
    </comment>
    <comment ref="H48" authorId="3" shapeId="0" xr:uid="{00000000-0006-0000-0900-000008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16.9mn restructuring, 4mn acquisition, 8.6 prior year store set up, 4.7m net divestment gain </t>
        </r>
      </text>
    </comment>
    <comment ref="I49" authorId="2" shapeId="0" xr:uid="{00000000-0006-0000-0900-000009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tax impact on below the line items being 3.5 (adjusted 0.1 being associated to loss on associates)</t>
        </r>
      </text>
    </comment>
    <comment ref="E50" authorId="4" shapeId="0" xr:uid="{00000000-0006-0000-0900-00000A000000}">
      <text>
        <r>
          <rPr>
            <b/>
            <sz val="9"/>
            <color indexed="81"/>
            <rFont val="Tahoma"/>
            <family val="2"/>
          </rPr>
          <t>Ashwini Chandra:</t>
        </r>
        <r>
          <rPr>
            <sz val="9"/>
            <color indexed="81"/>
            <rFont val="Tahoma"/>
            <family val="2"/>
          </rPr>
          <t xml:space="preserve">
non cash after tax Amart restructuring charge</t>
        </r>
      </text>
    </comment>
    <comment ref="F50" authorId="3" shapeId="0" xr:uid="{00000000-0006-0000-0900-00000B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$3.8 million of business restructuring costs and the related income tax effect of $1.1 million
1H18 report</t>
        </r>
      </text>
    </comment>
    <comment ref="G50" authorId="4" shapeId="0" xr:uid="{00000000-0006-0000-0900-00000C000000}">
      <text>
        <r>
          <rPr>
            <b/>
            <sz val="9"/>
            <color indexed="81"/>
            <rFont val="Tahoma"/>
            <family val="2"/>
          </rPr>
          <t>Ashwini Chandra:</t>
        </r>
        <r>
          <rPr>
            <sz val="9"/>
            <color indexed="81"/>
            <rFont val="Tahoma"/>
            <family val="2"/>
          </rPr>
          <t xml:space="preserve">
A$4mn in transaction costs associated with Macpac acquisition</t>
        </r>
      </text>
    </comment>
    <comment ref="I50" authorId="2" shapeId="0" xr:uid="{00000000-0006-0000-0900-00000D000000}">
      <text>
        <r>
          <rPr>
            <b/>
            <sz val="9"/>
            <color indexed="81"/>
            <rFont val="Tahoma"/>
            <family val="2"/>
          </rPr>
          <t xml:space="preserve">Nair Syama, Darshana [GIR]:
</t>
        </r>
        <r>
          <rPr>
            <sz val="9"/>
            <color indexed="81"/>
            <rFont val="Tahoma"/>
            <family val="2"/>
          </rPr>
          <t xml:space="preserve">Youcamp net loss on divestment                                                                                                                      -0.6
Costs associated with remediation of set-up team wages underpayment                              -2.0
Compensatory interest associated with retail managers' wages underpayment                 -6.0
   </t>
        </r>
      </text>
    </comment>
    <comment ref="K50" authorId="2" shapeId="0" xr:uid="{00000000-0006-0000-0900-00000E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Wages underpayment and remediation costs:                      6.2
Business restructuring costs                                                             3.1
Loss on divestment                                                                                   1.7</t>
        </r>
      </text>
    </comment>
    <comment ref="T50" authorId="1" shapeId="0" xr:uid="{00000000-0006-0000-0900-00000F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includes write-off of autoguru pre-tax A$5.9mn </t>
        </r>
      </text>
    </comment>
    <comment ref="U50" authorId="0" shapeId="0" xr:uid="{7A978FF8-8D6F-4A13-85BF-4ECD47441ACA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8.8 recognised for team member underpayment FWO proceeedings</t>
        </r>
      </text>
    </comment>
    <comment ref="B54" authorId="2" shapeId="0" xr:uid="{00000000-0006-0000-0900-000019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Group payout ratio of between 55% and 65%</t>
        </r>
      </text>
    </comment>
    <comment ref="AC54" authorId="0" shapeId="0" xr:uid="{C9309747-1849-467A-8D22-C4A5F1AF9A87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Includes 30c special div</t>
        </r>
      </text>
    </comment>
    <comment ref="B55" authorId="0" shapeId="0" xr:uid="{436037F8-3EF8-49BD-838A-9872568F8A85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Not used for CF</t>
        </r>
      </text>
    </comment>
    <comment ref="R67" authorId="1" shapeId="0" xr:uid="{00000000-0006-0000-0900-00001A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assume includes ~A$10mn of COVID cost, FY22 analyst call. </t>
        </r>
      </text>
    </comment>
    <comment ref="U67" authorId="1" shapeId="0" xr:uid="{B69FB74E-0BD0-483B-8228-E0FAE6D70D6F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assume includes ~A$10mn of COVID cost, FY22 analyst call. </t>
        </r>
      </text>
    </comment>
    <comment ref="I86" authorId="2" shapeId="0" xr:uid="{00000000-0006-0000-0900-000010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143731 being shares issued under performance rights</t>
        </r>
      </text>
    </comment>
    <comment ref="N86" authorId="2" shapeId="0" xr:uid="{00000000-0006-0000-0900-000011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June 2020 capital raising</t>
        </r>
      </text>
    </comment>
    <comment ref="Q86" authorId="2" shapeId="0" xr:uid="{00000000-0006-0000-0900-000012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Includes retail portion of Jun-20 equity raising</t>
        </r>
      </text>
    </comment>
    <comment ref="N87" authorId="2" shapeId="0" xr:uid="{00000000-0006-0000-0900-000013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capital raising being in the last week - average skewed to pre-raising</t>
        </r>
      </text>
    </comment>
    <comment ref="O87" authorId="2" shapeId="0" xr:uid="{00000000-0006-0000-0900-000014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cap raising to be completed on 3rd Jul</t>
        </r>
      </text>
    </comment>
    <comment ref="Q87" authorId="2" shapeId="0" xr:uid="{00000000-0006-0000-0900-000015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capital raising being in the last week - average skewed to pre-raising</t>
        </r>
      </text>
    </comment>
    <comment ref="R87" authorId="2" shapeId="0" xr:uid="{00000000-0006-0000-0900-000016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cap raising to be completed on 3rd Jul</t>
        </r>
      </text>
    </comment>
    <comment ref="V92" authorId="0" shapeId="0" xr:uid="{844E7F50-5FC6-4661-9E73-EBDF1A0AB712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includes special div of 25c</t>
        </r>
      </text>
    </comment>
    <comment ref="Y92" authorId="0" shapeId="0" xr:uid="{3F7BAADA-D89E-4120-AF34-91D40EAF2A4A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includes 50c special div</t>
        </r>
      </text>
    </comment>
    <comment ref="AB92" authorId="0" shapeId="0" xr:uid="{812F3BEF-D5C9-4A01-A59B-A2D596117449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includes 50c special div</t>
        </r>
      </text>
    </comment>
    <comment ref="AC92" authorId="5" shapeId="0" xr:uid="{8F446127-65AA-4DCC-8851-AE2890809986}">
      <text>
        <r>
          <rPr>
            <b/>
            <sz val="9"/>
            <color indexed="81"/>
            <rFont val="Tahoma"/>
            <family val="2"/>
          </rPr>
          <t>Haidar, Rayanne [GIR]:</t>
        </r>
        <r>
          <rPr>
            <sz val="9"/>
            <color indexed="81"/>
            <rFont val="Tahoma"/>
            <family val="2"/>
          </rPr>
          <t xml:space="preserve">
34c + 30c special div</t>
        </r>
      </text>
    </comment>
    <comment ref="C110" authorId="3" shapeId="0" xr:uid="{00000000-0006-0000-0900-00001B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Interest paid</t>
        </r>
      </text>
    </comment>
    <comment ref="F110" authorId="3" shapeId="0" xr:uid="{00000000-0006-0000-0900-00001C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Interest paid</t>
        </r>
      </text>
    </comment>
    <comment ref="E113" authorId="3" shapeId="0" xr:uid="{00000000-0006-0000-0900-00001D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This is the figure for 'new and refurbished store fit out' however 27 new stores</t>
        </r>
      </text>
    </comment>
    <comment ref="H113" authorId="3" shapeId="0" xr:uid="{00000000-0006-0000-0900-00001E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Copied FY14 as wasn't sure why prior years move around</t>
        </r>
      </text>
    </comment>
    <comment ref="Q113" authorId="6" shapeId="0" xr:uid="{00000000-0006-0000-0900-00001F000000}">
      <text>
        <r>
          <rPr>
            <b/>
            <sz val="9"/>
            <color indexed="81"/>
            <rFont val="Tahoma"/>
            <family val="2"/>
          </rPr>
          <t>Carran, Sophie [GIR]:</t>
        </r>
        <r>
          <rPr>
            <sz val="9"/>
            <color indexed="81"/>
            <rFont val="Tahoma"/>
            <family val="2"/>
          </rPr>
          <t xml:space="preserve">
Stores
$12.9 Supercheap
$20.7 rebel
$6.1 BCF
$4.4 Macpac</t>
        </r>
      </text>
    </comment>
    <comment ref="T113" authorId="6" shapeId="0" xr:uid="{00000000-0006-0000-0900-00002000000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Segment Total</t>
        </r>
      </text>
    </comment>
    <comment ref="U113" authorId="0" shapeId="0" xr:uid="{E6EEF280-6CE3-475C-9BDE-84A1E55EB1FA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Store Capex</t>
        </r>
      </text>
    </comment>
    <comment ref="C114" authorId="7" shapeId="0" xr:uid="{00000000-0006-0000-0900-000021000000}">
      <text>
        <r>
          <rPr>
            <b/>
            <sz val="9"/>
            <color indexed="81"/>
            <rFont val="Tahoma"/>
            <family val="2"/>
          </rPr>
          <t>Yeoh, Aaron [GIR]:</t>
        </r>
        <r>
          <rPr>
            <sz val="9"/>
            <color indexed="81"/>
            <rFont val="Tahoma"/>
            <family val="2"/>
          </rPr>
          <t xml:space="preserve">
-A$8mn on refurbishment</t>
        </r>
      </text>
    </comment>
    <comment ref="H114" authorId="4" shapeId="0" xr:uid="{00000000-0006-0000-0900-000022000000}">
      <text>
        <r>
          <rPr>
            <b/>
            <sz val="9"/>
            <color indexed="81"/>
            <rFont val="Tahoma"/>
            <family val="2"/>
          </rPr>
          <t>Ashwini Chandra: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May 2 MQG conference</t>
        </r>
        <r>
          <rPr>
            <sz val="9"/>
            <color indexed="81"/>
            <rFont val="Tahoma"/>
            <family val="2"/>
          </rPr>
          <t xml:space="preserve">
- capex will be around A$100m
</t>
        </r>
        <r>
          <rPr>
            <b/>
            <i/>
            <sz val="9"/>
            <color indexed="81"/>
            <rFont val="Tahoma"/>
            <family val="2"/>
          </rPr>
          <t>Previous</t>
        </r>
        <r>
          <rPr>
            <sz val="9"/>
            <color indexed="81"/>
            <rFont val="Tahoma"/>
            <family val="2"/>
          </rPr>
          <t xml:space="preserve">
Guidance on capex for FY18E is $120m
This also incorporates $9m on refurbishments per Sports Retailing update July 2017
</t>
        </r>
      </text>
    </comment>
    <comment ref="I114" authorId="7" shapeId="0" xr:uid="{00000000-0006-0000-0900-000023000000}">
      <text>
        <r>
          <rPr>
            <b/>
            <sz val="9"/>
            <color indexed="81"/>
            <rFont val="Tahoma"/>
            <family val="2"/>
          </rPr>
          <t>Yeoh, Aaron [GIR]:</t>
        </r>
        <r>
          <rPr>
            <sz val="9"/>
            <color indexed="81"/>
            <rFont val="Tahoma"/>
            <family val="2"/>
          </rPr>
          <t xml:space="preserve">
-A$8mn on refurbishment</t>
        </r>
      </text>
    </comment>
    <comment ref="H115" authorId="3" shapeId="0" xr:uid="{00000000-0006-0000-0900-000024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Macpac acquisition and payment for acquisitions</t>
        </r>
      </text>
    </comment>
    <comment ref="Z118" authorId="0" shapeId="0" xr:uid="{7825AE31-A3B5-4128-A807-847BC90C9C71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Company flagged FY24 Capex guidance of 140m</t>
        </r>
      </text>
    </comment>
    <comment ref="AC118" authorId="1" shapeId="0" xr:uid="{38397738-09FE-4A0D-AF26-EB979A0883AF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targeting capex of A$165mn capex to fund store development, new DC and enhance loyalty program. </t>
        </r>
      </text>
    </comment>
    <comment ref="I122" authorId="2" shapeId="0" xr:uid="{00000000-0006-0000-0900-000025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of which 2.3 is borrowing costs paid</t>
        </r>
      </text>
    </comment>
    <comment ref="C126" authorId="2" shapeId="0" xr:uid="{00000000-0006-0000-0900-000026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+0.1 being FX impact</t>
        </r>
      </text>
    </comment>
    <comment ref="F126" authorId="2" shapeId="0" xr:uid="{00000000-0006-0000-0900-000027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-0.2 being FX impact</t>
        </r>
      </text>
    </comment>
    <comment ref="H126" authorId="2" shapeId="0" xr:uid="{00000000-0006-0000-0900-000028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-0.1 being FX impact</t>
        </r>
      </text>
    </comment>
    <comment ref="I126" authorId="2" shapeId="0" xr:uid="{00000000-0006-0000-0900-000029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+0.4 being effect of FX on cash</t>
        </r>
      </text>
    </comment>
    <comment ref="K126" authorId="2" shapeId="0" xr:uid="{00000000-0006-0000-0900-00002A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finance lease payments and fx</t>
        </r>
      </text>
    </comment>
    <comment ref="T126" authorId="0" shapeId="0" xr:uid="{00000000-0006-0000-0900-00002B00000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FX adjustment</t>
        </r>
      </text>
    </comment>
    <comment ref="U126" authorId="0" shapeId="0" xr:uid="{D2EDDD17-97A2-4887-9151-90046933669F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include FX translation</t>
        </r>
      </text>
    </comment>
    <comment ref="W126" authorId="0" shapeId="0" xr:uid="{380C60BD-098C-41B4-892C-2F06A7C7BC9C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+0.1m on exchange dif
</t>
        </r>
      </text>
    </comment>
    <comment ref="H153" authorId="3" shapeId="0" xr:uid="{00000000-0006-0000-0900-00002C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Derivative financial instruments</t>
        </r>
      </text>
    </comment>
    <comment ref="I153" authorId="2" shapeId="0" xr:uid="{00000000-0006-0000-0900-00002D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derivative fuianncial instruments</t>
        </r>
      </text>
    </comment>
    <comment ref="H162" authorId="3" shapeId="0" xr:uid="{00000000-0006-0000-0900-00002E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Other financial assets
</t>
        </r>
      </text>
    </comment>
    <comment ref="H187" authorId="2" shapeId="0" xr:uid="{00000000-0006-0000-0900-00002F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24mn being correction for underpayment issue announced in 1H19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Davies, Abigail [GIR]</author>
    <author>Carran, Sophie [GIR]</author>
    <author>Leigh, James [GIR]</author>
    <author>Deng, Lisa L [GIR]</author>
    <author>Chong, Andrea [GIR]</author>
    <author>Nair Syama, Darshana [GIR]</author>
    <author>McLennan, Andrew (Australia - Research) [GIR]</author>
    <author>Haidar, Rayanne [GIR]</author>
    <author>Ashwini Chandra</author>
    <author>Fulton, Grace [GIR]</author>
    <author>Yeoh, Aaron [GIR]</author>
  </authors>
  <commentList>
    <comment ref="H1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Last published GS financials has 6.6</t>
        </r>
      </text>
    </comment>
    <comment ref="Q11" authorId="1" shapeId="0" xr:uid="{00000000-0006-0000-0A00-000002000000}">
      <text>
        <r>
          <rPr>
            <b/>
            <sz val="9"/>
            <color indexed="81"/>
            <rFont val="Tahoma"/>
            <family val="2"/>
          </rPr>
          <t>Carran, Sophie [GIR]:</t>
        </r>
        <r>
          <rPr>
            <sz val="9"/>
            <color indexed="81"/>
            <rFont val="Tahoma"/>
            <family val="2"/>
          </rPr>
          <t xml:space="preserve">
Intersegment elimination plus other income of 0.4m</t>
        </r>
      </text>
    </comment>
    <comment ref="W11" authorId="2" shapeId="0" xr:uid="{846E4E96-99A5-40F6-9C72-15003BB55DCF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Removed interest income</t>
        </r>
      </text>
    </comment>
    <comment ref="Z11" authorId="2" shapeId="0" xr:uid="{B50E5B66-FCC5-4388-8CBB-0F5EE971B82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Remove Interest Income</t>
        </r>
      </text>
    </comment>
    <comment ref="AA11" authorId="2" shapeId="0" xr:uid="{7C8FE674-15A4-4BD7-A121-A9DD56C7180A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1H25 result. Exludes 2.3m Interest income
</t>
        </r>
      </text>
    </comment>
    <comment ref="AA18" authorId="2" shapeId="0" xr:uid="{9D5194F0-6687-4340-A99B-CC5269560573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result: First 7wk update of 5%</t>
        </r>
      </text>
    </comment>
    <comment ref="X29" authorId="1" shapeId="0" xr:uid="{00000000-0006-0000-0A00-000004000000}">
      <text>
        <r>
          <rPr>
            <b/>
            <sz val="9"/>
            <color indexed="81"/>
            <rFont val="Tahoma"/>
            <family val="2"/>
          </rPr>
          <t>Carran, Sophie [GIR]:</t>
        </r>
        <r>
          <rPr>
            <sz val="9"/>
            <color indexed="81"/>
            <rFont val="Tahoma"/>
            <family val="2"/>
          </rPr>
          <t xml:space="preserve">
More normalised pricing environment</t>
        </r>
      </text>
    </comment>
    <comment ref="Z49" authorId="3" shapeId="0" xr:uid="{566EE376-0128-459B-BDE8-AAC248349408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company guided to 24 new stores. </t>
        </r>
      </text>
    </comment>
    <comment ref="C57" authorId="4" shapeId="0" xr:uid="{00000000-0006-0000-0A00-000005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LFL sales for 1H16 of 3.7%</t>
        </r>
      </text>
    </comment>
    <comment ref="K57" authorId="5" shapeId="0" xr:uid="{00000000-0006-0000-0A00-000006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6 weeks in 2H up 4%, ytd 2.2%
17 weeks in 2H up +4.3% lfl - ytd +3.3%</t>
        </r>
      </text>
    </comment>
    <comment ref="N57" authorId="6" shapeId="0" xr:uid="{00000000-0006-0000-0A00-000007000000}">
      <text>
        <r>
          <rPr>
            <b/>
            <sz val="9"/>
            <color indexed="81"/>
            <rFont val="Tahoma"/>
            <family val="2"/>
          </rPr>
          <t>McLennan, Andrew (Australia - Research) [GIR]:</t>
        </r>
        <r>
          <rPr>
            <sz val="9"/>
            <color indexed="81"/>
            <rFont val="Tahoma"/>
            <family val="2"/>
          </rPr>
          <t xml:space="preserve">
3.1% in 7weeks</t>
        </r>
      </text>
    </comment>
    <comment ref="Q57" authorId="3" shapeId="0" xr:uid="{00000000-0006-0000-0A00-000008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LFL Sales. Achieved in all categories - auto accessories, car care strongest. </t>
        </r>
      </text>
    </comment>
    <comment ref="R57" authorId="1" shapeId="0" xr:uid="{00000000-0006-0000-0A00-000009000000}">
      <text>
        <r>
          <rPr>
            <b/>
            <sz val="9"/>
            <color indexed="81"/>
            <rFont val="Tahoma"/>
            <family val="2"/>
          </rPr>
          <t>Carran, Sophie [GIR]:</t>
        </r>
        <r>
          <rPr>
            <sz val="9"/>
            <color indexed="81"/>
            <rFont val="Tahoma"/>
            <family val="2"/>
          </rPr>
          <t xml:space="preserve">
-13% to week 16
-6.2% boxing day adjusted</t>
        </r>
      </text>
    </comment>
    <comment ref="Q58" authorId="3" shapeId="0" xr:uid="{00000000-0006-0000-0A00-00000A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Higher transaction growth. </t>
        </r>
      </text>
    </comment>
    <comment ref="W58" authorId="3" shapeId="0" xr:uid="{00000000-0006-0000-0A00-00000B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expect new car supply ease, return to public transport.</t>
        </r>
      </text>
    </comment>
    <comment ref="K59" authorId="3" shapeId="0" xr:uid="{00000000-0006-0000-0A00-00000C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higher ATV from items/order and unit price. </t>
        </r>
      </text>
    </comment>
    <comment ref="Q59" authorId="3" shapeId="0" xr:uid="{00000000-0006-0000-0A00-00000D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higher average transaction value from higher units/transaction and higher unit value. </t>
        </r>
      </text>
    </comment>
    <comment ref="W59" authorId="3" shapeId="0" xr:uid="{00000000-0006-0000-0A00-00000E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will not be passing cost inflation through due to higher inventory. </t>
        </r>
      </text>
    </comment>
    <comment ref="I63" authorId="5" shapeId="0" xr:uid="{00000000-0006-0000-0A00-00000F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Good growth in QLD, VIC, NZ
NSW was more challenging</t>
        </r>
      </text>
    </comment>
    <comment ref="AA63" authorId="3" shapeId="0" xr:uid="{6C4057AC-9938-42FF-AF63-12668B9CFD7E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1H25mgmt 13-15% of NZ sales, similar margins to AU </t>
        </r>
      </text>
    </comment>
    <comment ref="Z64" authorId="3" shapeId="0" xr:uid="{D62332AE-8B5F-4B7B-B186-AB58661118D6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wks 1-43 sales +3% </t>
        </r>
      </text>
    </comment>
    <comment ref="AA64" authorId="2" shapeId="0" xr:uid="{0D7353D3-4949-42D0-BF8B-55D261A070A2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1.7%. Adjustment made in pcp
1Q25 prioritized sales but lost GPM, 2Q refocused on GP dollar, lost sales. </t>
        </r>
      </text>
    </comment>
    <comment ref="AD64" authorId="2" shapeId="0" xr:uid="{8E807D0D-48C0-45FB-97A5-373DBED0CBBC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AGM: +4.6% 1-16wk</t>
        </r>
      </text>
    </comment>
    <comment ref="J66" authorId="5" shapeId="0" xr:uid="{00000000-0006-0000-0A00-000010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guided to open 6 new stores and close 2 stores</t>
        </r>
      </text>
    </comment>
    <comment ref="R66" authorId="1" shapeId="0" xr:uid="{00000000-0006-0000-0A00-000011000000}">
      <text>
        <r>
          <rPr>
            <b/>
            <sz val="9"/>
            <color indexed="81"/>
            <rFont val="Tahoma"/>
            <family val="2"/>
          </rPr>
          <t>Carran, Sophie [GIR]:</t>
        </r>
        <r>
          <rPr>
            <sz val="9"/>
            <color indexed="81"/>
            <rFont val="Tahoma"/>
            <family val="2"/>
          </rPr>
          <t xml:space="preserve">
Opened 3
Closed 1</t>
        </r>
      </text>
    </comment>
    <comment ref="W66" authorId="3" shapeId="0" xr:uid="{00000000-0006-0000-0A00-000012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>Half year preso</t>
        </r>
      </text>
    </comment>
    <comment ref="AC66" authorId="2" shapeId="0" xr:uid="{1A398468-8CB1-4CC3-A9B7-1BAE0E8EADA3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1H25 result: expect to open 4 in the second half
Update 3Q25: Mac q update 14 new stores</t>
        </r>
      </text>
    </comment>
    <comment ref="AF66" authorId="7" shapeId="0" xr:uid="{9633E902-8C2C-4424-B550-1CDA429BF53B}">
      <text>
        <r>
          <rPr>
            <b/>
            <sz val="9"/>
            <color indexed="81"/>
            <rFont val="Tahoma"/>
            <family val="2"/>
          </rPr>
          <t>Haidar, Rayanne [GIR]:</t>
        </r>
        <r>
          <rPr>
            <sz val="9"/>
            <color indexed="81"/>
            <rFont val="Tahoma"/>
            <family val="2"/>
          </rPr>
          <t xml:space="preserve">
FY25 result: Gross 8 stores</t>
        </r>
      </text>
    </comment>
    <comment ref="H67" authorId="0" shapeId="0" xr:uid="{00000000-0006-0000-0A00-000013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Store growth planned for the next 5 years
2018 Annual Report</t>
        </r>
      </text>
    </comment>
    <comment ref="AF67" authorId="2" shapeId="0" xr:uid="{76AA98B1-457C-460A-BCD5-8EB7AC7E81B9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Investor day. FY22 target on 362</t>
        </r>
      </text>
    </comment>
    <comment ref="I70" authorId="5" shapeId="0" xr:uid="{00000000-0006-0000-0A00-000014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Digital sales up +23%
All categories growing except for Tools and Outdoor which expereinced strong competition.
Auto Maintenance delivered the strongest growth supported by strong marketing campaign</t>
        </r>
      </text>
    </comment>
    <comment ref="R70" authorId="3" shapeId="0" xr:uid="{00000000-0006-0000-0A00-000015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not adjusted for boxing day. Store lock-down in 1Q22. </t>
        </r>
      </text>
    </comment>
    <comment ref="S70" authorId="3" shapeId="0" xr:uid="{00000000-0006-0000-0A00-000016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26wks vs 26 wks adjusted</t>
        </r>
      </text>
    </comment>
    <comment ref="T70" authorId="3" shapeId="0" xr:uid="{00000000-0006-0000-0A00-000017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52 week vs 52 week </t>
        </r>
      </text>
    </comment>
    <comment ref="V70" authorId="3" shapeId="0" xr:uid="{00000000-0006-0000-0A00-000018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FY22 mgmt commentary that consumer spending will be hit in 2H23. </t>
        </r>
      </text>
    </comment>
    <comment ref="Y70" authorId="2" shapeId="0" xr:uid="{CB2201EC-1617-4345-B5A2-18C39932D976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0% growth in first 7wks</t>
        </r>
      </text>
    </comment>
    <comment ref="AD70" authorId="2" shapeId="0" xr:uid="{BD0FAB52-931E-496D-BA45-40A5FC793C28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AGM: +2.6% LFL 1-16wk</t>
        </r>
      </text>
    </comment>
    <comment ref="S72" authorId="3" shapeId="0" xr:uid="{00000000-0006-0000-0A00-000019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includes new store dilution but also additional 53rd week. </t>
        </r>
      </text>
    </comment>
    <comment ref="T72" authorId="3" shapeId="0" xr:uid="{00000000-0006-0000-0A00-00001A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includes new store dilution but also additional 53rd week. </t>
        </r>
      </text>
    </comment>
    <comment ref="W72" authorId="3" shapeId="0" xr:uid="{05388486-4039-4598-920D-BB5901459DA3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includes new store dilution but also additional 53rd week. </t>
        </r>
      </text>
    </comment>
    <comment ref="AD73" authorId="2" shapeId="0" xr:uid="{3A2C32AB-8D2B-4C23-BA80-BF7808D85EF8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AGM: 1-16wk +4.6%</t>
        </r>
      </text>
    </comment>
    <comment ref="B76" authorId="8" shapeId="0" xr:uid="{00000000-0006-0000-0A00-00001B000000}">
      <text>
        <r>
          <rPr>
            <b/>
            <sz val="9"/>
            <color indexed="81"/>
            <rFont val="Tahoma"/>
            <family val="2"/>
          </rPr>
          <t>Ashwini Chandra:</t>
        </r>
        <r>
          <rPr>
            <sz val="9"/>
            <color indexed="81"/>
            <rFont val="Tahoma"/>
            <family val="2"/>
          </rPr>
          <t xml:space="preserve">
Stopped providing explicit Gross Margins from FY16 Result</t>
        </r>
      </text>
    </comment>
    <comment ref="I76" authorId="5" shapeId="0" xr:uid="{00000000-0006-0000-0A00-00001C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saw sound growth in gross margins</t>
        </r>
      </text>
    </comment>
    <comment ref="L76" authorId="5" shapeId="0" xr:uid="{00000000-0006-0000-0A00-00001D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improved in Q2, declined in 1Q</t>
        </r>
      </text>
    </comment>
    <comment ref="Q76" authorId="3" shapeId="0" xr:uid="{00000000-0006-0000-0A00-00001E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GP margin expansion driven by lower pormo sales, favorable recovery of supply ost inflation. </t>
        </r>
      </text>
    </comment>
    <comment ref="R76" authorId="1" shapeId="0" xr:uid="{00000000-0006-0000-0A00-00001F000000}">
      <text>
        <r>
          <rPr>
            <b/>
            <sz val="9"/>
            <color indexed="81"/>
            <rFont val="Tahoma"/>
            <family val="2"/>
          </rPr>
          <t>Carran, Sophie [GIR]:</t>
        </r>
        <r>
          <rPr>
            <sz val="9"/>
            <color indexed="81"/>
            <rFont val="Tahoma"/>
            <family val="2"/>
          </rPr>
          <t xml:space="preserve">
Gross margin consistent with pcp as pricing and promotional effectiveness offset
higher supply chain costs</t>
        </r>
      </text>
    </comment>
    <comment ref="T76" authorId="3" shapeId="0" xr:uid="{00000000-0006-0000-0A00-000020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FY22 results preso: GPM declined 60bps vs PCP</t>
        </r>
      </text>
    </comment>
    <comment ref="U76" authorId="1" shapeId="0" xr:uid="{DB14BFAE-6EFE-4D27-BEF6-879B5C24D47E}">
      <text>
        <r>
          <rPr>
            <b/>
            <sz val="9"/>
            <color indexed="81"/>
            <rFont val="Tahoma"/>
            <family val="2"/>
          </rPr>
          <t>Carran, Sophie [GIR]:</t>
        </r>
        <r>
          <rPr>
            <sz val="9"/>
            <color indexed="81"/>
            <rFont val="Tahoma"/>
            <family val="2"/>
          </rPr>
          <t xml:space="preserve">
Gross margin consistent with pcp as pricing and promotional effectiveness offset
higher supply chain costs</t>
        </r>
      </text>
    </comment>
    <comment ref="W76" authorId="3" shapeId="0" xr:uid="{649AB66E-1A10-4CF4-8FFD-BA077097CC65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FY23 results preso: GPM dropped 30bps YoY. </t>
        </r>
      </text>
    </comment>
    <comment ref="X76" authorId="2" shapeId="0" xr:uid="{8ADB044C-DB92-43CE-AEE6-02C6037B5B13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Gross Margin improved 70bp
</t>
        </r>
      </text>
    </comment>
    <comment ref="Y76" authorId="2" shapeId="0" xr:uid="{FB30BA80-D1F6-42DA-9282-056BB84CA861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less promotional period than pcp should have positively impacted margins</t>
        </r>
      </text>
    </comment>
    <comment ref="Z76" authorId="2" shapeId="0" xr:uid="{B7744833-34D5-4DB6-8E65-7718D3D66F9C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result: 80bp GPM improvement </t>
        </r>
      </text>
    </comment>
    <comment ref="AA76" authorId="3" shapeId="0" xr:uid="{D3DF29C8-3A2C-4048-B140-4435E27B4B2C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1H25 Result: flat GPM YoY
IR: close to 50%, higher than Rebel </t>
        </r>
      </text>
    </comment>
    <comment ref="AB76" authorId="2" shapeId="0" xr:uid="{7B5BD35F-4A40-498E-83F0-8A9BAAE504B9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less promotional period than pcp should have positively impacted margins</t>
        </r>
      </text>
    </comment>
    <comment ref="AC76" authorId="2" shapeId="0" xr:uid="{2988CC15-5879-40D9-BD87-D683306F6047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FY25 - 30bp improvement</t>
        </r>
      </text>
    </comment>
    <comment ref="T79" authorId="3" shapeId="0" xr:uid="{00000000-0006-0000-0A00-000022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primarily cost inlation </t>
        </r>
      </text>
    </comment>
    <comment ref="W79" authorId="3" shapeId="0" xr:uid="{00000000-0006-0000-0A00-000023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primarily inflation </t>
        </r>
      </text>
    </comment>
    <comment ref="R80" authorId="1" shapeId="0" xr:uid="{00000000-0006-0000-0A00-000024000000}">
      <text>
        <r>
          <rPr>
            <b/>
            <sz val="9"/>
            <color indexed="81"/>
            <rFont val="Tahoma"/>
            <family val="2"/>
          </rPr>
          <t>Carran, Sophie [GIR]:</t>
        </r>
        <r>
          <rPr>
            <sz val="9"/>
            <color indexed="81"/>
            <rFont val="Tahoma"/>
            <family val="2"/>
          </rPr>
          <t xml:space="preserve">
AGM trading update, this is back to where it was in 1H20</t>
        </r>
      </text>
    </comment>
    <comment ref="S80" authorId="1" shapeId="0" xr:uid="{00000000-0006-0000-0A00-000025000000}">
      <text>
        <r>
          <rPr>
            <b/>
            <sz val="9"/>
            <color indexed="81"/>
            <rFont val="Tahoma"/>
            <family val="2"/>
          </rPr>
          <t>Carran, Sophie [GIR]:</t>
        </r>
        <r>
          <rPr>
            <sz val="9"/>
            <color indexed="81"/>
            <rFont val="Tahoma"/>
            <family val="2"/>
          </rPr>
          <t xml:space="preserve">
c.$13m group costs in th business for loyalty (annualised, coming in 2H), estimate 35% supercheap</t>
        </r>
      </text>
    </comment>
    <comment ref="U80" authorId="1" shapeId="0" xr:uid="{D5A54E33-4D31-4B5E-9763-38B8134912E3}">
      <text>
        <r>
          <rPr>
            <b/>
            <sz val="9"/>
            <color indexed="81"/>
            <rFont val="Tahoma"/>
            <family val="2"/>
          </rPr>
          <t>Carran, Sophie [GIR]:</t>
        </r>
        <r>
          <rPr>
            <sz val="9"/>
            <color indexed="81"/>
            <rFont val="Tahoma"/>
            <family val="2"/>
          </rPr>
          <t xml:space="preserve">
AGM trading update, this is back to where it was in 1H20</t>
        </r>
      </text>
    </comment>
    <comment ref="M86" authorId="5" shapeId="0" xr:uid="{00000000-0006-0000-0A00-000028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including one offs of c. 3mn</t>
        </r>
      </text>
    </comment>
    <comment ref="W92" authorId="3" shapeId="0" xr:uid="{00000000-0006-0000-0A00-00002A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already factoring in close to pre-COVID margins. </t>
        </r>
      </text>
    </comment>
    <comment ref="H97" authorId="5" shapeId="0" xr:uid="{00000000-0006-0000-0A00-00002B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share of online spending in auto retailers 24%</t>
        </r>
      </text>
    </comment>
    <comment ref="C98" authorId="5" shapeId="0" xr:uid="{00000000-0006-0000-0A00-00002C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12 months to Dec
</t>
        </r>
      </text>
    </comment>
    <comment ref="F98" authorId="5" shapeId="0" xr:uid="{00000000-0006-0000-0A00-00002D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12 months to Dec
</t>
        </r>
      </text>
    </comment>
    <comment ref="B144" authorId="5" shapeId="0" xr:uid="{00000000-0006-0000-0A00-00002E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BCF, Macpac and Rays</t>
        </r>
      </text>
    </comment>
    <comment ref="E152" authorId="0" shapeId="0" xr:uid="{00000000-0006-0000-0A00-000030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BCF sales of $498.3mn increased 3.7% on the prior comparative period
2018 Annual Report</t>
        </r>
      </text>
    </comment>
    <comment ref="Z153" authorId="3" shapeId="0" xr:uid="{D376A13C-4882-4438-9B5F-1FFBBFFEFEFF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1-43wk sales +5.0% </t>
        </r>
      </text>
    </comment>
    <comment ref="AA153" authorId="2" shapeId="0" xr:uid="{285B310F-6DAC-49C8-9CC9-2D25E43258EC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result: first 7wk update of +5%</t>
        </r>
      </text>
    </comment>
    <comment ref="AD153" authorId="2" shapeId="0" xr:uid="{167B0BF8-04ED-4877-B4AF-829816BFB8F5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AGM: +2.4% for first 7wk</t>
        </r>
      </text>
    </comment>
    <comment ref="I154" authorId="5" shapeId="0" xr:uid="{00000000-0006-0000-0A00-000031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LfL growth in Apparel and Camping categories due to product range reviews
Online up 9.5%</t>
        </r>
      </text>
    </comment>
    <comment ref="K154" authorId="5" shapeId="0" xr:uid="{00000000-0006-0000-0A00-000032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first 6 weeks of 2H18: +8%, ytd: +3.2%
but cycling high comps
first 17 weeks of 2H19 +5.3%, ytd +3.3%</t>
        </r>
      </text>
    </comment>
    <comment ref="R154" authorId="3" shapeId="0" xr:uid="{00000000-0006-0000-0A00-000033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not adjusted for boxing day.
-2.4% adjusted for boxing day. </t>
        </r>
      </text>
    </comment>
    <comment ref="S154" authorId="3" shapeId="0" xr:uid="{00000000-0006-0000-0A00-000034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26 weeks vs 26 weeks adjusted. </t>
        </r>
      </text>
    </comment>
    <comment ref="T154" authorId="3" shapeId="0" xr:uid="{00000000-0006-0000-0A00-000035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52wk vs 52 wks adjusted. </t>
        </r>
      </text>
    </comment>
    <comment ref="Y154" authorId="2" shapeId="0" xr:uid="{B8A0A6D3-2DDE-4AB3-92CF-3A1A20691CA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-5% 7wk update. Expect to be impacted by cyclone</t>
        </r>
      </text>
    </comment>
    <comment ref="AA154" authorId="2" shapeId="0" xr:uid="{5AE356D2-271E-499D-9C35-14119792195B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result: first 7 wk of +3%</t>
        </r>
      </text>
    </comment>
    <comment ref="AB154" authorId="2" shapeId="0" xr:uid="{76785527-B7AB-4A11-A4F8-2C20BB55C89E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-5% 7wk update. Expect to be impacted by cyclone</t>
        </r>
      </text>
    </comment>
    <comment ref="AD154" authorId="2" shapeId="0" xr:uid="{A5A129D9-3236-4C5A-9F2F-D9F82C2B6B2B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AGM: LFL +0.3% for first 16wk</t>
        </r>
      </text>
    </comment>
    <comment ref="S156" authorId="3" shapeId="0" xr:uid="{00000000-0006-0000-0A00-000036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incl. new store dilution and 53rd week trading </t>
        </r>
      </text>
    </comment>
    <comment ref="T156" authorId="3" shapeId="0" xr:uid="{00000000-0006-0000-0A00-000037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incl. new store dilution and 53rd week trading </t>
        </r>
      </text>
    </comment>
    <comment ref="W156" authorId="3" shapeId="0" xr:uid="{78F0FB0A-0D40-4095-8F2D-A21EE0EF41B1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incl. new store dilution and 53rd week trading </t>
        </r>
      </text>
    </comment>
    <comment ref="R159" authorId="3" shapeId="0" xr:uid="{00000000-0006-0000-0A00-000039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Gross margin was lower than pcp reflecting
• a return to normal levels of promotional activity
• an increased mix of higher value but lower margin national brand products
• higher supply chain costs
</t>
        </r>
      </text>
    </comment>
    <comment ref="T159" authorId="2" shapeId="0" xr:uid="{00000000-0006-0000-0A00-00003A00000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GP Margin reduced 300bp</t>
        </r>
      </text>
    </comment>
    <comment ref="U159" authorId="2" shapeId="0" xr:uid="{4682A7BA-A277-4B5A-8E86-97094BDEBF91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210bp margin reduction called out</t>
        </r>
      </text>
    </comment>
    <comment ref="W159" authorId="3" shapeId="0" xr:uid="{00000000-0006-0000-0A00-00003B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180bp of GPM decline
FY 23 Preso</t>
        </r>
      </text>
    </comment>
    <comment ref="X159" authorId="2" shapeId="0" xr:uid="{B1BCE955-74B3-4323-B684-C6E4030B6DEB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GP margins up 1.9%
</t>
        </r>
      </text>
    </comment>
    <comment ref="Z159" authorId="2" shapeId="0" xr:uid="{73A68C67-261F-442B-8188-8E80576AC069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result: 140bp GPM</t>
        </r>
      </text>
    </comment>
    <comment ref="AA159" authorId="2" shapeId="0" xr:uid="{2F0719A9-B163-4E34-866F-695029AD64D8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1H25 Result: 40bp GPM reduction
IR GPM very close to 40% </t>
        </r>
      </text>
    </comment>
    <comment ref="AC159" authorId="2" shapeId="0" xr:uid="{F8700D53-17E0-4A3B-B343-6E12AF787017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FY25: 60bp decline</t>
        </r>
      </text>
    </comment>
    <comment ref="F166" authorId="5" shapeId="0" xr:uid="{00000000-0006-0000-0A00-00003C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Originally contribution from both BCF and Rays
Rays EBIT was -3.5mn, assuming EBITDA was breakeven</t>
        </r>
      </text>
    </comment>
    <comment ref="I172" authorId="5" shapeId="0" xr:uid="{00000000-0006-0000-0A00-00003D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reduced gross margins due to higher promotional activities</t>
        </r>
      </text>
    </comment>
    <comment ref="K177" authorId="5" shapeId="0" xr:uid="{00000000-0006-0000-0A00-00003E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guided to open 1 store in 2H19</t>
        </r>
      </text>
    </comment>
    <comment ref="W177" authorId="2" shapeId="0" xr:uid="{C9DF15DE-2881-434F-8D26-765E7EE30C16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Half year said 10 stores</t>
        </r>
      </text>
    </comment>
    <comment ref="Z177" authorId="2" shapeId="0" xr:uid="{F04CE83C-3E9C-4CB9-88F8-024E36F5DFE4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result: Added 7 stores. Closed 2
</t>
        </r>
      </text>
    </comment>
    <comment ref="AA177" authorId="2" shapeId="0" xr:uid="{FFFC5361-B9EA-4935-BCC5-5B6354D51EA8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1H25 Result: Openned and closed 1 store.</t>
        </r>
      </text>
    </comment>
    <comment ref="AC177" authorId="2" shapeId="0" xr:uid="{E5296735-9654-4EC6-8FB0-7CAF23307E6F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result: Exepct 5 stores open. 1 closed in 1H
Update 3Q25: Mac q update 2 new stores</t>
        </r>
      </text>
    </comment>
    <comment ref="AF177" authorId="7" shapeId="0" xr:uid="{E64FF353-00EB-4295-B7D1-69389F4A673D}">
      <text>
        <r>
          <rPr>
            <b/>
            <sz val="9"/>
            <color indexed="81"/>
            <rFont val="Tahoma"/>
            <family val="2"/>
          </rPr>
          <t>Haidar, Rayanne [GIR]:</t>
        </r>
        <r>
          <rPr>
            <sz val="9"/>
            <color indexed="81"/>
            <rFont val="Tahoma"/>
            <family val="2"/>
          </rPr>
          <t xml:space="preserve">
FY25 result: Gross 5 stores</t>
        </r>
      </text>
    </comment>
    <comment ref="W178" authorId="3" shapeId="0" xr:uid="{00000000-0006-0000-0A00-00003F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Pg12 FY22 Results Preso</t>
        </r>
      </text>
    </comment>
    <comment ref="AF178" authorId="2" shapeId="0" xr:uid="{AD892682-68CC-4668-A70F-B53A8553C91A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172 by FY26. CY25 guidance for FY26</t>
        </r>
      </text>
    </comment>
    <comment ref="H182" authorId="5" shapeId="0" xr:uid="{00000000-0006-0000-0A00-000040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Online share of leisure retailers - 12%</t>
        </r>
      </text>
    </comment>
    <comment ref="C183" authorId="5" shapeId="0" xr:uid="{00000000-0006-0000-0A00-000041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12 months to Dec
</t>
        </r>
      </text>
    </comment>
    <comment ref="F183" authorId="5" shapeId="0" xr:uid="{00000000-0006-0000-0A00-000042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12 months to Dec
</t>
        </r>
      </text>
    </comment>
    <comment ref="B195" authorId="0" shapeId="0" xr:uid="{00000000-0006-0000-0A00-000043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Integrate profitable Rays stores into the Macpac business in the fourth quarter of the coming financial year
2018 Annual Report</t>
        </r>
      </text>
    </comment>
    <comment ref="H198" authorId="0" shapeId="0" xr:uid="{00000000-0006-0000-0A00-000048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Effected by the introduction of Macpac # of stores and only reporting period  April 1 2018 to 30 June 2018
2018 Annual Report</t>
        </r>
      </text>
    </comment>
    <comment ref="I198" authorId="0" shapeId="0" xr:uid="{00000000-0006-0000-0A00-000049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2018 Macpac estimate on a bi-annual basis</t>
        </r>
      </text>
    </comment>
    <comment ref="I199" authorId="0" shapeId="0" xr:uid="{00000000-0006-0000-0A00-00004A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24 Oct 2018 trading update</t>
        </r>
      </text>
    </comment>
    <comment ref="K199" authorId="5" shapeId="0" xr:uid="{00000000-0006-0000-0A00-00004B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6 weeks in 2H19 at -2% for Macpac (Cycling high sales
17 weejs for Macpac +2%</t>
        </r>
      </text>
    </comment>
    <comment ref="N199" authorId="6" shapeId="0" xr:uid="{00000000-0006-0000-0A00-00004C000000}">
      <text>
        <r>
          <rPr>
            <b/>
            <sz val="9"/>
            <color indexed="81"/>
            <rFont val="Tahoma"/>
            <family val="2"/>
          </rPr>
          <t>McLennan, Andrew (Australia - Research) [GIR]:</t>
        </r>
        <r>
          <rPr>
            <sz val="9"/>
            <color indexed="81"/>
            <rFont val="Tahoma"/>
            <family val="2"/>
          </rPr>
          <t xml:space="preserve">
-0.4% for 1st 7 weeks</t>
        </r>
      </text>
    </comment>
    <comment ref="C205" authorId="0" shapeId="0" xr:uid="{00000000-0006-0000-0A00-00004D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Rays contributed $24mn in sales….converted Rays stores have achieved LFL sales growth of 4.1%
1H18 report</t>
        </r>
      </text>
    </comment>
    <comment ref="E205" authorId="0" shapeId="0" xr:uid="{00000000-0006-0000-0A00-00004E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Rays business which delivered $50.1mn of sales, a reduction of $23mn on the prior comparative period
2018 Annual Report</t>
        </r>
      </text>
    </comment>
    <comment ref="H205" authorId="0" shapeId="0" xr:uid="{00000000-0006-0000-0A00-00004F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Rays business which delivered $50.1mn of sales
2018 Annual Report
$31.4mn sales Macpac period April 1 2018 to 30 June 2018
2018 Annual Report
Year to 31 march 2017 report sales of NZ$97.3mn and EBITDA of NZ$17.2mn, SUL estimated pro-forma EBTIDA of circa NZ$16mn after normalisations and pro forma cost adjustments.
Acquisition announcement
Proforma 12 month sales from Macpac at 95mn</t>
        </r>
      </text>
    </comment>
    <comment ref="I205" authorId="5" shapeId="0" xr:uid="{00000000-0006-0000-0A00-000050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Rays being 15.7
Decline in Rays due to closure of stores (15 to 9)
Online represents 10% of the business and grew by +24%</t>
        </r>
      </text>
    </comment>
    <comment ref="H207" authorId="0" shapeId="0" xr:uid="{00000000-0006-0000-0A00-000051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Macpac 17.7% higher than the same period last year
2018 Annual Report</t>
        </r>
      </text>
    </comment>
    <comment ref="Z207" authorId="3" shapeId="0" xr:uid="{5B665E93-16AA-4C51-8818-3CE38B4FCF7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wk 1-43 sales +5% </t>
        </r>
      </text>
    </comment>
    <comment ref="AA207" authorId="2" shapeId="0" xr:uid="{9480AAEC-0A85-44F8-ABC8-41385B0B7101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result: First 7wk update of 15%</t>
        </r>
      </text>
    </comment>
    <comment ref="AD207" authorId="2" shapeId="0" xr:uid="{C7A42336-3499-4109-A22A-A52A0E79309B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AGM:  +16.9% for first 16wk</t>
        </r>
      </text>
    </comment>
    <comment ref="K208" authorId="5" shapeId="0" xr:uid="{00000000-0006-0000-0A00-000052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6 weeks in 2H19 at -2% for Macpac (Cycling high sales
17 weejs for Macpac +2%</t>
        </r>
      </text>
    </comment>
    <comment ref="N208" authorId="6" shapeId="0" xr:uid="{00000000-0006-0000-0A00-000053000000}">
      <text>
        <r>
          <rPr>
            <b/>
            <sz val="9"/>
            <color indexed="81"/>
            <rFont val="Tahoma"/>
            <family val="2"/>
          </rPr>
          <t>McLennan, Andrew (Australia - Research) [GIR]:</t>
        </r>
        <r>
          <rPr>
            <sz val="9"/>
            <color indexed="81"/>
            <rFont val="Tahoma"/>
            <family val="2"/>
          </rPr>
          <t xml:space="preserve">
-0.4% for 1st 7 weeks</t>
        </r>
      </text>
    </comment>
    <comment ref="R208" authorId="3" shapeId="0" xr:uid="{00000000-0006-0000-0A00-000054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positive LFL, assuming AU 70% of sales +6.1% and NZ 30% of sales -9.7%</t>
        </r>
      </text>
    </comment>
    <comment ref="S208" authorId="3" shapeId="0" xr:uid="{00000000-0006-0000-0A00-000055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26wks vs 26 wks adjusted. </t>
        </r>
      </text>
    </comment>
    <comment ref="T208" authorId="3" shapeId="0" xr:uid="{00000000-0006-0000-0A00-000056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52 vs 52 weeks adjusted. </t>
        </r>
      </text>
    </comment>
    <comment ref="Y208" authorId="2" shapeId="0" xr:uid="{12513053-459A-4A0C-A54E-C7402659F23E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1H24 result: 7wk update 5%</t>
        </r>
      </text>
    </comment>
    <comment ref="AA208" authorId="2" shapeId="0" xr:uid="{8B409795-1BB7-4E01-8C3E-06FDB8FD82EF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result: First 7wk update of 9%</t>
        </r>
      </text>
    </comment>
    <comment ref="AB208" authorId="2" shapeId="0" xr:uid="{23CD6A1D-4736-4309-84C2-92144721946A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1H24 result: 7wk update 5%</t>
        </r>
      </text>
    </comment>
    <comment ref="AD208" authorId="2" shapeId="0" xr:uid="{44877BA6-0C8B-4370-8D7A-E889F99FBBA2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AGM: LFL +8.5% for first 16wk</t>
        </r>
      </text>
    </comment>
    <comment ref="S210" authorId="3" shapeId="0" xr:uid="{00000000-0006-0000-0A00-000057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incl. new store dilution and 53rd week of trading. </t>
        </r>
      </text>
    </comment>
    <comment ref="T210" authorId="3" shapeId="0" xr:uid="{00000000-0006-0000-0A00-000058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incl. new store dilution and 53rd week of trading. </t>
        </r>
      </text>
    </comment>
    <comment ref="W210" authorId="3" shapeId="0" xr:uid="{594CCE84-914A-4277-86A0-EBDAD47DF68A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incl. new store dilution and 53rd week of trading. </t>
        </r>
      </text>
    </comment>
    <comment ref="Q213" authorId="3" shapeId="0" xr:uid="{00000000-0006-0000-0A00-000059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Gross profit margin recovered to FY19 levels due to increased average selling price, improvements in product sourcing costs and favourable forex. </t>
        </r>
      </text>
    </comment>
    <comment ref="R213" authorId="3" shapeId="0" xr:uid="{00000000-0006-0000-0A00-00005A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Gross margin was lower than pcp mainly due to higher freight costs as a result of a
significant uplift in home delivery sales</t>
        </r>
      </text>
    </comment>
    <comment ref="T213" authorId="3" shapeId="0" xr:uid="{00000000-0006-0000-0A00-00005B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GPM -80bps vs pcp </t>
        </r>
      </text>
    </comment>
    <comment ref="U213" authorId="2" shapeId="0" xr:uid="{DFE790B1-2D2D-4A5A-A898-8DC0A742566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500bp margin improved preso</t>
        </r>
      </text>
    </comment>
    <comment ref="W213" authorId="2" shapeId="0" xr:uid="{E9110E17-C634-431F-8BF7-3CE3AEE16751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140bp improvement in GP margin from last year. FY23 presentation
</t>
        </r>
      </text>
    </comment>
    <comment ref="X213" authorId="2" shapeId="0" xr:uid="{F6910AF3-B476-4529-9347-8FB53AC1DF51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200bp decline due to FX and mix</t>
        </r>
      </text>
    </comment>
    <comment ref="Z213" authorId="2" shapeId="0" xr:uid="{F3877BE2-0AFE-442E-A638-01D643CD14B5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Result: 100bp GPM decline
</t>
        </r>
      </text>
    </comment>
    <comment ref="AA213" authorId="2" shapeId="0" xr:uid="{BA953BC7-F459-4DC9-ABE4-EDCA492CB334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1H25 result: 20bp reduction from pcp</t>
        </r>
      </text>
    </comment>
    <comment ref="AC213" authorId="2" shapeId="0" xr:uid="{6C62B920-EBA1-4F8A-A81B-D252B80A96A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FY25: 30bp GPM improvement </t>
        </r>
      </text>
    </comment>
    <comment ref="E227" authorId="0" shapeId="0" xr:uid="{00000000-0006-0000-0A00-00005C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The loss was in line with the prior comparative period loss
2018 Annual Report</t>
        </r>
      </text>
    </comment>
    <comment ref="H227" authorId="0" shapeId="0" xr:uid="{00000000-0006-0000-0A00-00005D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Rays (5.5)
Macpac $7.8mn  (proforma 12 months 15mn)
2018 Annual Report
Macpac expected as circa $5m
May trading update</t>
        </r>
      </text>
    </comment>
    <comment ref="I227" authorId="5" shapeId="0" xr:uid="{00000000-0006-0000-0A00-00005E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8.7 from Macpac and -1.2 loss from Rays</t>
        </r>
      </text>
    </comment>
    <comment ref="I231" authorId="5" shapeId="0" xr:uid="{00000000-0006-0000-0A00-00005F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9 remaining Rays stores - to be converted to Macpac by 2H19</t>
        </r>
      </text>
    </comment>
    <comment ref="C232" authorId="0" shapeId="0" xr:uid="{00000000-0006-0000-0A00-000060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Stores 2/7/16 = </t>
        </r>
        <r>
          <rPr>
            <b/>
            <sz val="9"/>
            <color indexed="81"/>
            <rFont val="Tahoma"/>
            <family val="2"/>
          </rPr>
          <t>53</t>
        </r>
        <r>
          <rPr>
            <sz val="9"/>
            <color indexed="81"/>
            <rFont val="Tahoma"/>
            <family val="2"/>
          </rPr>
          <t xml:space="preserve">
Closed = 36
Stores = 17
1H17 Report</t>
        </r>
      </text>
    </comment>
    <comment ref="G232" authorId="5" shapeId="0" xr:uid="{00000000-0006-0000-0A00-000061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6 of 15 stores in Rays converted into Macpac
48 stores of Macpac</t>
        </r>
      </text>
    </comment>
    <comment ref="K232" authorId="5" shapeId="0" xr:uid="{00000000-0006-0000-0A00-000062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guided to open 1 new store in 2H18</t>
        </r>
      </text>
    </comment>
    <comment ref="R232" authorId="1" shapeId="0" xr:uid="{00000000-0006-0000-0A00-000063000000}">
      <text>
        <r>
          <rPr>
            <b/>
            <sz val="9"/>
            <color indexed="81"/>
            <rFont val="Tahoma"/>
            <family val="2"/>
          </rPr>
          <t>Carran, Sophie [GIR]:</t>
        </r>
        <r>
          <rPr>
            <sz val="9"/>
            <color indexed="81"/>
            <rFont val="Tahoma"/>
            <family val="2"/>
          </rPr>
          <t xml:space="preserve">
Opened 7
Closed 1</t>
        </r>
      </text>
    </comment>
    <comment ref="T232" authorId="2" shapeId="0" xr:uid="{00000000-0006-0000-0A00-00006400000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Open 10 but net 9</t>
        </r>
      </text>
    </comment>
    <comment ref="W232" authorId="2" shapeId="0" xr:uid="{A8C73B5C-39F2-4BB6-9F80-B8EBED92CAFC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Target 6 at 1H result</t>
        </r>
      </text>
    </comment>
    <comment ref="Z232" authorId="2" shapeId="0" xr:uid="{82F1BAF6-4904-48AA-9FF5-2CF534C85B8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result: Openned 8 closed 1</t>
        </r>
      </text>
    </comment>
    <comment ref="AF232" authorId="7" shapeId="0" xr:uid="{53B035B1-4914-4083-B29A-23CB3E07BF27}">
      <text>
        <r>
          <rPr>
            <b/>
            <sz val="9"/>
            <color indexed="81"/>
            <rFont val="Tahoma"/>
            <family val="2"/>
          </rPr>
          <t>Haidar, Rayanne [GIR]:</t>
        </r>
        <r>
          <rPr>
            <sz val="9"/>
            <color indexed="81"/>
            <rFont val="Tahoma"/>
            <family val="2"/>
          </rPr>
          <t xml:space="preserve">
FY25 result: Gross 1 stores</t>
        </r>
      </text>
    </comment>
    <comment ref="H233" authorId="0" shapeId="0" xr:uid="{00000000-0006-0000-0A00-000065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Macpac has 54 stores as at 30 June 2018
2018 Annual Report
Integrate 9 Rays in 4th qtr 2018/19
FY18 Result Announcement</t>
        </r>
      </text>
    </comment>
    <comment ref="W233" authorId="3" shapeId="0" xr:uid="{00000000-0006-0000-0A00-000066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FY22 results preso pg 12 </t>
        </r>
      </text>
    </comment>
    <comment ref="AC233" authorId="7" shapeId="0" xr:uid="{EC92CB1E-04AA-4ACB-BBAA-39B6C6BF2BE5}">
      <text>
        <r>
          <rPr>
            <b/>
            <sz val="9"/>
            <color indexed="81"/>
            <rFont val="Tahoma"/>
            <family val="2"/>
          </rPr>
          <t>Haidar, Rayanne [GIR]:</t>
        </r>
        <r>
          <rPr>
            <sz val="9"/>
            <color indexed="81"/>
            <rFont val="Tahoma"/>
            <family val="2"/>
          </rPr>
          <t xml:space="preserve">
Macq conference guidance of 104 stores FY25</t>
        </r>
      </text>
    </comment>
    <comment ref="AF233" authorId="2" shapeId="0" xr:uid="{5C1C926A-4B70-4D25-8064-2F7EFE677EDF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105 guided by FY26</t>
        </r>
      </text>
    </comment>
    <comment ref="E259" authorId="0" shapeId="0" xr:uid="{00000000-0006-0000-0A00-000067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Closure of 38 Rays stores</t>
        </r>
      </text>
    </comment>
    <comment ref="H259" authorId="0" shapeId="0" xr:uid="{00000000-0006-0000-0A00-000068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Introduction of Macpac stores and closure of Rays</t>
        </r>
      </text>
    </comment>
    <comment ref="F260" authorId="9" shapeId="0" xr:uid="{00000000-0006-0000-0A00-000069000000}">
      <text>
        <r>
          <rPr>
            <b/>
            <sz val="9"/>
            <color indexed="81"/>
            <rFont val="Tahoma"/>
            <family val="2"/>
          </rPr>
          <t>Fulton, Grace [GIR]:</t>
        </r>
        <r>
          <rPr>
            <sz val="9"/>
            <color indexed="81"/>
            <rFont val="Tahoma"/>
            <family val="2"/>
          </rPr>
          <t xml:space="preserve">
136 BCF
15 Rays</t>
        </r>
      </text>
    </comment>
    <comment ref="C264" authorId="8" shapeId="0" xr:uid="{00000000-0006-0000-0A00-00006A000000}">
      <text>
        <r>
          <rPr>
            <b/>
            <sz val="9"/>
            <color indexed="81"/>
            <rFont val="Tahoma"/>
            <family val="2"/>
          </rPr>
          <t>Ashwini Chandra:</t>
        </r>
        <r>
          <rPr>
            <sz val="9"/>
            <color indexed="81"/>
            <rFont val="Tahoma"/>
            <family val="2"/>
          </rPr>
          <t xml:space="preserve">
$311.0m is the actual sales number but no breakdown of Rays vs BCF anymore</t>
        </r>
      </text>
    </comment>
    <comment ref="E264" authorId="8" shapeId="0" xr:uid="{00000000-0006-0000-0A00-00006B000000}">
      <text>
        <r>
          <rPr>
            <b/>
            <sz val="9"/>
            <color indexed="81"/>
            <rFont val="Tahoma"/>
            <family val="2"/>
          </rPr>
          <t>Ashwini Chandra:</t>
        </r>
        <r>
          <rPr>
            <sz val="9"/>
            <color indexed="81"/>
            <rFont val="Tahoma"/>
            <family val="2"/>
          </rPr>
          <t xml:space="preserve">
$581.9m</t>
        </r>
      </text>
    </comment>
    <comment ref="E266" authorId="8" shapeId="0" xr:uid="{00000000-0006-0000-0A00-00006C000000}">
      <text>
        <r>
          <rPr>
            <b/>
            <sz val="9"/>
            <color indexed="81"/>
            <rFont val="Tahoma"/>
            <family val="2"/>
          </rPr>
          <t>Ashwini Chandra:</t>
        </r>
        <r>
          <rPr>
            <sz val="9"/>
            <color indexed="81"/>
            <rFont val="Tahoma"/>
            <family val="2"/>
          </rPr>
          <t xml:space="preserve">
for weeks 11 to 52 post Ray's Outdoors store closures</t>
        </r>
      </text>
    </comment>
    <comment ref="J267" authorId="5" shapeId="0" xr:uid="{00000000-0006-0000-0A00-00006D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17 weeks pf BCF +5.3%
Ytd +3.3%</t>
        </r>
      </text>
    </comment>
    <comment ref="I270" authorId="5" shapeId="0" xr:uid="{00000000-0006-0000-0A00-00006E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Rays</t>
        </r>
      </text>
    </comment>
    <comment ref="I273" authorId="5" shapeId="0" xr:uid="{00000000-0006-0000-0A00-00006F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decline in gross margin for BCF due to higher promotional activities</t>
        </r>
      </text>
    </comment>
    <comment ref="F287" authorId="8" shapeId="0" xr:uid="{00000000-0006-0000-0A00-000070000000}">
      <text>
        <r>
          <rPr>
            <b/>
            <sz val="9"/>
            <color indexed="81"/>
            <rFont val="Tahoma"/>
            <family val="2"/>
          </rPr>
          <t>Ashwini Chandra:</t>
        </r>
        <r>
          <rPr>
            <sz val="9"/>
            <color indexed="81"/>
            <rFont val="Tahoma"/>
            <family val="2"/>
          </rPr>
          <t xml:space="preserve">
Rays contributed a A$3.5mn loss in the period</t>
        </r>
      </text>
    </comment>
    <comment ref="B316" authorId="0" shapeId="0" xr:uid="{00000000-0006-0000-0A00-000071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Fangear.com online business</t>
        </r>
      </text>
    </comment>
    <comment ref="B317" authorId="5" shapeId="0" xr:uid="{00000000-0006-0000-0A00-000072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Controlled entity from 14 July 2014</t>
        </r>
      </text>
    </comment>
    <comment ref="E318" authorId="0" shapeId="0" xr:uid="{00000000-0006-0000-0A00-000073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Delivering a small EBIT contribution
2017 Annual Report</t>
        </r>
      </text>
    </comment>
    <comment ref="H318" authorId="0" shapeId="0" xr:uid="{00000000-0006-0000-0A00-000074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Infinite Retail operated consistently with the prior reporting period and delivered a break even result
2018 Annual Report</t>
        </r>
      </text>
    </comment>
    <comment ref="L333" authorId="5" shapeId="0" xr:uid="{00000000-0006-0000-0A00-000075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adjusted for Infinite retail. Full year was 15.9, assuming 1H was roughly half</t>
        </r>
      </text>
    </comment>
    <comment ref="N333" authorId="5" shapeId="0" xr:uid="{00000000-0006-0000-0A00-000076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15.9 being underlying infinite retail sales</t>
        </r>
      </text>
    </comment>
    <comment ref="Q333" authorId="5" shapeId="0" xr:uid="{00000000-0006-0000-0A00-000077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15.9 being underlying infinite retail sales</t>
        </r>
      </text>
    </comment>
    <comment ref="K334" authorId="5" shapeId="0" xr:uid="{00000000-0006-0000-0A00-000078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4% for 17 weeks and ytd +3.5%</t>
        </r>
      </text>
    </comment>
    <comment ref="N334" authorId="6" shapeId="0" xr:uid="{00000000-0006-0000-0A00-000079000000}">
      <text>
        <r>
          <rPr>
            <b/>
            <sz val="9"/>
            <color indexed="81"/>
            <rFont val="Tahoma"/>
            <family val="2"/>
          </rPr>
          <t>McLennan, Andrew (Australia - Research) [GIR]:</t>
        </r>
        <r>
          <rPr>
            <sz val="9"/>
            <color indexed="81"/>
            <rFont val="Tahoma"/>
            <family val="2"/>
          </rPr>
          <t xml:space="preserve">
1st 7 weeks +5.8%</t>
        </r>
      </text>
    </comment>
    <comment ref="Q334" authorId="6" shapeId="0" xr:uid="{00000000-0006-0000-0A00-00007A000000}">
      <text>
        <r>
          <rPr>
            <b/>
            <sz val="9"/>
            <color indexed="81"/>
            <rFont val="Tahoma"/>
            <family val="2"/>
          </rPr>
          <t>McLennan, Andrew (Australia - Research) [GIR]:</t>
        </r>
        <r>
          <rPr>
            <sz val="9"/>
            <color indexed="81"/>
            <rFont val="Tahoma"/>
            <family val="2"/>
          </rPr>
          <t xml:space="preserve">
1st 7 weeks +5.8%</t>
        </r>
      </text>
    </comment>
    <comment ref="Q335" authorId="3" shapeId="0" xr:uid="{00000000-0006-0000-0A00-00007B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Like-for-like sales growth of 17.5 per cent1 was driven by increased
transaction and higher average transaction value, due to increased items
per transaction and higher average item value</t>
        </r>
      </text>
    </comment>
    <comment ref="T335" authorId="3" shapeId="0" xr:uid="{00000000-0006-0000-0A00-00007C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1H impacted by omicron.
Delay shipment also reduced availability of global brands new season stock  </t>
        </r>
      </text>
    </comment>
    <comment ref="N340" authorId="5" shapeId="0" xr:uid="{00000000-0006-0000-0A00-00007D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infinite retail was 15.9mn</t>
        </r>
      </text>
    </comment>
    <comment ref="Q340" authorId="5" shapeId="0" xr:uid="{00000000-0006-0000-0A00-00007E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infinite retail was 15.9mn</t>
        </r>
      </text>
    </comment>
    <comment ref="Z343" authorId="2" shapeId="0" xr:uid="{3322DE52-748B-48F7-9F1F-59A900C3C868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FY24 - Opened 1 store. One closed</t>
        </r>
      </text>
    </comment>
    <comment ref="AF343" authorId="7" shapeId="0" xr:uid="{6A7B667E-2444-4157-A3C9-A1B5DEEBD8D3}">
      <text>
        <r>
          <rPr>
            <b/>
            <sz val="9"/>
            <color indexed="81"/>
            <rFont val="Tahoma"/>
            <family val="2"/>
          </rPr>
          <t>Haidar, Rayanne [GIR]:</t>
        </r>
        <r>
          <rPr>
            <sz val="9"/>
            <color indexed="81"/>
            <rFont val="Tahoma"/>
            <family val="2"/>
          </rPr>
          <t xml:space="preserve">
FY25 result: Gross 8 stores</t>
        </r>
      </text>
    </comment>
    <comment ref="E344" authorId="0" shapeId="0" xr:uid="{00000000-0006-0000-0A00-00007F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Rebel 98
Amart Sports 68</t>
        </r>
      </text>
    </comment>
    <comment ref="F344" authorId="0" shapeId="0" xr:uid="{00000000-0006-0000-0A00-000080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2 opened
68 Amart converted to Rebel</t>
        </r>
      </text>
    </comment>
    <comment ref="H344" authorId="0" shapeId="0" xr:uid="{00000000-0006-0000-0A00-000081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Amart Sports integration with Rebel, RebelFit stores closed and brand brought within the store platform</t>
        </r>
      </text>
    </comment>
    <comment ref="AC344" authorId="7" shapeId="0" xr:uid="{9797BFB5-75ED-4D09-930C-DD013F58556C}">
      <text>
        <r>
          <rPr>
            <b/>
            <sz val="9"/>
            <color indexed="81"/>
            <rFont val="Tahoma"/>
            <family val="2"/>
          </rPr>
          <t>Haidar, Rayanne [GIR]:</t>
        </r>
        <r>
          <rPr>
            <sz val="9"/>
            <color indexed="81"/>
            <rFont val="Tahoma"/>
            <family val="2"/>
          </rPr>
          <t xml:space="preserve">
Mac q update (2025): FY25 159 stores</t>
        </r>
      </text>
    </comment>
    <comment ref="AF344" authorId="2" shapeId="0" xr:uid="{BC146455-D1E8-41EA-A9C8-AF6630C57465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165 target for FY26. FY22 Investor day guidance
Mac q update (2025): FY25 165 stores</t>
        </r>
      </text>
    </comment>
    <comment ref="F346" authorId="0" shapeId="0" xr:uid="{00000000-0006-0000-0A00-000082000000}">
      <text>
        <r>
          <rPr>
            <b/>
            <sz val="9"/>
            <color indexed="81"/>
            <rFont val="Tahoma"/>
            <family val="2"/>
          </rPr>
          <t>Davies, Abigail [GIR]:</t>
        </r>
        <r>
          <rPr>
            <sz val="9"/>
            <color indexed="81"/>
            <rFont val="Tahoma"/>
            <family val="2"/>
          </rPr>
          <t xml:space="preserve">
Covert the Amart Sports stores to Rebel which was compelted by the end of October 2017
2018 Annual Report</t>
        </r>
      </text>
    </comment>
    <comment ref="AC350" authorId="3" shapeId="0" xr:uid="{02EE1C79-FA94-4EED-939E-198FC2C277E2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expect Loyalty prgoram to start working. </t>
        </r>
      </text>
    </comment>
    <comment ref="C352" authorId="8" shapeId="0" xr:uid="{00000000-0006-0000-0A00-000083000000}">
      <text>
        <r>
          <rPr>
            <b/>
            <sz val="9"/>
            <color indexed="81"/>
            <rFont val="Tahoma"/>
            <family val="2"/>
          </rPr>
          <t>Ashwini Chandra:</t>
        </r>
        <r>
          <rPr>
            <sz val="9"/>
            <color indexed="81"/>
            <rFont val="Tahoma"/>
            <family val="2"/>
          </rPr>
          <t xml:space="preserve">
1H17 Result presentation says +8.5%</t>
        </r>
      </text>
    </comment>
    <comment ref="Z352" authorId="3" shapeId="0" xr:uid="{AC382D29-7A35-4E23-8BEC-043DA6B948FC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wk 1-43 sales growt -2.0% </t>
        </r>
      </text>
    </comment>
    <comment ref="AD352" authorId="2" shapeId="0" xr:uid="{473E76E5-01BE-465A-936D-7B8C00EA83E8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AGM: +3.6% for first 16wk</t>
        </r>
      </text>
    </comment>
    <comment ref="E353" authorId="9" shapeId="0" xr:uid="{00000000-0006-0000-0A00-000084000000}">
      <text>
        <r>
          <rPr>
            <b/>
            <sz val="9"/>
            <color indexed="81"/>
            <rFont val="Tahoma"/>
            <family val="2"/>
          </rPr>
          <t>Fulton, Grace [GIR]:</t>
        </r>
        <r>
          <rPr>
            <sz val="9"/>
            <color indexed="81"/>
            <rFont val="Tahoma"/>
            <family val="2"/>
          </rPr>
          <t xml:space="preserve">
Rebel and Amart Sports only</t>
        </r>
      </text>
    </comment>
    <comment ref="I353" authorId="5" shapeId="0" xr:uid="{00000000-0006-0000-0A00-000085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growth in units, transactions and transaction values
Categories like Clothing, Fitness and Footwear experienced strong LfL growth as a result of successful new season ranges and product innovation</t>
        </r>
      </text>
    </comment>
    <comment ref="S353" authorId="3" shapeId="0" xr:uid="{00000000-0006-0000-0A00-000086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26wk vs 26wk adjusted. </t>
        </r>
      </text>
    </comment>
    <comment ref="T353" authorId="3" shapeId="0" xr:uid="{00000000-0006-0000-0A00-000087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52wk vs 52wk adjusted. </t>
        </r>
      </text>
    </comment>
    <comment ref="V353" authorId="3" shapeId="0" xr:uid="{E09CE8FD-E496-4F63-A3D5-E6140365EA39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1st 7 weeks 2H +13% </t>
        </r>
      </text>
    </comment>
    <comment ref="Y353" authorId="2" shapeId="0" xr:uid="{57CA2EAE-0CDF-4A1B-B535-BCB762D6450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7 wk update 1H result. -4%. Impacted by back to School in pcp</t>
        </r>
      </text>
    </comment>
    <comment ref="AA353" authorId="2" shapeId="0" xr:uid="{EA2D162D-9798-4E47-9D95-7BE296A7C779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result: 7 wk trading affected by pcp with womens WC. Post results call indicates ~300bp LFL vs 1% achieved</t>
        </r>
      </text>
    </comment>
    <comment ref="AB353" authorId="2" shapeId="0" xr:uid="{4F9D1EEA-C964-4FCE-B1C2-67E9905C17F1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7 wk update 1H result. -4%. Impacted by back to School in pcp</t>
        </r>
      </text>
    </comment>
    <comment ref="AD353" authorId="2" shapeId="0" xr:uid="{BD48B77E-0DE3-4298-BBFC-8D6A7F1CDB7F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AGM: LFL +3.2% for first 16wk</t>
        </r>
      </text>
    </comment>
    <comment ref="S355" authorId="3" shapeId="0" xr:uid="{00000000-0006-0000-0A00-000088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includes new store dilution and 53rd week of trading </t>
        </r>
      </text>
    </comment>
    <comment ref="T355" authorId="3" shapeId="0" xr:uid="{00000000-0006-0000-0A00-000089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incl. new store dilution and 53rd week of trading. </t>
        </r>
      </text>
    </comment>
    <comment ref="W355" authorId="3" shapeId="0" xr:uid="{75F62386-EBE1-4777-A6FB-A521E474713D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incl. new store dilution and 53rd week of trading. </t>
        </r>
      </text>
    </comment>
    <comment ref="N358" authorId="5" shapeId="0" xr:uid="{00000000-0006-0000-0A00-00008A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gross margin improved due to lower promotional activity</t>
        </r>
      </text>
    </comment>
    <comment ref="R358" authorId="3" shapeId="0" xr:uid="{00000000-0006-0000-0A00-00008C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Gross margin lower than pcp reflecting higher supply chain costs, increased
promotional activity and a higher sales mix of lower margin categories</t>
        </r>
      </text>
    </comment>
    <comment ref="T358" authorId="2" shapeId="0" xr:uid="{00000000-0006-0000-0A00-00008D00000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80bp lower in commentary than pcp
higher trading margins offset by supply chain costs and increased promotional acivity and inventory supply challenges. </t>
        </r>
      </text>
    </comment>
    <comment ref="U358" authorId="3" shapeId="0" xr:uid="{3CE562E8-AC28-4E83-AAD4-8A165D8D390A}">
      <text>
        <r>
          <rPr>
            <b/>
            <sz val="9"/>
            <color indexed="81"/>
            <rFont val="Tahoma"/>
            <family val="2"/>
          </rPr>
          <t>Flat GP margin : Preso</t>
        </r>
      </text>
    </comment>
    <comment ref="W358" authorId="2" shapeId="0" xr:uid="{7F9C9FA4-836C-45E2-A246-C5F2EA8F5BA6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An 80bps decline in gross margin was partly offset by a reduction in operating expenses. </t>
        </r>
      </text>
    </comment>
    <comment ref="X358" authorId="3" shapeId="0" xr:uid="{046DB678-CDF7-4022-AB2F-0B237532D9A6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1H24 result. Flat margins and 70bp hit on loyalty program</t>
        </r>
      </text>
    </comment>
    <comment ref="Z358" authorId="3" shapeId="0" xr:uid="{9E9356A9-AA4A-42E4-ABBD-AB151F437DB8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FY24 Result: 120BP margin decline
loyalty impact A$8mn for FY24 per 1H24 trading update announcement. This is equivalent to 0.6% of sales. </t>
        </r>
      </text>
    </comment>
    <comment ref="AA358" authorId="3" shapeId="0" xr:uid="{17B4AC81-4DF6-4280-814F-A45D9306A636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1H25 Result: 150bp reduction in GPM due to Loyalty, stock loww, and mix
IR: not quite 50% but closer to 50% than 45% </t>
        </r>
      </text>
    </comment>
    <comment ref="AC358" authorId="2" shapeId="0" xr:uid="{0B3CC9BD-C91F-49AC-9361-ACAC9370E23B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110bp decline in FY25</t>
        </r>
      </text>
    </comment>
    <comment ref="I372" authorId="5" shapeId="0" xr:uid="{00000000-0006-0000-0A00-00008F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increase due to synergies from brand consolidation</t>
        </r>
      </text>
    </comment>
    <comment ref="W374" authorId="3" shapeId="0" xr:uid="{00000000-0006-0000-0A00-000090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still expect to keep part of COVID margin gain given strong loyalty and omni-channel, return to outdoor. </t>
        </r>
      </text>
    </comment>
    <comment ref="T379" authorId="3" shapeId="0" xr:uid="{00000000-0006-0000-0A00-000091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well managed inventory days. </t>
        </r>
      </text>
    </comment>
    <comment ref="W379" authorId="3" shapeId="0" xr:uid="{86F9941A-DDC2-4A48-B08D-606E7AD84A2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well managed inventory days. </t>
        </r>
      </text>
    </comment>
    <comment ref="H383" authorId="5" shapeId="0" xr:uid="{00000000-0006-0000-0A00-000092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Online share of sporting retail - 25%</t>
        </r>
      </text>
    </comment>
    <comment ref="C385" authorId="5" shapeId="0" xr:uid="{00000000-0006-0000-0A00-000093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12 months to Dec
</t>
        </r>
      </text>
    </comment>
    <comment ref="F385" authorId="5" shapeId="0" xr:uid="{00000000-0006-0000-0A00-000094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12 months to Dec
</t>
        </r>
      </text>
    </comment>
    <comment ref="AF395" authorId="2" shapeId="0" xr:uid="{C5ADEFF2-323C-4A69-9F61-3B862B4E1405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target per FY33 investor day preso, Page 31. </t>
        </r>
      </text>
    </comment>
    <comment ref="W396" authorId="2" shapeId="0" xr:uid="{D4F488CB-227A-4988-B60D-3790BB989E17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50% sales uplift</t>
        </r>
      </text>
    </comment>
    <comment ref="C410" authorId="4" shapeId="0" xr:uid="{00000000-0006-0000-0A00-000095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E410" authorId="4" shapeId="0" xr:uid="{00000000-0006-0000-0A00-000096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F410" authorId="4" shapeId="0" xr:uid="{00000000-0006-0000-0A00-000097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H410" authorId="4" shapeId="0" xr:uid="{00000000-0006-0000-0A00-000098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I410" authorId="4" shapeId="0" xr:uid="{00000000-0006-0000-0A00-000099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K410" authorId="4" shapeId="0" xr:uid="{00000000-0006-0000-0A00-00009A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L410" authorId="4" shapeId="0" xr:uid="{00000000-0006-0000-0A00-00009B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N410" authorId="4" shapeId="0" xr:uid="{00000000-0006-0000-0A00-00009C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O410" authorId="4" shapeId="0" xr:uid="{00000000-0006-0000-0A00-00009D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Q410" authorId="4" shapeId="0" xr:uid="{00000000-0006-0000-0A00-00009E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R410" authorId="4" shapeId="0" xr:uid="{00000000-0006-0000-0A00-00009F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T410" authorId="4" shapeId="0" xr:uid="{00000000-0006-0000-0A00-0000A0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U410" authorId="4" shapeId="0" xr:uid="{00000000-0006-0000-0A00-0000A1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W410" authorId="4" shapeId="0" xr:uid="{00000000-0006-0000-0A00-0000A2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X410" authorId="4" shapeId="0" xr:uid="{00000000-0006-0000-0A00-0000A3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Z410" authorId="4" shapeId="0" xr:uid="{00000000-0006-0000-0A00-0000A4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AA410" authorId="4" shapeId="0" xr:uid="{AF405BE4-F761-44EC-8D05-E68AF8AF9649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AC410" authorId="4" shapeId="0" xr:uid="{00000000-0006-0000-0A00-0000A5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AD410" authorId="4" shapeId="0" xr:uid="{7462277E-5B4E-4D04-B175-9A4EADAC0556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AF410" authorId="4" shapeId="0" xr:uid="{00000000-0006-0000-0A00-0000A6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AG410" authorId="4" shapeId="0" xr:uid="{5B565F89-1E48-4534-9847-8E2D7AB89B5E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AI410" authorId="4" shapeId="0" xr:uid="{00000000-0006-0000-0A00-0000A7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AL410" authorId="4" shapeId="0" xr:uid="{00000000-0006-0000-0A00-0000A8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AO410" authorId="4" shapeId="0" xr:uid="{00000000-0006-0000-0A00-0000A9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AR410" authorId="4" shapeId="0" xr:uid="{00000000-0006-0000-0A00-0000AA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AU410" authorId="4" shapeId="0" xr:uid="{00000000-0006-0000-0A00-0000AB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AX410" authorId="4" shapeId="0" xr:uid="{00000000-0006-0000-0A00-0000AC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BA410" authorId="4" shapeId="0" xr:uid="{DCA54B3F-8E07-41DC-B85C-049AF877D27E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BD410" authorId="4" shapeId="0" xr:uid="{A1D5F857-0ED7-45D9-8923-CE27DC7AA093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BG410" authorId="4" shapeId="0" xr:uid="{A6E2D303-2A0D-4E32-A0BA-96CD343F334A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BJ410" authorId="4" shapeId="0" xr:uid="{8DBF6299-6D6D-43B0-893F-16B6F8A78EFB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Workout World and Infinite Retail losses to reverse</t>
        </r>
      </text>
    </comment>
    <comment ref="E412" authorId="4" shapeId="0" xr:uid="{00000000-0006-0000-0A00-0000AD000000}">
      <text>
        <r>
          <rPr>
            <b/>
            <sz val="9"/>
            <color indexed="81"/>
            <rFont val="Tahoma"/>
            <family val="2"/>
          </rPr>
          <t>Chong, Andrea [GIR]:</t>
        </r>
        <r>
          <rPr>
            <sz val="9"/>
            <color indexed="81"/>
            <rFont val="Tahoma"/>
            <family val="2"/>
          </rPr>
          <t xml:space="preserve">
EBIT margin for Rebel/Amart in FY15 was 9.4%
</t>
        </r>
      </text>
    </comment>
    <comment ref="L412" authorId="10" shapeId="0" xr:uid="{00000000-0006-0000-0A00-0000AE000000}">
      <text>
        <r>
          <rPr>
            <b/>
            <sz val="9"/>
            <color indexed="81"/>
            <rFont val="Tahoma"/>
            <family val="2"/>
          </rPr>
          <t>Yeoh, Aaron [GIR]:</t>
        </r>
        <r>
          <rPr>
            <sz val="9"/>
            <color indexed="81"/>
            <rFont val="Tahoma"/>
            <family val="2"/>
          </rPr>
          <t xml:space="preserve">
Assume margin improves in FY17 as infinite retail is break even EBIT</t>
        </r>
      </text>
    </comment>
    <comment ref="O412" authorId="10" shapeId="0" xr:uid="{00000000-0006-0000-0A00-0000AF000000}">
      <text>
        <r>
          <rPr>
            <b/>
            <sz val="9"/>
            <color indexed="81"/>
            <rFont val="Tahoma"/>
            <family val="2"/>
          </rPr>
          <t>Yeoh, Aaron [GIR]:</t>
        </r>
        <r>
          <rPr>
            <sz val="9"/>
            <color indexed="81"/>
            <rFont val="Tahoma"/>
            <family val="2"/>
          </rPr>
          <t xml:space="preserve">
Assume margin improves in FY17 as infinite retail is break even EBIT</t>
        </r>
      </text>
    </comment>
    <comment ref="R412" authorId="10" shapeId="0" xr:uid="{00000000-0006-0000-0A00-0000B0000000}">
      <text>
        <r>
          <rPr>
            <b/>
            <sz val="9"/>
            <color indexed="81"/>
            <rFont val="Tahoma"/>
            <family val="2"/>
          </rPr>
          <t>Yeoh, Aaron [GIR]:</t>
        </r>
        <r>
          <rPr>
            <sz val="9"/>
            <color indexed="81"/>
            <rFont val="Tahoma"/>
            <family val="2"/>
          </rPr>
          <t xml:space="preserve">
Assume margin improves in FY17 as infinite retail is break even EBIT</t>
        </r>
      </text>
    </comment>
    <comment ref="U412" authorId="10" shapeId="0" xr:uid="{00000000-0006-0000-0A00-0000B1000000}">
      <text>
        <r>
          <rPr>
            <b/>
            <sz val="9"/>
            <color indexed="81"/>
            <rFont val="Tahoma"/>
            <family val="2"/>
          </rPr>
          <t>Yeoh, Aaron [GIR]:</t>
        </r>
        <r>
          <rPr>
            <sz val="9"/>
            <color indexed="81"/>
            <rFont val="Tahoma"/>
            <family val="2"/>
          </rPr>
          <t xml:space="preserve">
Assume margin improves in FY17 as infinite retail is break even EBIT</t>
        </r>
      </text>
    </comment>
    <comment ref="X412" authorId="10" shapeId="0" xr:uid="{00000000-0006-0000-0A00-0000B2000000}">
      <text>
        <r>
          <rPr>
            <b/>
            <sz val="9"/>
            <color indexed="81"/>
            <rFont val="Tahoma"/>
            <family val="2"/>
          </rPr>
          <t>Yeoh, Aaron [GIR]:</t>
        </r>
        <r>
          <rPr>
            <sz val="9"/>
            <color indexed="81"/>
            <rFont val="Tahoma"/>
            <family val="2"/>
          </rPr>
          <t xml:space="preserve">
Assume margin improves in FY17 as infinite retail is break even EBIT</t>
        </r>
      </text>
    </comment>
    <comment ref="AD412" authorId="10" shapeId="0" xr:uid="{890354DC-91A7-4D59-970E-DE20D347A850}">
      <text>
        <r>
          <rPr>
            <b/>
            <sz val="9"/>
            <color indexed="81"/>
            <rFont val="Tahoma"/>
            <family val="2"/>
          </rPr>
          <t>Yeoh, Aaron [GIR]:</t>
        </r>
        <r>
          <rPr>
            <sz val="9"/>
            <color indexed="81"/>
            <rFont val="Tahoma"/>
            <family val="2"/>
          </rPr>
          <t xml:space="preserve">
Assume margin improves in FY17 as infinite retail is break even EBIT</t>
        </r>
      </text>
    </comment>
    <comment ref="AG412" authorId="10" shapeId="0" xr:uid="{BE5C4727-5943-4A8C-AC20-238775EE86AE}">
      <text>
        <r>
          <rPr>
            <b/>
            <sz val="9"/>
            <color indexed="81"/>
            <rFont val="Tahoma"/>
            <family val="2"/>
          </rPr>
          <t>Yeoh, Aaron [GIR]:</t>
        </r>
        <r>
          <rPr>
            <sz val="9"/>
            <color indexed="81"/>
            <rFont val="Tahoma"/>
            <family val="2"/>
          </rPr>
          <t xml:space="preserve">
Assume margin improves in FY17 as infinite retail is break even EBIT</t>
        </r>
      </text>
    </comment>
    <comment ref="K438" authorId="5" shapeId="0" xr:uid="{00000000-0006-0000-0A00-0000B3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20mn guided to be the expected normal during FY18 conference call</t>
        </r>
      </text>
    </comment>
    <comment ref="Z438" authorId="1" shapeId="0" xr:uid="{00000000-0006-0000-0A00-0000B5000000}">
      <text>
        <r>
          <rPr>
            <b/>
            <sz val="9"/>
            <color indexed="81"/>
            <rFont val="Tahoma"/>
            <family val="2"/>
          </rPr>
          <t xml:space="preserve">1H24 mgmt guidance at 37mn </t>
        </r>
      </text>
    </comment>
    <comment ref="AF438" authorId="2" shapeId="0" xr:uid="{003D149C-786A-4CAB-B9BA-1EE4BA41B79E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FY25: guide to 60m</t>
        </r>
      </text>
    </comment>
    <comment ref="Q439" authorId="1" shapeId="0" xr:uid="{00000000-0006-0000-0A00-0000B6000000}">
      <text>
        <r>
          <rPr>
            <b/>
            <sz val="9"/>
            <color indexed="81"/>
            <rFont val="Tahoma"/>
            <family val="2"/>
          </rPr>
          <t>Carran, Sophie [GIR]:</t>
        </r>
        <r>
          <rPr>
            <sz val="9"/>
            <color indexed="81"/>
            <rFont val="Tahoma"/>
            <family val="2"/>
          </rPr>
          <t xml:space="preserve">
Step up reflects performance rights expense
Legal/risk/compliance investment
Insurance costs
Professional fees</t>
        </r>
      </text>
    </comment>
    <comment ref="AC440" authorId="2" shapeId="0" xr:uid="{DAB745F1-4257-456C-95E5-A8393232FA27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8m double running cost with new DC</t>
        </r>
      </text>
    </comment>
    <comment ref="AF440" authorId="2" shapeId="0" xr:uid="{3F94FDEF-98B4-44BD-9B5E-86E4AB61BC2D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1H25 result: expect slightly more double running DC costs</t>
        </r>
      </text>
    </comment>
    <comment ref="T441" authorId="3" shapeId="0" xr:uid="{00000000-0006-0000-0A00-0000B7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loyalty and personalization
</t>
        </r>
      </text>
    </comment>
    <comment ref="W441" authorId="3" shapeId="0" xr:uid="{00000000-0006-0000-0A00-0000B8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further investment in loyalty and personalization pg 40 of FY22 results preso. </t>
        </r>
      </text>
    </comment>
    <comment ref="Z441" authorId="3" shapeId="0" xr:uid="{B205FADC-EC0F-4DD8-BE25-3F7E0B923D24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mgmt guided for 8mn personalization costs. FY23 results preso.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Leigh, James [GIR]</author>
    <author>Deng, Lisa L [GIR]</author>
  </authors>
  <commentList>
    <comment ref="W32" authorId="0" shapeId="0" xr:uid="{6E6EC282-177D-4914-AD69-B090FFC02E92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adjusted 0.1m  to balance FY23 ROU (likely rounding error)</t>
        </r>
      </text>
    </comment>
    <comment ref="AC49" authorId="0" shapeId="0" xr:uid="{249A55B7-9C8D-4E0D-A69A-6CE2CCC02BA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FY24 results: guided to 165m capex. Retained at 1H25 result</t>
        </r>
      </text>
    </comment>
    <comment ref="T52" authorId="1" shapeId="0" xr:uid="{00000000-0006-0000-0B00-000003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58.8mn on 21 stores. </t>
        </r>
      </text>
    </comment>
    <comment ref="AA52" authorId="0" shapeId="0" xr:uid="{B07BD2E1-EE67-4177-94D6-8640D7B092A8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AGM Update: Store investment still 1H weighted</t>
        </r>
      </text>
    </comment>
    <comment ref="T56" authorId="1" shapeId="0" xr:uid="{00000000-0006-0000-0B00-000004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smaller 600sqm stores vs previous 1200sqm stores, capex $0.4mn per store. </t>
        </r>
      </text>
    </comment>
    <comment ref="B58" authorId="1" shapeId="0" xr:uid="{00000000-0006-0000-0B00-000005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omni-retailing capabilities, data, cyber, networking, core info sys, loyalty, giftcards, inventory planning &amp; execution projects </t>
        </r>
      </text>
    </comment>
    <comment ref="T78" authorId="0" shapeId="0" xr:uid="{00000000-0006-0000-0B00-000006000000}">
      <text>
        <r>
          <rPr>
            <b/>
            <sz val="9"/>
            <color indexed="81"/>
            <rFont val="Tahoma"/>
            <family val="2"/>
          </rPr>
          <t>Leigh, James [GIR]:</t>
        </r>
        <r>
          <rPr>
            <sz val="9"/>
            <color indexed="81"/>
            <rFont val="Tahoma"/>
            <family val="2"/>
          </rPr>
          <t xml:space="preserve">
Adjustment for make good provisions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Deng, Lisa L [GIR]</author>
  </authors>
  <commentList>
    <comment ref="Q7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capitalized borrowing cost. </t>
        </r>
      </text>
    </comment>
    <comment ref="R7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capitalized borrowing cost. </t>
        </r>
      </text>
    </comment>
    <comment ref="S7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capitalized borrowing cost. </t>
        </r>
      </text>
    </comment>
    <comment ref="T7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Deng, Lisa L [GIR]:</t>
        </r>
        <r>
          <rPr>
            <sz val="9"/>
            <color indexed="81"/>
            <rFont val="Tahoma"/>
            <family val="2"/>
          </rPr>
          <t xml:space="preserve">
capitalized borrowing cost.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Nair Syama, Darshana [GIR]</author>
  </authors>
  <commentList>
    <comment ref="E5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gross margin improved, driven by ranging and sourcing benefits plus benefits from supply chain efficiency</t>
        </r>
      </text>
    </comment>
    <comment ref="G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in line with pcp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Nair Syama, Darshana [GIR]</author>
  </authors>
  <commentList>
    <comment ref="C1" authorId="0" shapeId="0" xr:uid="{00000000-0006-0000-1B00-000001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A$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Nair Syama, Darshana [GIR]</author>
  </authors>
  <commentList>
    <comment ref="B5" authorId="0" shapeId="0" xr:uid="{00000000-0006-0000-1E00-000001000000}">
      <text>
        <r>
          <rPr>
            <b/>
            <sz val="9"/>
            <color indexed="81"/>
            <rFont val="Tahoma"/>
            <family val="2"/>
          </rPr>
          <t>Nair Syama, Darshana [GIR]:</t>
        </r>
        <r>
          <rPr>
            <sz val="9"/>
            <color indexed="81"/>
            <rFont val="Tahoma"/>
            <family val="2"/>
          </rPr>
          <t xml:space="preserve">
Includes Rays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<sst xmlns="http://schemas.openxmlformats.org/spreadsheetml/2006/main" count="2685" uniqueCount="1090">
  <si>
    <t>Cash</t>
  </si>
  <si>
    <t>Total current assets</t>
  </si>
  <si>
    <t>Non-current assets</t>
  </si>
  <si>
    <t>Accumulated depreciation</t>
  </si>
  <si>
    <t>FITB</t>
  </si>
  <si>
    <t>Total non-current assets</t>
  </si>
  <si>
    <t>Total assets</t>
  </si>
  <si>
    <t>Current liabilities</t>
  </si>
  <si>
    <t>Trade creditors</t>
  </si>
  <si>
    <t>Other liabilities</t>
  </si>
  <si>
    <t>Total current liabilities</t>
  </si>
  <si>
    <t>Non-current liabilities</t>
  </si>
  <si>
    <t>Deferred income tax provision</t>
  </si>
  <si>
    <t>Total non-current liabilities</t>
  </si>
  <si>
    <t>Total liabilities</t>
  </si>
  <si>
    <t>Shareholders' equity</t>
  </si>
  <si>
    <t>Share capital</t>
  </si>
  <si>
    <t>Retained profits</t>
  </si>
  <si>
    <t>Minority interests</t>
  </si>
  <si>
    <t>Total equity</t>
  </si>
  <si>
    <t>Current assets/Total assets</t>
  </si>
  <si>
    <t>Current liabilites/Total liabilites</t>
  </si>
  <si>
    <t>Working capital</t>
  </si>
  <si>
    <t>Change in working capital</t>
  </si>
  <si>
    <t>Adjusted EBIT</t>
  </si>
  <si>
    <t>Dividends paid</t>
  </si>
  <si>
    <t>Working capital/other</t>
  </si>
  <si>
    <t>Valuation</t>
  </si>
  <si>
    <t>EV/EBIT</t>
  </si>
  <si>
    <t>SUL</t>
  </si>
  <si>
    <t>Cost of Sales</t>
  </si>
  <si>
    <t>Net Debt</t>
  </si>
  <si>
    <t>EV</t>
  </si>
  <si>
    <t>EFPO</t>
  </si>
  <si>
    <t>EBIT Growth</t>
  </si>
  <si>
    <t>Year</t>
  </si>
  <si>
    <t>1H</t>
  </si>
  <si>
    <t xml:space="preserve">% Change </t>
  </si>
  <si>
    <t>Total Sales</t>
  </si>
  <si>
    <t>D&amp;A</t>
  </si>
  <si>
    <t>Rent/Sales</t>
  </si>
  <si>
    <t>EPS (pre NRIs)</t>
  </si>
  <si>
    <t>Growth</t>
  </si>
  <si>
    <t>Net Debt/EBITDA</t>
  </si>
  <si>
    <t>Expenses ($m)</t>
  </si>
  <si>
    <t>OtherCurrent Assets/Sales</t>
  </si>
  <si>
    <t>Other Non Current Assets/Sales</t>
  </si>
  <si>
    <t>Other creditors/Sales</t>
  </si>
  <si>
    <t>Provisions/Sales</t>
  </si>
  <si>
    <t>Other liabilities/Sales</t>
  </si>
  <si>
    <t>Income Statement</t>
  </si>
  <si>
    <t>Other Current liabilities/Sales</t>
  </si>
  <si>
    <t>Deferred income tax provision/Sales</t>
  </si>
  <si>
    <t>FITB/Sales</t>
  </si>
  <si>
    <t>Equity</t>
  </si>
  <si>
    <t>PPE</t>
  </si>
  <si>
    <t>Net PPE</t>
  </si>
  <si>
    <t>Average sales per store ($m)</t>
  </si>
  <si>
    <t>Depn/sales</t>
  </si>
  <si>
    <t>EBITDA Margin</t>
  </si>
  <si>
    <t>Australia</t>
  </si>
  <si>
    <t>NZ</t>
  </si>
  <si>
    <t>Liabilities</t>
  </si>
  <si>
    <t>INVESTMENT STATISTICS</t>
  </si>
  <si>
    <t>Yield</t>
  </si>
  <si>
    <t>Sales</t>
  </si>
  <si>
    <t>EBITDA</t>
  </si>
  <si>
    <t>Marketing</t>
  </si>
  <si>
    <t>Occupancy</t>
  </si>
  <si>
    <t>EV/EBITDA</t>
  </si>
  <si>
    <t>EBIT</t>
  </si>
  <si>
    <t>Inventories</t>
  </si>
  <si>
    <t>Other</t>
  </si>
  <si>
    <t>Trade debtors</t>
  </si>
  <si>
    <t>Goodwill</t>
  </si>
  <si>
    <t>Total Assets</t>
  </si>
  <si>
    <t>Borrowings</t>
  </si>
  <si>
    <t>Provisions</t>
  </si>
  <si>
    <t>Total Liabilities</t>
  </si>
  <si>
    <t>Net Assets</t>
  </si>
  <si>
    <t>Reserves</t>
  </si>
  <si>
    <t>Balance Of Franking Credits</t>
  </si>
  <si>
    <t>CODB</t>
  </si>
  <si>
    <t>Store expenses ($m)</t>
  </si>
  <si>
    <t>Set-up costs</t>
  </si>
  <si>
    <t>EBIT Margin - Post set-up</t>
  </si>
  <si>
    <t>EBIT Margin - Pre set-up</t>
  </si>
  <si>
    <t>Store Expenses/Sales</t>
  </si>
  <si>
    <t>EBIT - pre set-up</t>
  </si>
  <si>
    <t>EBIT - post set-up</t>
  </si>
  <si>
    <t>Store expenses/Sales</t>
  </si>
  <si>
    <t>Pre tax profit</t>
  </si>
  <si>
    <t>Less tax expense</t>
  </si>
  <si>
    <t>Minorities</t>
  </si>
  <si>
    <t>Dividends</t>
  </si>
  <si>
    <t>Interim (¢ps)</t>
  </si>
  <si>
    <t>Final (¢ps)</t>
  </si>
  <si>
    <t>SCA</t>
  </si>
  <si>
    <t>Total payout ($m)</t>
  </si>
  <si>
    <t>Payout ratio</t>
  </si>
  <si>
    <t>EBIT margin</t>
  </si>
  <si>
    <t>Tax rate</t>
  </si>
  <si>
    <t>CASHFLOW SUMMARY</t>
  </si>
  <si>
    <t>Depreciation</t>
  </si>
  <si>
    <t>Tax paid</t>
  </si>
  <si>
    <t>(Profit)/loss on asset sales</t>
  </si>
  <si>
    <t>Other/working capital adjustment</t>
  </si>
  <si>
    <t>Net operating cashflow</t>
  </si>
  <si>
    <t>Capital expenditure - maintenance</t>
  </si>
  <si>
    <t>Capital expenditure - expansion</t>
  </si>
  <si>
    <t>Acquisitions</t>
  </si>
  <si>
    <t>Asset sales</t>
  </si>
  <si>
    <t>Net investing cashflow</t>
  </si>
  <si>
    <t>Borrowings incurred/(repaid)</t>
  </si>
  <si>
    <t>Equity raised</t>
  </si>
  <si>
    <t>Net financing cashflow</t>
  </si>
  <si>
    <t>Net cash retained/(Increase in net debt)</t>
  </si>
  <si>
    <t>Net debt/(cash) as at 1 July</t>
  </si>
  <si>
    <t>Net debt/(cash) as at 30 June</t>
  </si>
  <si>
    <t>Average net debt</t>
  </si>
  <si>
    <t>Average interest rate</t>
  </si>
  <si>
    <t>Interest cover</t>
  </si>
  <si>
    <t>BALANCE SHEET SUMMARY</t>
  </si>
  <si>
    <t>Current assets</t>
  </si>
  <si>
    <t>DPS (¢)</t>
  </si>
  <si>
    <t>Franking (%)</t>
  </si>
  <si>
    <t>Depreciation &amp; amortisation</t>
  </si>
  <si>
    <t>Tax expense</t>
  </si>
  <si>
    <t>Net debt at year end</t>
  </si>
  <si>
    <t>Dep'n &amp; Amort'n/Sales</t>
  </si>
  <si>
    <t>SG&amp;A, selling, general and admin. expense</t>
  </si>
  <si>
    <t>AUS</t>
  </si>
  <si>
    <t>Super Retail Group</t>
  </si>
  <si>
    <t>EFPOWA - diluted</t>
  </si>
  <si>
    <t>Total EBITDA</t>
  </si>
  <si>
    <t>Change</t>
  </si>
  <si>
    <t>Year to 30 June</t>
  </si>
  <si>
    <t>H1</t>
  </si>
  <si>
    <t>H2</t>
  </si>
  <si>
    <t>Total sales</t>
  </si>
  <si>
    <t>Total EBIT</t>
  </si>
  <si>
    <t>Net interest expense</t>
  </si>
  <si>
    <t>Average stores</t>
  </si>
  <si>
    <t>Gross operating cashflow</t>
  </si>
  <si>
    <t>ROCE</t>
  </si>
  <si>
    <t>Free cash flow</t>
  </si>
  <si>
    <t>Net cash flow</t>
  </si>
  <si>
    <t>Total</t>
  </si>
  <si>
    <t>Growth in trading area</t>
  </si>
  <si>
    <t>Total sales growth</t>
  </si>
  <si>
    <t>BCF</t>
  </si>
  <si>
    <t>Goldcross Bicycles</t>
  </si>
  <si>
    <t>EBIT Margin</t>
  </si>
  <si>
    <t>LFL Sales Growth</t>
  </si>
  <si>
    <t>ROA</t>
  </si>
  <si>
    <t>Gross Profit</t>
  </si>
  <si>
    <t>Interest</t>
  </si>
  <si>
    <t>Group</t>
  </si>
  <si>
    <t>Gross Margin</t>
  </si>
  <si>
    <t>Interest revenue</t>
  </si>
  <si>
    <t>Interest expense</t>
  </si>
  <si>
    <t>NET PROFIT (pre NRIs)</t>
  </si>
  <si>
    <t>NRIs (after tax)</t>
  </si>
  <si>
    <t>Net profit (after NRIs)</t>
  </si>
  <si>
    <t>NRIs (pre tax)</t>
  </si>
  <si>
    <t>Tax on NRIs</t>
  </si>
  <si>
    <t>Information for GS Q-Sheets</t>
  </si>
  <si>
    <t>Accumulated amortization (other intangibles)</t>
  </si>
  <si>
    <t>Rebel</t>
  </si>
  <si>
    <t>Geographic split (Rev and EBIT)</t>
  </si>
  <si>
    <t>Asset Turnover</t>
  </si>
  <si>
    <t>Auto</t>
  </si>
  <si>
    <t>Effective Foreign Exchange Impact</t>
  </si>
  <si>
    <t>Proforma EBIT</t>
  </si>
  <si>
    <t>SPORTING GOODS</t>
  </si>
  <si>
    <t>Average sales/store ($m)</t>
  </si>
  <si>
    <t>LFL sales growth</t>
  </si>
  <si>
    <t>BCF - Sales &amp; stores</t>
  </si>
  <si>
    <t>FCO - Sales &amp; stores</t>
  </si>
  <si>
    <t>New stores</t>
  </si>
  <si>
    <t>Ending stores</t>
  </si>
  <si>
    <t>Operating lease expense</t>
  </si>
  <si>
    <t>Capitalisaiton rate</t>
  </si>
  <si>
    <t>Capitalised leases</t>
  </si>
  <si>
    <t>Net other intangibles</t>
  </si>
  <si>
    <t>Sports</t>
  </si>
  <si>
    <t>Asset Turnover (Sales/Av Assets)</t>
  </si>
  <si>
    <t>Goldcross Loss</t>
  </si>
  <si>
    <t>Including assumed Goldcross loss</t>
  </si>
  <si>
    <t>FCO loss</t>
  </si>
  <si>
    <t>% of Leisure sales</t>
  </si>
  <si>
    <t>P/E</t>
  </si>
  <si>
    <t>Net Assets/Capital Employed</t>
  </si>
  <si>
    <t>Acq'n of Non Current Assets</t>
  </si>
  <si>
    <t>% Change in Expenses</t>
  </si>
  <si>
    <t>Goldcross Sales</t>
  </si>
  <si>
    <t>Other Capex</t>
  </si>
  <si>
    <t>Workout World</t>
  </si>
  <si>
    <t>D&amp;A/Sales</t>
  </si>
  <si>
    <t>Debt/market cap</t>
  </si>
  <si>
    <t>Workoutworld loss</t>
  </si>
  <si>
    <t>Total Sports Division Sales</t>
  </si>
  <si>
    <t>Amart</t>
  </si>
  <si>
    <t>Sports Store Breakdown</t>
  </si>
  <si>
    <t>Shares</t>
  </si>
  <si>
    <t>Infinite Retail</t>
  </si>
  <si>
    <t>LEISURE DIVISION - Consolidated</t>
  </si>
  <si>
    <t>EBIT loss</t>
  </si>
  <si>
    <t>COGS US (%)</t>
  </si>
  <si>
    <t>COGS ROW (%)</t>
  </si>
  <si>
    <t>SGA US (%)</t>
  </si>
  <si>
    <t>SGA ROW (%)</t>
  </si>
  <si>
    <t>USD Debt (in USD)</t>
  </si>
  <si>
    <t>USD Debt % Hedged</t>
  </si>
  <si>
    <t>% Floating debt</t>
  </si>
  <si>
    <t>% Floating debt hedged</t>
  </si>
  <si>
    <t>Growth in stores</t>
  </si>
  <si>
    <t>Growth in store numbers</t>
  </si>
  <si>
    <t>Average stores open</t>
  </si>
  <si>
    <t>Growth in sales per store</t>
  </si>
  <si>
    <t>Depreciation &amp; Amortisation</t>
  </si>
  <si>
    <t>Growth in D&amp;A</t>
  </si>
  <si>
    <t>Operating costs</t>
  </si>
  <si>
    <t>…as a % of sales</t>
  </si>
  <si>
    <t>AUTO RETAILING (Supercheap Auto)</t>
  </si>
  <si>
    <t>Value per share (A$)</t>
  </si>
  <si>
    <t>Capex as a % of sales</t>
  </si>
  <si>
    <t>FCF yield</t>
  </si>
  <si>
    <t>Potential fully franked dividend payable (A$m)</t>
  </si>
  <si>
    <t>Franking credits balance (A$m)</t>
  </si>
  <si>
    <t>FCF per share (A$)</t>
  </si>
  <si>
    <t>Share price</t>
  </si>
  <si>
    <t>Implied share price</t>
  </si>
  <si>
    <t>NEW STORE ADDITIONS</t>
  </si>
  <si>
    <t>TOTAL STORE NUMBERS</t>
  </si>
  <si>
    <t>GOCF as a % of EBITDA</t>
  </si>
  <si>
    <t>NRIs</t>
  </si>
  <si>
    <t>Total DPS</t>
  </si>
  <si>
    <t>2019E</t>
  </si>
  <si>
    <t>2020E</t>
  </si>
  <si>
    <t>2021E</t>
  </si>
  <si>
    <t>2022E</t>
  </si>
  <si>
    <t>2023E</t>
  </si>
  <si>
    <t>2024E</t>
  </si>
  <si>
    <t>2025E</t>
  </si>
  <si>
    <t>2026E</t>
  </si>
  <si>
    <t>Macpac</t>
  </si>
  <si>
    <t>Auto &amp; Cycle</t>
  </si>
  <si>
    <t>Sporting Goods</t>
  </si>
  <si>
    <t>Summary</t>
  </si>
  <si>
    <t>as a % of sales</t>
  </si>
  <si>
    <t>Growth in sales</t>
  </si>
  <si>
    <t>Beginning stores</t>
  </si>
  <si>
    <t>Change in number of stores</t>
  </si>
  <si>
    <t>STORE CLOSURES</t>
  </si>
  <si>
    <t>SPORTS DIVISION - CONSOLIDATED</t>
  </si>
  <si>
    <t>52 weeks</t>
  </si>
  <si>
    <t>Macpac (previously Rays) - Sales &amp; stores</t>
  </si>
  <si>
    <t>FCF</t>
  </si>
  <si>
    <t>Market cap</t>
  </si>
  <si>
    <t>M&amp;A probability (1 = high, 3 = low)</t>
  </si>
  <si>
    <t>SALES</t>
  </si>
  <si>
    <t>Pre-tax profit</t>
  </si>
  <si>
    <t>Inventory</t>
  </si>
  <si>
    <t>Net debt</t>
  </si>
  <si>
    <t>NET_DEBT</t>
  </si>
  <si>
    <t>Target price</t>
  </si>
  <si>
    <t>Present Value of Cash Flow</t>
  </si>
  <si>
    <t>Equity Value</t>
  </si>
  <si>
    <t>EPS</t>
  </si>
  <si>
    <t>DPS</t>
  </si>
  <si>
    <t>DCF</t>
  </si>
  <si>
    <t>Beta</t>
  </si>
  <si>
    <t>WACC</t>
  </si>
  <si>
    <t>Actual</t>
  </si>
  <si>
    <t>Buy</t>
  </si>
  <si>
    <t>1H19</t>
  </si>
  <si>
    <t>2H19</t>
  </si>
  <si>
    <t>1H20</t>
  </si>
  <si>
    <t>2H20</t>
  </si>
  <si>
    <t>26 weeks</t>
  </si>
  <si>
    <t>1H17</t>
  </si>
  <si>
    <t>2H17</t>
  </si>
  <si>
    <t>1H18</t>
  </si>
  <si>
    <t>2H18</t>
  </si>
  <si>
    <t>EBIT margin (%)</t>
  </si>
  <si>
    <t>EBITDA margin (%)</t>
  </si>
  <si>
    <t xml:space="preserve">   Corporate costs</t>
  </si>
  <si>
    <t xml:space="preserve">   Un-utilised DC costs</t>
  </si>
  <si>
    <t xml:space="preserve">   Digital</t>
  </si>
  <si>
    <t xml:space="preserve">   Omni Retail Development</t>
  </si>
  <si>
    <t>Date of valuation</t>
  </si>
  <si>
    <t>Stock price</t>
  </si>
  <si>
    <t>Number of shares outstanding</t>
  </si>
  <si>
    <t>Long term inflation expected</t>
  </si>
  <si>
    <t>Standard Free Operating cash flow</t>
  </si>
  <si>
    <t>Discount Factor from Mid- Year</t>
  </si>
  <si>
    <t>Cumulative present value of Cash flow</t>
  </si>
  <si>
    <t>Less: Minorities</t>
  </si>
  <si>
    <t>Less: Debt</t>
  </si>
  <si>
    <t>Imputation credit value</t>
  </si>
  <si>
    <t>Intrinsic value per share</t>
  </si>
  <si>
    <t>End of Financial Year</t>
  </si>
  <si>
    <t>Net interest paid</t>
  </si>
  <si>
    <t>(Minority interests after tax)</t>
  </si>
  <si>
    <t>Depreciation and amortisation expense</t>
  </si>
  <si>
    <t>(Increase in working capital)</t>
  </si>
  <si>
    <t>(Maintenance CAPEX : Historic PPE payments)</t>
  </si>
  <si>
    <t>Total (pre acquisitions/disposals)</t>
  </si>
  <si>
    <t>Taxation per earnings statement</t>
  </si>
  <si>
    <t>Tax on net interest paid</t>
  </si>
  <si>
    <t>Increase on pcp</t>
  </si>
  <si>
    <t>Adjustments for Cashflows for Acquisitions / Disposals / Expansionary CAPEX</t>
  </si>
  <si>
    <t>Proceeds from asset sales</t>
  </si>
  <si>
    <t>(Funds paid for acquisitions)</t>
  </si>
  <si>
    <t>Expansionary CAPEX (if included in profit forecasts)</t>
  </si>
  <si>
    <t xml:space="preserve">Other </t>
  </si>
  <si>
    <t>(Dividends on investments)</t>
  </si>
  <si>
    <t>Total adjustments</t>
  </si>
  <si>
    <t>STD FREE OPERATING CASHFLOW</t>
  </si>
  <si>
    <t>Beyond</t>
  </si>
  <si>
    <t>2027E</t>
  </si>
  <si>
    <t>2028E</t>
  </si>
  <si>
    <t>DCF Model, Super Retail</t>
  </si>
  <si>
    <t>Major assumptions for WACC calculations</t>
  </si>
  <si>
    <t>Risk Free Rate</t>
  </si>
  <si>
    <t>Market Risk Premium</t>
  </si>
  <si>
    <t>Cost of Equity</t>
  </si>
  <si>
    <t>Pre-Tax Cost of Debt</t>
  </si>
  <si>
    <t>D/D+E</t>
  </si>
  <si>
    <t>Sum of the Parts Valuation</t>
  </si>
  <si>
    <t>Division</t>
  </si>
  <si>
    <t>Forecast EBIT</t>
  </si>
  <si>
    <t>Less Minorities</t>
  </si>
  <si>
    <t>Implied Value Per Share (A$)</t>
  </si>
  <si>
    <t>Risk Free</t>
  </si>
  <si>
    <t>MRP</t>
  </si>
  <si>
    <t>Ke</t>
  </si>
  <si>
    <t>Kd</t>
  </si>
  <si>
    <t>Key Inputs</t>
  </si>
  <si>
    <t>M&amp;A</t>
  </si>
  <si>
    <t>M&amp;A Score</t>
  </si>
  <si>
    <t>Peak EV/EBIT multiple</t>
  </si>
  <si>
    <t>Implied M&amp;A Value</t>
  </si>
  <si>
    <t>Equity Value Per Share</t>
  </si>
  <si>
    <t>% weighting</t>
  </si>
  <si>
    <t>Target Price | Equally Weighted DCF &amp; EV/EBIT SOTP</t>
  </si>
  <si>
    <t>Super Retail</t>
  </si>
  <si>
    <t>This sheet contains FactSet XML data for use with this workbook's =FDS codes.  Modifying the worksheet's contents may damage the workbook's =FDS functionality.</t>
  </si>
  <si>
    <t>Auto Retailing</t>
  </si>
  <si>
    <t>Operating cashflow</t>
  </si>
  <si>
    <t>Capex</t>
  </si>
  <si>
    <t>FCF post Capex and acq</t>
  </si>
  <si>
    <t>FCF ex Div</t>
  </si>
  <si>
    <t>OCF to Sales</t>
  </si>
  <si>
    <t>FCF to Sales</t>
  </si>
  <si>
    <t>Net debt/EBITDA (RHS)</t>
  </si>
  <si>
    <t>FY14</t>
  </si>
  <si>
    <t>FY15</t>
  </si>
  <si>
    <t>FY16</t>
  </si>
  <si>
    <t>FY17</t>
  </si>
  <si>
    <t>FY18</t>
  </si>
  <si>
    <t>FY21e</t>
  </si>
  <si>
    <t>Taxes on EBIT</t>
  </si>
  <si>
    <t>Recurring taxes</t>
  </si>
  <si>
    <t>Reverse tax on interest</t>
  </si>
  <si>
    <t>NOPLAT</t>
  </si>
  <si>
    <t>Operating lease</t>
  </si>
  <si>
    <t>Operating lease growth rate</t>
  </si>
  <si>
    <t>Lease obligations</t>
  </si>
  <si>
    <t>1st year</t>
  </si>
  <si>
    <t>2nd year</t>
  </si>
  <si>
    <t>3rd year</t>
  </si>
  <si>
    <t>4th year</t>
  </si>
  <si>
    <t>5th year and above</t>
  </si>
  <si>
    <t>Total number of years</t>
  </si>
  <si>
    <t>Discount rate</t>
  </si>
  <si>
    <t>NPV</t>
  </si>
  <si>
    <t>Taxes on adjusted EBIT</t>
  </si>
  <si>
    <t>Adjusted NOPLAT</t>
  </si>
  <si>
    <t>Adjusted EBITDA</t>
  </si>
  <si>
    <t>Adjusted Net debt</t>
  </si>
  <si>
    <t>Adj. Net debt/EBITDAR</t>
  </si>
  <si>
    <t>Net debt/EBITDA</t>
  </si>
  <si>
    <t>FY13</t>
  </si>
  <si>
    <t>FY10</t>
  </si>
  <si>
    <t>FY11</t>
  </si>
  <si>
    <t>FY12</t>
  </si>
  <si>
    <t>Outdoor RETAILING (earlier Leisure)</t>
  </si>
  <si>
    <t>Profit or (loss) from associate</t>
  </si>
  <si>
    <t>Online sales</t>
  </si>
  <si>
    <t>Online sales growth (%)</t>
  </si>
  <si>
    <t>Online penetration (%)</t>
  </si>
  <si>
    <t>NZ$144mn</t>
  </si>
  <si>
    <t>Number of stores</t>
  </si>
  <si>
    <t>mid-single digit EPS accretion in FY19 pre-synergies</t>
  </si>
  <si>
    <t>Purchase consideration - cash</t>
  </si>
  <si>
    <t>Funded by debt</t>
  </si>
  <si>
    <t>Transaction cost</t>
  </si>
  <si>
    <t>9 months to Dec 2017</t>
  </si>
  <si>
    <t>LFL growth</t>
  </si>
  <si>
    <t>Integration costs of Macpac and Rays - over 2 yrs</t>
  </si>
  <si>
    <t xml:space="preserve">   o/w non cash</t>
  </si>
  <si>
    <t>Expected contribution to FY18 EBIT</t>
  </si>
  <si>
    <t>NZ$97.3mn</t>
  </si>
  <si>
    <t>NZ$17.2mn</t>
  </si>
  <si>
    <t>Macpac to 31 March 2018</t>
  </si>
  <si>
    <t>LfL</t>
  </si>
  <si>
    <t>Online sales (BCF only)</t>
  </si>
  <si>
    <t>FY19</t>
  </si>
  <si>
    <t>FY20</t>
  </si>
  <si>
    <t>FY21</t>
  </si>
  <si>
    <t>% change</t>
  </si>
  <si>
    <t>Outdoor Retailing</t>
  </si>
  <si>
    <t>Sports Retailing</t>
  </si>
  <si>
    <t>Total Revenue</t>
  </si>
  <si>
    <t>Net Interest Expense</t>
  </si>
  <si>
    <t>Tax</t>
  </si>
  <si>
    <t>NPAT</t>
  </si>
  <si>
    <t>NRI (after Tax)</t>
  </si>
  <si>
    <t>NPAT reported</t>
  </si>
  <si>
    <t>Underlying EPS (A¢)</t>
  </si>
  <si>
    <t>Operating cash flow</t>
  </si>
  <si>
    <t>Cash conversion</t>
  </si>
  <si>
    <t>Private brand mix</t>
  </si>
  <si>
    <t>Private and exclusive brand mix</t>
  </si>
  <si>
    <t>Market share of online sales</t>
  </si>
  <si>
    <t>1H 17</t>
  </si>
  <si>
    <t>2H 17</t>
  </si>
  <si>
    <t>Genuine parts</t>
  </si>
  <si>
    <t>Dec '05</t>
  </si>
  <si>
    <t>Dec '06</t>
  </si>
  <si>
    <t>Dec '07</t>
  </si>
  <si>
    <t>Dec '08</t>
  </si>
  <si>
    <t>Dec '09</t>
  </si>
  <si>
    <t>Dec '10</t>
  </si>
  <si>
    <t>Dec '11</t>
  </si>
  <si>
    <t>Dec '12</t>
  </si>
  <si>
    <t>Dec '13</t>
  </si>
  <si>
    <t>Dec '14</t>
  </si>
  <si>
    <t>Dec '15</t>
  </si>
  <si>
    <t>Dec '16</t>
  </si>
  <si>
    <t>Dec '17</t>
  </si>
  <si>
    <t>Dec '18</t>
  </si>
  <si>
    <t>Dec '19E</t>
  </si>
  <si>
    <t>Dec '20E</t>
  </si>
  <si>
    <t>Dec '21E</t>
  </si>
  <si>
    <t>Automotive</t>
  </si>
  <si>
    <t>-</t>
  </si>
  <si>
    <t>Industrial</t>
  </si>
  <si>
    <t>Office Products</t>
  </si>
  <si>
    <t>Other (Discounts)</t>
  </si>
  <si>
    <t>Operating Income</t>
  </si>
  <si>
    <t>Operating income</t>
  </si>
  <si>
    <t>Industry Metrics</t>
  </si>
  <si>
    <t>Same Store Sales</t>
  </si>
  <si>
    <t>Guidance (Low)</t>
  </si>
  <si>
    <t>Guidance (High)</t>
  </si>
  <si>
    <t>Net Sales per Retail Sq. Ft.</t>
  </si>
  <si>
    <t>Selling Space Sq. Ft. (Gross)</t>
  </si>
  <si>
    <t># Stores at Period End</t>
  </si>
  <si>
    <t># Stores Closed During Period</t>
  </si>
  <si>
    <t># Stores Opened</t>
  </si>
  <si>
    <t>Advanced Auto Parts</t>
  </si>
  <si>
    <t>Sales change</t>
  </si>
  <si>
    <t>Pretax Income</t>
  </si>
  <si>
    <t>Net Income</t>
  </si>
  <si>
    <t>Aug '05</t>
  </si>
  <si>
    <t>Aug '06</t>
  </si>
  <si>
    <t>Aug '07</t>
  </si>
  <si>
    <t>Aug '08</t>
  </si>
  <si>
    <t>Aug '09</t>
  </si>
  <si>
    <t>Aug '10</t>
  </si>
  <si>
    <t>Aug '11</t>
  </si>
  <si>
    <t>Aug '12</t>
  </si>
  <si>
    <t>Aug '13</t>
  </si>
  <si>
    <t>Aug '14</t>
  </si>
  <si>
    <t>Aug '15</t>
  </si>
  <si>
    <t>Aug '16</t>
  </si>
  <si>
    <t>Aug '17</t>
  </si>
  <si>
    <t>Aug '18</t>
  </si>
  <si>
    <t>Aug '19E</t>
  </si>
  <si>
    <t>Aug '20E</t>
  </si>
  <si>
    <t>Aug '21E</t>
  </si>
  <si>
    <t># Stores Relocated During Period</t>
  </si>
  <si>
    <t>Autozone</t>
  </si>
  <si>
    <t>Guidance</t>
  </si>
  <si>
    <t>O Reily</t>
  </si>
  <si>
    <t>% of growth from online</t>
  </si>
  <si>
    <t>Super Retail Group (SUL.AX)</t>
  </si>
  <si>
    <t>Rating</t>
  </si>
  <si>
    <t xml:space="preserve">Team Contacts: </t>
  </si>
  <si>
    <t>Primary Analyst</t>
  </si>
  <si>
    <t>ANZ Consumer &amp; Retail Team</t>
  </si>
  <si>
    <t>Tot sales ex Macpac</t>
  </si>
  <si>
    <t>Tot EBIT ex Macpac</t>
  </si>
  <si>
    <t>margin</t>
  </si>
  <si>
    <t>Tax Expense</t>
  </si>
  <si>
    <t>Gross Income</t>
  </si>
  <si>
    <t>Jul '21E</t>
  </si>
  <si>
    <t>Jul '20E</t>
  </si>
  <si>
    <t>Jul '19E</t>
  </si>
  <si>
    <t>Jul '18</t>
  </si>
  <si>
    <t>Jul '17</t>
  </si>
  <si>
    <t>Jul '16</t>
  </si>
  <si>
    <t>Jul '15</t>
  </si>
  <si>
    <t>Jul '14</t>
  </si>
  <si>
    <t>Jul '13</t>
  </si>
  <si>
    <t>Jul '12</t>
  </si>
  <si>
    <t>Jul '11</t>
  </si>
  <si>
    <t>Jul '10</t>
  </si>
  <si>
    <t>Jul '09</t>
  </si>
  <si>
    <t>Jul '08</t>
  </si>
  <si>
    <t>Jul '07</t>
  </si>
  <si>
    <t>Jul '06</t>
  </si>
  <si>
    <t>Jul '05</t>
  </si>
  <si>
    <t>Income Statement (M)</t>
  </si>
  <si>
    <t>KMD-NZ</t>
  </si>
  <si>
    <t>Super cheap</t>
  </si>
  <si>
    <t>Stores in NZ</t>
  </si>
  <si>
    <t>Sales from NZ</t>
  </si>
  <si>
    <t>EIBT margin growth (%)</t>
  </si>
  <si>
    <t>Macpac Sales</t>
  </si>
  <si>
    <t>Macpac EBIT</t>
  </si>
  <si>
    <t>Rays Sales</t>
  </si>
  <si>
    <t>Rays EBIT</t>
  </si>
  <si>
    <t>FY22</t>
  </si>
  <si>
    <t>FY23</t>
  </si>
  <si>
    <t>Sales per store</t>
  </si>
  <si>
    <t>Total Number of stores</t>
  </si>
  <si>
    <t>Actual sales</t>
  </si>
  <si>
    <t>Actual EBIT</t>
  </si>
  <si>
    <t>Sales per store growth</t>
  </si>
  <si>
    <t>% sales growth from online</t>
  </si>
  <si>
    <t>Dividend to be paid per share</t>
  </si>
  <si>
    <t>Franking %</t>
  </si>
  <si>
    <t>Imputation credits attached</t>
  </si>
  <si>
    <t>% of imputation credits valued by market</t>
  </si>
  <si>
    <t>Discount factor to mid year</t>
  </si>
  <si>
    <t>Present value of imputation credits</t>
  </si>
  <si>
    <t>Value of Imputation Credits per share</t>
  </si>
  <si>
    <t>6 weeks</t>
  </si>
  <si>
    <t>Supercheap</t>
  </si>
  <si>
    <t>10 weeks</t>
  </si>
  <si>
    <t>17 weeks</t>
  </si>
  <si>
    <t>7 weeks</t>
  </si>
  <si>
    <t>9 weeks</t>
  </si>
  <si>
    <t>17 weeks 2nd half</t>
  </si>
  <si>
    <t>43 weeks</t>
  </si>
  <si>
    <t>11 weeks</t>
  </si>
  <si>
    <t>2 year stack</t>
  </si>
  <si>
    <t>2029E</t>
  </si>
  <si>
    <t>1H21</t>
  </si>
  <si>
    <t>2H21</t>
  </si>
  <si>
    <t>Model</t>
  </si>
  <si>
    <t>Manual</t>
  </si>
  <si>
    <t>Price</t>
  </si>
  <si>
    <t>A$mn</t>
  </si>
  <si>
    <t>Super Retail (SUL.AX)</t>
  </si>
  <si>
    <t>Manual Input</t>
  </si>
  <si>
    <t>Adjustment for AASB16 changes</t>
  </si>
  <si>
    <t>Addition to EBITDA</t>
  </si>
  <si>
    <t>Addition to Depreciation</t>
  </si>
  <si>
    <t>Addition to Interest</t>
  </si>
  <si>
    <t>Lease liability calculated</t>
  </si>
  <si>
    <t>Right of use asset</t>
  </si>
  <si>
    <t>One time adjustment to the Retained Earnings</t>
  </si>
  <si>
    <t>ST Lease Liab</t>
  </si>
  <si>
    <t>Interest split over the segments</t>
  </si>
  <si>
    <t>Increase in number of stores</t>
  </si>
  <si>
    <t>Lease principal payments</t>
  </si>
  <si>
    <t>Right of Use asset (lease)</t>
  </si>
  <si>
    <t>Lease liabilities</t>
  </si>
  <si>
    <t>Outdoor</t>
  </si>
  <si>
    <t>NSW</t>
  </si>
  <si>
    <t>QLD</t>
  </si>
  <si>
    <t>VIC</t>
  </si>
  <si>
    <t>WA</t>
  </si>
  <si>
    <t>NT</t>
  </si>
  <si>
    <t>TAS</t>
  </si>
  <si>
    <t>ACT</t>
  </si>
  <si>
    <t>SA</t>
  </si>
  <si>
    <t>All</t>
  </si>
  <si>
    <t>MacPac</t>
  </si>
  <si>
    <t>Popn</t>
  </si>
  <si>
    <t>Perc</t>
  </si>
  <si>
    <t>Underlying NPAT</t>
  </si>
  <si>
    <t>FY22e</t>
  </si>
  <si>
    <t>LFL growth (%)</t>
  </si>
  <si>
    <t>nm</t>
  </si>
  <si>
    <t>Right of use assets schedule</t>
  </si>
  <si>
    <t>Opening balance</t>
  </si>
  <si>
    <t>Addition</t>
  </si>
  <si>
    <t>Closing balance</t>
  </si>
  <si>
    <t>Lease liabilities schedule</t>
  </si>
  <si>
    <t>Finance payments</t>
  </si>
  <si>
    <t>o/w short term lease liabilities</t>
  </si>
  <si>
    <t>Interest rate</t>
  </si>
  <si>
    <t>Cost of Goods sold</t>
  </si>
  <si>
    <t>GM (%)</t>
  </si>
  <si>
    <t>CODB (ex Dep)</t>
  </si>
  <si>
    <t>CODB margin (%)</t>
  </si>
  <si>
    <t>Depreciation and Amortisation</t>
  </si>
  <si>
    <t>D&amp;A margin (%)</t>
  </si>
  <si>
    <t>Super Cheap Auto</t>
  </si>
  <si>
    <t>Trading area growth</t>
  </si>
  <si>
    <t>Adjustment factor</t>
  </si>
  <si>
    <t>EBITDA margin change</t>
  </si>
  <si>
    <t>CODB growth</t>
  </si>
  <si>
    <t>Trading area impact</t>
  </si>
  <si>
    <t>Implied underlying CODB growth</t>
  </si>
  <si>
    <t>AASSB16 rental margin</t>
  </si>
  <si>
    <t>Supercheap Auto</t>
  </si>
  <si>
    <t>Start</t>
  </si>
  <si>
    <t>End</t>
  </si>
  <si>
    <t>16 weeks</t>
  </si>
  <si>
    <t>33 weeks</t>
  </si>
  <si>
    <t>38 weeks</t>
  </si>
  <si>
    <t>5 weeks</t>
  </si>
  <si>
    <t xml:space="preserve">   Australia</t>
  </si>
  <si>
    <t xml:space="preserve">   NZ</t>
  </si>
  <si>
    <t>8 weeks</t>
  </si>
  <si>
    <t>SCA cost pre shut down</t>
  </si>
  <si>
    <t>Aus</t>
  </si>
  <si>
    <t>Mitigation</t>
  </si>
  <si>
    <t>Mcapc cost</t>
  </si>
  <si>
    <t>Cash burn analysis</t>
  </si>
  <si>
    <t>Existing debt facility</t>
  </si>
  <si>
    <t>Additional credit approval</t>
  </si>
  <si>
    <t>Debt at the end of 1H20</t>
  </si>
  <si>
    <t>Cash reserve</t>
  </si>
  <si>
    <t>Cost per month</t>
  </si>
  <si>
    <t># of months</t>
  </si>
  <si>
    <t xml:space="preserve">   o/w employee cost</t>
  </si>
  <si>
    <t xml:space="preserve">   o/w occupancy cost</t>
  </si>
  <si>
    <t xml:space="preserve">   o/w others</t>
  </si>
  <si>
    <t>Mitigated cost</t>
  </si>
  <si>
    <t>Revised after June trading update</t>
  </si>
  <si>
    <t>April/May</t>
  </si>
  <si>
    <t>Jan-Mar</t>
  </si>
  <si>
    <t>Offline sales</t>
  </si>
  <si>
    <t>FYTD</t>
  </si>
  <si>
    <t>Underlying trends</t>
  </si>
  <si>
    <t>13.8% of SCA closed for 5 of 8 weeks</t>
  </si>
  <si>
    <t>2 weeks</t>
  </si>
  <si>
    <t>1 week</t>
  </si>
  <si>
    <t>Underlying trends SCA</t>
  </si>
  <si>
    <t>7 week closure for NZ</t>
  </si>
  <si>
    <t>June</t>
  </si>
  <si>
    <t>Indicative FY20</t>
  </si>
  <si>
    <t>Lease adjusted Net Debt</t>
  </si>
  <si>
    <t>Net debt/EBITDA (Lease adj.)</t>
  </si>
  <si>
    <t>2030E</t>
  </si>
  <si>
    <t>1H22</t>
  </si>
  <si>
    <t>2H22</t>
  </si>
  <si>
    <t>29 Dec to 15 Feb</t>
  </si>
  <si>
    <t>16 Feb to 21 Mar</t>
  </si>
  <si>
    <t>22 Mar to 23 May</t>
  </si>
  <si>
    <t>24 May to 27 Jun</t>
  </si>
  <si>
    <t>Open</t>
  </si>
  <si>
    <t>Close</t>
  </si>
  <si>
    <t>Macpac online</t>
  </si>
  <si>
    <t>Macpac online penetration</t>
  </si>
  <si>
    <t>Macpaconline growth</t>
  </si>
  <si>
    <t>28 Jun to 15 Aug</t>
  </si>
  <si>
    <t>Online</t>
  </si>
  <si>
    <t>Implied offline</t>
  </si>
  <si>
    <t>Delivery sales</t>
  </si>
  <si>
    <t>Store+cnc growth</t>
  </si>
  <si>
    <t>Stores closed</t>
  </si>
  <si>
    <t>19 weeks</t>
  </si>
  <si>
    <t>pcp 19</t>
  </si>
  <si>
    <t>2 year CAGR</t>
  </si>
  <si>
    <t>FY23e</t>
  </si>
  <si>
    <t>7 wks (15 Aug)</t>
  </si>
  <si>
    <t>17 wks</t>
  </si>
  <si>
    <t>implied 10 wks</t>
  </si>
  <si>
    <t>Gse 1H residual (from 15 August to Dec)</t>
  </si>
  <si>
    <t>YTD 1H21</t>
  </si>
  <si>
    <t>% of growth online YTD 1H21</t>
  </si>
  <si>
    <t>YTD 1H21 online sales growth</t>
  </si>
  <si>
    <t xml:space="preserve">comps </t>
  </si>
  <si>
    <t>new stores</t>
  </si>
  <si>
    <t>total sales growth</t>
  </si>
  <si>
    <t>GP</t>
  </si>
  <si>
    <t>GM</t>
  </si>
  <si>
    <t>comp</t>
  </si>
  <si>
    <t>new store</t>
  </si>
  <si>
    <t>total growth</t>
  </si>
  <si>
    <t>Margin</t>
  </si>
  <si>
    <t>Excess costs</t>
  </si>
  <si>
    <t>Net Profit</t>
  </si>
  <si>
    <t>rebel</t>
  </si>
  <si>
    <t>Unallocated</t>
  </si>
  <si>
    <t>ROU depreciation</t>
  </si>
  <si>
    <t>Pre-AASB16 summary</t>
  </si>
  <si>
    <t>EBT</t>
  </si>
  <si>
    <t>Post AASB interest</t>
  </si>
  <si>
    <t>Pre AASB interest</t>
  </si>
  <si>
    <t>EBITDA (adjusted)</t>
  </si>
  <si>
    <t>Statutory gearing</t>
  </si>
  <si>
    <t>Total debt</t>
  </si>
  <si>
    <t>Lease-adjusted gearing</t>
  </si>
  <si>
    <t>Net debt (adjusted)</t>
  </si>
  <si>
    <t>Total debt (adjusted)</t>
  </si>
  <si>
    <t>Over 5 years</t>
  </si>
  <si>
    <t>n.m.</t>
  </si>
  <si>
    <t>Net debt/EBITDA (x)</t>
  </si>
  <si>
    <t>Fixed charged cover (EBITDAR, x)</t>
  </si>
  <si>
    <t>EBIT interest cover (x)</t>
  </si>
  <si>
    <t>Lease adj. net debt/EBITDA (x)</t>
  </si>
  <si>
    <t>Lease adj. total debt/EBITDA (x)</t>
  </si>
  <si>
    <t>ND/ND+E</t>
  </si>
  <si>
    <t>ND+OL/ND+OL+E</t>
  </si>
  <si>
    <t>Funds from operations/ gross debt</t>
  </si>
  <si>
    <t>20ish</t>
  </si>
  <si>
    <t>40ish</t>
  </si>
  <si>
    <t>20 weeks,e</t>
  </si>
  <si>
    <t>1H22e</t>
  </si>
  <si>
    <t>2H22e</t>
  </si>
  <si>
    <t>44 weeks</t>
  </si>
  <si>
    <t>11 weeks (Feb-May 21)</t>
  </si>
  <si>
    <t>7 weeks (Dec-Feb 21)</t>
  </si>
  <si>
    <t>GSe 20 weeks (Feb-Jul 21)</t>
  </si>
  <si>
    <t>11 week pcp (estimated)</t>
  </si>
  <si>
    <t>20 weeks</t>
  </si>
  <si>
    <t>last 9 weeks</t>
  </si>
  <si>
    <t>current trend</t>
  </si>
  <si>
    <t>forecast</t>
  </si>
  <si>
    <t>2H21e</t>
  </si>
  <si>
    <t>1yr CAGR</t>
  </si>
  <si>
    <t>2yr CAGR</t>
  </si>
  <si>
    <t>3yr CAGR</t>
  </si>
  <si>
    <t>FY24e</t>
  </si>
  <si>
    <t>1H23</t>
  </si>
  <si>
    <t>2H23</t>
  </si>
  <si>
    <t>PRE AASB16</t>
  </si>
  <si>
    <t>POST AASB16</t>
  </si>
  <si>
    <t>Stores</t>
  </si>
  <si>
    <t>12m target price</t>
  </si>
  <si>
    <t>FY24</t>
  </si>
  <si>
    <t>Presso</t>
  </si>
  <si>
    <t>Presso - Supercheap</t>
  </si>
  <si>
    <t>Presso - BCF + macpac</t>
  </si>
  <si>
    <t>Presso - rebel</t>
  </si>
  <si>
    <t>Presso - group results</t>
  </si>
  <si>
    <t>Presso - segment results</t>
  </si>
  <si>
    <t>Results announcement</t>
  </si>
  <si>
    <t>4E - segment summary up front</t>
  </si>
  <si>
    <t>4E - segment summary up front, also in P&amp;L</t>
  </si>
  <si>
    <t>Addition to interest</t>
  </si>
  <si>
    <t>4E - note 17 (EPS) - weighted diluted</t>
  </si>
  <si>
    <t>Cash flow statement - OCF less interest paid</t>
  </si>
  <si>
    <t>Less lease principal (from CF statement)</t>
  </si>
  <si>
    <t>BS - borrow less cash</t>
  </si>
  <si>
    <t>Add lease liabilities</t>
  </si>
  <si>
    <t>Difference between pre/post EBIT</t>
  </si>
  <si>
    <t>Presso summary</t>
  </si>
  <si>
    <t xml:space="preserve">vs. GSe </t>
  </si>
  <si>
    <t>vs. pcp</t>
  </si>
  <si>
    <t>SaaS asset write off</t>
  </si>
  <si>
    <t xml:space="preserve">10 weeks </t>
  </si>
  <si>
    <t>Implied</t>
  </si>
  <si>
    <t>LFL vs. FY20</t>
  </si>
  <si>
    <t>LFL vs. FY19</t>
  </si>
  <si>
    <t>52 Weeks</t>
  </si>
  <si>
    <t>Jun</t>
  </si>
  <si>
    <t>Jul</t>
  </si>
  <si>
    <t>As % of sales</t>
  </si>
  <si>
    <t>Costs</t>
  </si>
  <si>
    <t>Gross profit margin</t>
  </si>
  <si>
    <t>Gross margin</t>
  </si>
  <si>
    <t>1H22a</t>
  </si>
  <si>
    <t>1yr</t>
  </si>
  <si>
    <t>2yr</t>
  </si>
  <si>
    <t>vs. GSe</t>
  </si>
  <si>
    <t>pre AASB16</t>
  </si>
  <si>
    <t>post AASB16</t>
  </si>
  <si>
    <t>12m TP</t>
  </si>
  <si>
    <t>TSR</t>
  </si>
  <si>
    <t>vs. 1H21</t>
  </si>
  <si>
    <t>vs. 1H20</t>
  </si>
  <si>
    <t>EBIT Margin (post AASB 16)</t>
  </si>
  <si>
    <t>Boxing day adjusted</t>
  </si>
  <si>
    <t>27 weeks + boxing day</t>
  </si>
  <si>
    <t>26 weeks, no boxing day</t>
  </si>
  <si>
    <t>First 7 weeks</t>
  </si>
  <si>
    <t>First 17 weeks</t>
  </si>
  <si>
    <t>GSe 2H22</t>
  </si>
  <si>
    <t xml:space="preserve">rebel </t>
  </si>
  <si>
    <t>macpac</t>
  </si>
  <si>
    <t>Club members - Dec-21</t>
  </si>
  <si>
    <t>% of sales from club members</t>
  </si>
  <si>
    <t>Contribution margin per channel (indexed)</t>
  </si>
  <si>
    <t>In-store</t>
  </si>
  <si>
    <t>Click/collect</t>
  </si>
  <si>
    <t>Home delivery</t>
  </si>
  <si>
    <t>Online blended</t>
  </si>
  <si>
    <t>YoY Growth %</t>
  </si>
  <si>
    <t>Trade payables</t>
  </si>
  <si>
    <t>Net inventory investment</t>
  </si>
  <si>
    <t>Capex as % of Sales</t>
  </si>
  <si>
    <t>Inventory Days</t>
  </si>
  <si>
    <t xml:space="preserve">   Transaction Growth</t>
  </si>
  <si>
    <t xml:space="preserve">   Value/Transaction Growth</t>
  </si>
  <si>
    <t>Offline Sales</t>
  </si>
  <si>
    <t>YoY %</t>
  </si>
  <si>
    <t>Non-Comp Growth</t>
  </si>
  <si>
    <t>Trade Area Sales Growth</t>
  </si>
  <si>
    <t>GP Margin %</t>
  </si>
  <si>
    <t>LFL</t>
  </si>
  <si>
    <t>Trade Area</t>
  </si>
  <si>
    <t>Non-Comp</t>
  </si>
  <si>
    <t>Trade Area Growth</t>
  </si>
  <si>
    <t>Non Comp Growth</t>
  </si>
  <si>
    <t xml:space="preserve">Offline Sales </t>
  </si>
  <si>
    <t>Offline Sales Growth %</t>
  </si>
  <si>
    <t xml:space="preserve">EBITDA </t>
  </si>
  <si>
    <t>As % of Sales</t>
  </si>
  <si>
    <t>Growth YoY %</t>
  </si>
  <si>
    <t>COGS</t>
  </si>
  <si>
    <t>Selling &amp; Distribution</t>
  </si>
  <si>
    <t>Admin</t>
  </si>
  <si>
    <t>Intersegment Eliminations/Unallocated</t>
  </si>
  <si>
    <t xml:space="preserve">Dep'n </t>
  </si>
  <si>
    <t>Amort</t>
  </si>
  <si>
    <t>Post AASB16</t>
  </si>
  <si>
    <t>Right of use Assets</t>
  </si>
  <si>
    <t>Total Dep'n</t>
  </si>
  <si>
    <t>PP&amp;E</t>
  </si>
  <si>
    <t>Additions</t>
  </si>
  <si>
    <t>Dep'n</t>
  </si>
  <si>
    <t>Disposals</t>
  </si>
  <si>
    <t>Closing</t>
  </si>
  <si>
    <t>Intangibles</t>
  </si>
  <si>
    <t>Opening</t>
  </si>
  <si>
    <t>Other adjustments</t>
  </si>
  <si>
    <t>Right of Use Assets</t>
  </si>
  <si>
    <t>Lease Liabilities</t>
  </si>
  <si>
    <t>Lease Removals</t>
  </si>
  <si>
    <t>Principal Payment</t>
  </si>
  <si>
    <t>Lease Interest</t>
  </si>
  <si>
    <t>Average Interest Rate</t>
  </si>
  <si>
    <t>Right of use Asset impairment</t>
  </si>
  <si>
    <t>Net Interest</t>
  </si>
  <si>
    <t>Interest on Debt</t>
  </si>
  <si>
    <t>Interest on Lease</t>
  </si>
  <si>
    <t>Net Finance Cost</t>
  </si>
  <si>
    <t>Reported D&amp;A</t>
  </si>
  <si>
    <t>Normalized D&amp;A</t>
  </si>
  <si>
    <t>Diff</t>
  </si>
  <si>
    <t>CODB (incl. D&amp;A)</t>
  </si>
  <si>
    <t>Store Capex</t>
  </si>
  <si>
    <t>Current</t>
  </si>
  <si>
    <t>Non-Current</t>
  </si>
  <si>
    <t>Interest Expense</t>
  </si>
  <si>
    <t>Interest Rate %</t>
  </si>
  <si>
    <t>Net Movement</t>
  </si>
  <si>
    <t>Check</t>
  </si>
  <si>
    <t>AR Days</t>
  </si>
  <si>
    <t>AP Days</t>
  </si>
  <si>
    <t>Net WC Days</t>
  </si>
  <si>
    <t>B/S Ratios</t>
  </si>
  <si>
    <t>S&amp;D/Sales</t>
  </si>
  <si>
    <t>Marketing/Sales</t>
  </si>
  <si>
    <t>Labor/Sales</t>
  </si>
  <si>
    <t>Occupancy/Sales</t>
  </si>
  <si>
    <t>Admin/Sales</t>
  </si>
  <si>
    <t>Other Ex/Sales</t>
  </si>
  <si>
    <t>EFPOWA - basic</t>
  </si>
  <si>
    <t>CODB/Sales</t>
  </si>
  <si>
    <t>Add back: D&amp;A</t>
  </si>
  <si>
    <t>Pre AASB-16 EBIT by division</t>
  </si>
  <si>
    <t>BCF &amp; Macpac</t>
  </si>
  <si>
    <t xml:space="preserve">EBIT </t>
  </si>
  <si>
    <t>X</t>
  </si>
  <si>
    <t>Enterprise Value (A$mn)</t>
  </si>
  <si>
    <t>Equity Value (A$mn)</t>
  </si>
  <si>
    <t>Current Price</t>
  </si>
  <si>
    <t>Implied Upside</t>
  </si>
  <si>
    <t>Dividend Yield</t>
  </si>
  <si>
    <t>TSR %</t>
  </si>
  <si>
    <t>Pre AASB-16 EBIT Margin</t>
  </si>
  <si>
    <t>GSe</t>
  </si>
  <si>
    <t>Cons.</t>
  </si>
  <si>
    <t>GROSS_INC</t>
  </si>
  <si>
    <t>DEP_AMORT_EXP</t>
  </si>
  <si>
    <t>INT_EXP</t>
  </si>
  <si>
    <t>PTX_INC</t>
  </si>
  <si>
    <t>PBT</t>
  </si>
  <si>
    <t>NET_INC_ADJ</t>
  </si>
  <si>
    <t>CF_OP</t>
  </si>
  <si>
    <t>OCF</t>
  </si>
  <si>
    <t>SUL-AU</t>
  </si>
  <si>
    <t>Lease principal payment</t>
  </si>
  <si>
    <t>1H24</t>
  </si>
  <si>
    <t>2H24</t>
  </si>
  <si>
    <t>EPS growth YoY %</t>
  </si>
  <si>
    <t>EPS - Underlying, Basic</t>
  </si>
  <si>
    <t>Seasonality</t>
  </si>
  <si>
    <t>GP Margin</t>
  </si>
  <si>
    <t>Underlying NPAT Margin</t>
  </si>
  <si>
    <t>Capital Expenditure</t>
  </si>
  <si>
    <t>Net Debt (excl. Lease)</t>
  </si>
  <si>
    <t>Net Debt (incl. Lease)</t>
  </si>
  <si>
    <t>FY25e</t>
  </si>
  <si>
    <t>Group &amp; Unallocated</t>
  </si>
  <si>
    <t>Autoguru Write-Off</t>
  </si>
  <si>
    <t>Segment D&amp;A</t>
  </si>
  <si>
    <t>Contribution</t>
  </si>
  <si>
    <t>%</t>
  </si>
  <si>
    <t>EPS - Reported, Diluted</t>
  </si>
  <si>
    <t>1H23e</t>
  </si>
  <si>
    <t>FY25</t>
  </si>
  <si>
    <t>1H23a</t>
  </si>
  <si>
    <t>Consenses</t>
  </si>
  <si>
    <t>vs. Consensus</t>
  </si>
  <si>
    <t>Total PBT</t>
  </si>
  <si>
    <t>1H23 numbers</t>
  </si>
  <si>
    <t>Gse</t>
  </si>
  <si>
    <t>Consensus</t>
  </si>
  <si>
    <t>Segment</t>
  </si>
  <si>
    <t>Total EBIT Margin</t>
  </si>
  <si>
    <t>Revenue</t>
  </si>
  <si>
    <t>ND/EBITDA (excl. Lease)</t>
  </si>
  <si>
    <t>EBIT Margins</t>
  </si>
  <si>
    <t>James Leigh, james.leigh@gs.com, +61 3 9679 1083, Goldman Sachs Australia Pty Ltd</t>
  </si>
  <si>
    <t>Employee Expense</t>
  </si>
  <si>
    <t>% of Sales</t>
  </si>
  <si>
    <t>Pre AASB16 EBIT</t>
  </si>
  <si>
    <t>FY23E</t>
  </si>
  <si>
    <t>FY23 Consensus</t>
  </si>
  <si>
    <t>FY23 vs Gse YoY</t>
  </si>
  <si>
    <t>FY23 vs GSE YoY</t>
  </si>
  <si>
    <t>2H233 vs GSE YoY</t>
  </si>
  <si>
    <t>rCX format stores</t>
  </si>
  <si>
    <t>Average sales per store ($m) - combined</t>
  </si>
  <si>
    <t>Average sales per store ($m) - RCX</t>
  </si>
  <si>
    <t>Average sales per store ($m) - other</t>
  </si>
  <si>
    <t>Sales uplift for RCX to reported sales/store</t>
  </si>
  <si>
    <t>Contribution to Sales - Other</t>
  </si>
  <si>
    <t>Contirubtion to sales - RCX</t>
  </si>
  <si>
    <t>FY26</t>
  </si>
  <si>
    <t>FY26e</t>
  </si>
  <si>
    <t>Sales/Store_BCF</t>
  </si>
  <si>
    <t>Sales/Store_SCA</t>
  </si>
  <si>
    <t>Sales/Store_MAC</t>
  </si>
  <si>
    <t>Sales/Store_REB</t>
  </si>
  <si>
    <t>Store_SCA</t>
  </si>
  <si>
    <t>Store_BCF</t>
  </si>
  <si>
    <t>Store_MAC</t>
  </si>
  <si>
    <t>Store_REB</t>
  </si>
  <si>
    <t>positive growth</t>
  </si>
  <si>
    <t>RCX Format Analysis</t>
  </si>
  <si>
    <t>likely decline</t>
  </si>
  <si>
    <t>1H25</t>
  </si>
  <si>
    <t>2H25</t>
  </si>
  <si>
    <t>Sales Growth</t>
  </si>
  <si>
    <t>YoY change</t>
  </si>
  <si>
    <t>vs Gse</t>
  </si>
  <si>
    <t>1H Cons</t>
  </si>
  <si>
    <t>vs Cons</t>
  </si>
  <si>
    <t/>
  </si>
  <si>
    <t>-59.7 bp</t>
  </si>
  <si>
    <t>-24.1 bp</t>
  </si>
  <si>
    <t>167.6 bp</t>
  </si>
  <si>
    <t>149.6 bp</t>
  </si>
  <si>
    <t>-739.2 bp</t>
  </si>
  <si>
    <t>-112.0 bp</t>
  </si>
  <si>
    <t>-237.7 bp</t>
  </si>
  <si>
    <t>-37.3 bp</t>
  </si>
  <si>
    <t>-76.9 bp</t>
  </si>
  <si>
    <t>48.3 bp</t>
  </si>
  <si>
    <t>Interim DPS (A¢)</t>
  </si>
  <si>
    <t>46.5 bp</t>
  </si>
  <si>
    <t>17.8 bp</t>
  </si>
  <si>
    <t>82.7 bp</t>
  </si>
  <si>
    <t>-66.4 bp</t>
  </si>
  <si>
    <t>17.6 bp</t>
  </si>
  <si>
    <t>51.0 bp</t>
  </si>
  <si>
    <t>1H24 Cons</t>
  </si>
  <si>
    <t>1HFY</t>
  </si>
  <si>
    <t>2HFY</t>
  </si>
  <si>
    <t>FY27e</t>
  </si>
  <si>
    <t>FY28e</t>
  </si>
  <si>
    <t>FY29e</t>
  </si>
  <si>
    <t>FY30e</t>
  </si>
  <si>
    <t>FY31e</t>
  </si>
  <si>
    <t>FY32e</t>
  </si>
  <si>
    <t>FY33e</t>
  </si>
  <si>
    <t>FY34e</t>
  </si>
  <si>
    <t>FY27</t>
  </si>
  <si>
    <t>EBIT_ADJ</t>
  </si>
  <si>
    <t>Interest Income</t>
  </si>
  <si>
    <t>Positive</t>
  </si>
  <si>
    <t>negative</t>
  </si>
  <si>
    <t>Cash rent</t>
  </si>
  <si>
    <t>Principal and Interest (i.e. rent)</t>
  </si>
  <si>
    <t>YoY Growth</t>
  </si>
  <si>
    <t>FY35e</t>
  </si>
  <si>
    <t>1H26</t>
  </si>
  <si>
    <t>2H26</t>
  </si>
  <si>
    <t>Analyst</t>
  </si>
  <si>
    <t>Rayanne Haidar, rayanne.haidar@gs.com +61 2 9321 8739, Goldman Sachs Australia Pty Ltd</t>
  </si>
  <si>
    <t xml:space="preserve">                                                                                                                                                                        </t>
  </si>
  <si>
    <t>FY36e</t>
  </si>
  <si>
    <t>FY27 A$mn</t>
  </si>
  <si>
    <t>P/E Calc</t>
  </si>
  <si>
    <t>Less Net Debt at June 2026 (excl Leases)</t>
  </si>
  <si>
    <t>Shares on issue (m) June 2026:</t>
  </si>
  <si>
    <t>P&amp;L - A$m</t>
  </si>
  <si>
    <t>Share price / Recommendation / Target price</t>
  </si>
  <si>
    <t>Valuation  Methodology</t>
  </si>
  <si>
    <t>Weight</t>
  </si>
  <si>
    <t>A$ps</t>
  </si>
  <si>
    <t>SOTP</t>
  </si>
  <si>
    <t>Avg Valuation &amp; TP</t>
  </si>
  <si>
    <t>Upside/(downside)</t>
  </si>
  <si>
    <t>Underlying EBIT</t>
  </si>
  <si>
    <t>DCF Inputs</t>
  </si>
  <si>
    <t>Terminal growth</t>
  </si>
  <si>
    <t>Misc.</t>
  </si>
  <si>
    <t>Shares on Issue</t>
  </si>
  <si>
    <t>Rf / MRP</t>
  </si>
  <si>
    <t>3.5% / 6.0%</t>
  </si>
  <si>
    <t>Shares on issue (m)</t>
  </si>
  <si>
    <t>Market Cap</t>
  </si>
  <si>
    <t>Underlying PBT</t>
  </si>
  <si>
    <t>Equity Beta</t>
  </si>
  <si>
    <t>Mkt capitalisation (A$m)</t>
  </si>
  <si>
    <t>Enterprise Value (A$m)</t>
  </si>
  <si>
    <t xml:space="preserve">Underlying tax expense </t>
  </si>
  <si>
    <t xml:space="preserve">Underlying NPAT </t>
  </si>
  <si>
    <t>Trading multiples</t>
  </si>
  <si>
    <t>Underlying EPS (Diluted - cps)</t>
  </si>
  <si>
    <t>DPS (cps)</t>
  </si>
  <si>
    <t>PE</t>
  </si>
  <si>
    <t>Cash flow - A$m</t>
  </si>
  <si>
    <t>Net tax paid</t>
  </si>
  <si>
    <t>Other investing cashflows</t>
  </si>
  <si>
    <t>Investing cash flow</t>
  </si>
  <si>
    <t xml:space="preserve">Net borrowings </t>
  </si>
  <si>
    <t>Payments for lease liabilities</t>
  </si>
  <si>
    <t>Other inflows/(outflows)</t>
  </si>
  <si>
    <t>Net financing cash flow</t>
  </si>
  <si>
    <t>Net increase/(decrease)</t>
  </si>
  <si>
    <t xml:space="preserve">Free cash flow </t>
  </si>
  <si>
    <t>Balance sheet - A$m</t>
  </si>
  <si>
    <t>Cash and cash equivalents</t>
  </si>
  <si>
    <t>Trade and other receivables</t>
  </si>
  <si>
    <t xml:space="preserve">Other Intangible assets </t>
  </si>
  <si>
    <t>ROU Assets</t>
  </si>
  <si>
    <t>Goldman Sachs | Super Retail Group | SUL-AU</t>
  </si>
  <si>
    <t>Working capital adj/Other</t>
  </si>
  <si>
    <t>Deferred tax</t>
  </si>
  <si>
    <t>TP Implied</t>
  </si>
  <si>
    <t>Divisional Sales</t>
  </si>
  <si>
    <t>Store Count</t>
  </si>
  <si>
    <t>Group Margins</t>
  </si>
  <si>
    <t>Divisional EBIT Margin</t>
  </si>
  <si>
    <t>Franking Credits</t>
  </si>
  <si>
    <t>Publication Date:</t>
  </si>
  <si>
    <t>Negative</t>
  </si>
  <si>
    <t>Per Share</t>
  </si>
  <si>
    <t>Payout/Tax/Costs</t>
  </si>
  <si>
    <t>% Growth</t>
  </si>
  <si>
    <t>ROIC</t>
  </si>
  <si>
    <t>Net Debt (Cash) - ex lease</t>
  </si>
  <si>
    <t>Funds employed</t>
  </si>
  <si>
    <t>Average funds employed</t>
  </si>
  <si>
    <t>Return (post tax, pre AASB 16 basis)</t>
  </si>
  <si>
    <t>Inventory to Sales</t>
  </si>
  <si>
    <t>POR</t>
  </si>
  <si>
    <t>Super Retail Valuation</t>
  </si>
  <si>
    <t>SOTP (50%)</t>
  </si>
  <si>
    <t>Multiple</t>
  </si>
  <si>
    <t>(x)</t>
  </si>
  <si>
    <t>Value</t>
  </si>
  <si>
    <t>Other/Leases Interest</t>
  </si>
  <si>
    <t>Enterprise Value</t>
  </si>
  <si>
    <t>DCF (50%)</t>
  </si>
  <si>
    <t>12m Fwd TP</t>
  </si>
  <si>
    <t>1H27</t>
  </si>
  <si>
    <t>2H27</t>
  </si>
  <si>
    <r>
      <t xml:space="preserve">Inputs   Rf 3.5% | MRP 6% | B 1.2 |  Ke 10.7% | Kd 4.5% | </t>
    </r>
    <r>
      <rPr>
        <b/>
        <sz val="10"/>
        <rFont val="Arial Narrow"/>
        <family val="2"/>
      </rPr>
      <t>WACC 9.9%</t>
    </r>
  </si>
  <si>
    <t>Lower</t>
  </si>
  <si>
    <t>Positive growth</t>
  </si>
  <si>
    <t>CODB Growth</t>
  </si>
  <si>
    <t>Recommendation</t>
  </si>
  <si>
    <t>Source: Company data, Goldman Sachs Research estimates,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</si>
</sst>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0">
    <numFmt numFmtId="7" formatCode="&quot;$&quot;#,##0.00;\-&quot;$&quot;#,##0.0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_);[Red]\(&quot;$&quot;#,##0\)"/>
    <numFmt numFmtId="165" formatCode="&quot;$&quot;#,##0.00_);\(&quot;$&quot;#,##0.00\)"/>
    <numFmt numFmtId="166" formatCode="&quot;$&quot;#,##0.00_);[Red]\(&quot;$&quot;#,##0.00\)"/>
    <numFmt numFmtId="167" formatCode="_(&quot;$&quot;* #,##0.00_);_(&quot;$&quot;* \(#,##0.00\);_(&quot;$&quot;* &quot;-&quot;??_);_(@_)"/>
    <numFmt numFmtId="168" formatCode="0.000"/>
    <numFmt numFmtId="169" formatCode="0.0"/>
    <numFmt numFmtId="170" formatCode="0.0%"/>
    <numFmt numFmtId="171" formatCode="#,##0.000_);\(#,##0.000\)"/>
    <numFmt numFmtId="172" formatCode="#,##0.0_);\(#,##0.0\)"/>
    <numFmt numFmtId="173" formatCode="0%&quot; &quot;;\(0%\)"/>
    <numFmt numFmtId="174" formatCode="0.0%&quot;  &quot;;\(0.0%\)"/>
    <numFmt numFmtId="175" formatCode="#,##0.0"/>
    <numFmt numFmtId="176" formatCode="&quot;$&quot;#,##0.00"/>
    <numFmt numFmtId="177" formatCode="0%;\(0%\)"/>
    <numFmt numFmtId="178" formatCode="0.0;\(0.0\)"/>
    <numFmt numFmtId="179" formatCode="0.00;\(0.00\)"/>
    <numFmt numFmtId="180" formatCode="0.0_)\%;\(0.0\)\%;0.0_)\%;@_)_%"/>
    <numFmt numFmtId="181" formatCode="#,##0.0_)_%;\(#,##0.0\)_%;0.0_)_%;@_)_%"/>
    <numFmt numFmtId="182" formatCode="#,##0.0_);\(#,##0.0\);#,##0.0_);@_)"/>
    <numFmt numFmtId="183" formatCode="&quot;$&quot;_(#,##0.00_);&quot;$&quot;\(#,##0.00\)"/>
    <numFmt numFmtId="184" formatCode="&quot;$&quot;_(#,##0.00_);&quot;$&quot;\(#,##0.00\);&quot;$&quot;_(0.00_);@_)"/>
    <numFmt numFmtId="185" formatCode="#,##0.00_);\(#,##0.00\);0.00_);@_)"/>
    <numFmt numFmtId="186" formatCode="\€_(#,##0.00_);\€\(#,##0.00\);\€_(0.00_);@_)"/>
    <numFmt numFmtId="187" formatCode="#,##0.0_)\x;\(#,##0.0\)\x"/>
    <numFmt numFmtId="188" formatCode="#,##0_)\x;\(#,##0\)\x;0_)\x;@_)_x"/>
    <numFmt numFmtId="189" formatCode="#,##0.0_)\x;\(#,##0.0\)\x;0.0_)\x;@_)_x"/>
    <numFmt numFmtId="190" formatCode="#,##0.0_)_x;\(#,##0.0\)_x"/>
    <numFmt numFmtId="191" formatCode="#,##0_)_x;\(#,##0\)_x;0_)_x;@_)_x"/>
    <numFmt numFmtId="192" formatCode="#,##0.0_)_x;\(#,##0.0\)_x;0.0_)_x;@_)_x"/>
    <numFmt numFmtId="193" formatCode="0.0_)\%;\(0.0\)\%"/>
    <numFmt numFmtId="194" formatCode="#,##0.0_)_%;\(#,##0.0\)_%"/>
    <numFmt numFmtId="195" formatCode="#,##0;\(#,##0\)"/>
    <numFmt numFmtId="196" formatCode="0\A"/>
    <numFmt numFmtId="197" formatCode="0.00_)"/>
    <numFmt numFmtId="198" formatCode="0\p"/>
    <numFmt numFmtId="199" formatCode="\$0.00;\(\$0.00\)"/>
    <numFmt numFmtId="200" formatCode="0.0&quot;  &quot;"/>
    <numFmt numFmtId="201" formatCode="_-* #,##0_-;\(#,##0\);_-* &quot;–&quot;_-;_-@_-"/>
    <numFmt numFmtId="202" formatCode="#,##0.00;;;[White]General"/>
    <numFmt numFmtId="203" formatCode="_(* #,##0.00000_);_(* \(#,##0.00000\);_(* &quot;-&quot;??_);_(@_)"/>
    <numFmt numFmtId="204" formatCode="#,##0.000_);[Red]\(#,##0.000\)"/>
    <numFmt numFmtId="205" formatCode="&quot;$&quot;0.0"/>
    <numFmt numFmtId="206" formatCode="#,##0;\(#,##0\);\–;@"/>
    <numFmt numFmtId="207" formatCode="_(&quot;CHF&quot;* #,##0.0_);_(&quot;CHF&quot;* \(#,##0.0\);_(&quot;CHF&quot;* &quot;-&quot;??_);_(@_)"/>
    <numFmt numFmtId="208" formatCode="#,##0.0_);[Red]\(#,##0.0\)"/>
    <numFmt numFmtId="209" formatCode="0.0_);\(0.0\)"/>
    <numFmt numFmtId="210" formatCode="0.000%"/>
    <numFmt numFmtId="211" formatCode="#,##0.0%_);[Red]\(#,##0.0%\)"/>
    <numFmt numFmtId="212" formatCode="#,##0.0%;[Red]\(#,##0.0%\)"/>
    <numFmt numFmtId="213" formatCode="0_);\(0\)"/>
    <numFmt numFmtId="214" formatCode="0.0_);[Red]\(0.0\)"/>
    <numFmt numFmtId="216" formatCode="#,##0_ ;[Red]\-#,##0\ "/>
    <numFmt numFmtId="217" formatCode="#,##0.0;[Red]\-#,##0.0"/>
    <numFmt numFmtId="218" formatCode="#,##0.0000000000;[Red]#,##0.0000000000"/>
    <numFmt numFmtId="219" formatCode="&quot;$&quot;#,##0.0_);[Red]\(&quot;$&quot;#,##0.0\)"/>
    <numFmt numFmtId="220" formatCode="mmmm\ dd\.\ yyyy"/>
    <numFmt numFmtId="221" formatCode="0.000000000000000%"/>
    <numFmt numFmtId="222" formatCode="&quot;A$&quot;0.00"/>
    <numFmt numFmtId="223" formatCode="mmm"/>
    <numFmt numFmtId="224" formatCode="0%_);\(0%\);0%_);@_)"/>
    <numFmt numFmtId="225" formatCode="#,##0.00_);\(#,##0.00\);#,##0.00_);@_)"/>
    <numFmt numFmtId="226" formatCode="&quot;$&quot;#,##0.00;[Red]&quot;$&quot;#,##0.00"/>
    <numFmt numFmtId="227" formatCode="0.0000000000"/>
    <numFmt numFmtId="228" formatCode="0.0000"/>
    <numFmt numFmtId="229" formatCode="#,##0%_);[Red]\(#,##0%\)"/>
    <numFmt numFmtId="230" formatCode="&quot;Valuation date: &quot;[$-409]d\-mmm\-yy;@"/>
    <numFmt numFmtId="231" formatCode="\A&quot;$&quot;#,##0.00"/>
    <numFmt numFmtId="232" formatCode="#,##0.0&quot; &quot;;\(#,##0.0\)"/>
    <numFmt numFmtId="233" formatCode="&quot;At current px: &quot;\A&quot;$&quot;#,##0.00"/>
    <numFmt numFmtId="234" formatCode="0.0&quot;x&quot;"/>
    <numFmt numFmtId="235" formatCode="&quot;At target px: &quot;\A&quot;$&quot;#,##0.00"/>
    <numFmt numFmtId="236" formatCode="0&quot; &quot;;\(0.0\)"/>
    <numFmt numFmtId="237" formatCode="\A&quot;$&quot;0.0"/>
    <numFmt numFmtId="238" formatCode="#,##0.00_);\(#,##0.00\)"/>
    <numFmt numFmtId="239" formatCode="\A&quot;$&quot;#,##0.0"/>
  </numFmts>
  <fonts count="195">
    <font>
      <sz val="10"/>
      <name val="MS Sans Serif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8"/>
      <name val="Tahoma"/>
      <family val="2"/>
    </font>
    <font>
      <sz val="12"/>
      <name val="Helvetica"/>
      <family val="2"/>
    </font>
    <font>
      <b/>
      <sz val="14"/>
      <name val="Times New Roman"/>
      <family val="1"/>
    </font>
    <font>
      <b/>
      <sz val="9"/>
      <name val="Arial"/>
      <family val="2"/>
    </font>
    <font>
      <b/>
      <u/>
      <sz val="9"/>
      <name val="Arial"/>
      <family val="2"/>
    </font>
    <font>
      <b/>
      <sz val="10"/>
      <color indexed="9"/>
      <name val="Helvetica"/>
      <family val="2"/>
    </font>
    <font>
      <sz val="10"/>
      <name val="Verdana"/>
      <family val="2"/>
    </font>
    <font>
      <sz val="8"/>
      <name val="MS Sans Serif"/>
      <family val="2"/>
    </font>
    <font>
      <b/>
      <sz val="8"/>
      <name val="Arial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color indexed="9"/>
      <name val="Helvetica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0"/>
      <color indexed="34"/>
      <name val="Arial"/>
      <family val="2"/>
    </font>
    <font>
      <b/>
      <sz val="18"/>
      <color indexed="62"/>
      <name val="Cambria"/>
      <family val="2"/>
    </font>
    <font>
      <b/>
      <sz val="10"/>
      <color indexed="8"/>
      <name val="Arial"/>
      <family val="2"/>
    </font>
    <font>
      <b/>
      <sz val="10"/>
      <name val="MS Sans Serif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name val="GS TheSans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9"/>
      <color indexed="8"/>
      <name val="Times New Roman"/>
      <family val="1"/>
    </font>
    <font>
      <b/>
      <sz val="10"/>
      <color indexed="8"/>
      <name val="Times New Roman"/>
      <family val="1"/>
    </font>
    <font>
      <sz val="8"/>
      <name val="Times"/>
      <family val="1"/>
    </font>
    <font>
      <sz val="8"/>
      <name val="Helvetica"/>
      <family val="2"/>
    </font>
    <font>
      <b/>
      <sz val="12"/>
      <name val="Tms Rmn"/>
    </font>
    <font>
      <sz val="9"/>
      <color indexed="9"/>
      <name val="Times New Roman"/>
      <family val="1"/>
    </font>
    <font>
      <sz val="8"/>
      <color indexed="12"/>
      <name val="Tms Rmn"/>
    </font>
    <font>
      <b/>
      <i/>
      <sz val="8"/>
      <name val="Arial"/>
      <family val="2"/>
    </font>
    <font>
      <b/>
      <sz val="10"/>
      <name val="Bookman"/>
      <family val="1"/>
    </font>
    <font>
      <b/>
      <sz val="24"/>
      <name val="Times New Roman"/>
      <family val="1"/>
    </font>
    <font>
      <b/>
      <sz val="14"/>
      <name val="Book Antiqua"/>
      <family val="1"/>
    </font>
    <font>
      <sz val="11"/>
      <color indexed="12"/>
      <name val="Book Antiqua"/>
      <family val="1"/>
    </font>
    <font>
      <b/>
      <u/>
      <sz val="7"/>
      <name val="Helvetica"/>
      <family val="2"/>
    </font>
    <font>
      <sz val="9"/>
      <name val="Times New Roman"/>
      <family val="1"/>
    </font>
    <font>
      <sz val="10"/>
      <name val="Book Antiqua"/>
      <family val="1"/>
    </font>
    <font>
      <sz val="7"/>
      <name val="Arial"/>
      <family val="2"/>
    </font>
    <font>
      <b/>
      <sz val="8.5"/>
      <color indexed="17"/>
      <name val="Arial"/>
      <family val="2"/>
    </font>
    <font>
      <b/>
      <sz val="7"/>
      <color indexed="17"/>
      <name val="Arial"/>
      <family val="2"/>
    </font>
    <font>
      <sz val="8.5"/>
      <color indexed="8"/>
      <name val="Arial"/>
      <family val="2"/>
    </font>
    <font>
      <b/>
      <sz val="8"/>
      <name val="Book Antiqua"/>
      <family val="1"/>
    </font>
    <font>
      <b/>
      <sz val="10"/>
      <name val="Palatino"/>
      <family val="1"/>
    </font>
    <font>
      <b/>
      <sz val="14"/>
      <name val="Arial"/>
      <family val="2"/>
    </font>
    <font>
      <sz val="8"/>
      <name val="Book Antiqua"/>
      <family val="1"/>
    </font>
    <font>
      <i/>
      <sz val="7"/>
      <name val="Book Antiqua"/>
      <family val="1"/>
    </font>
    <font>
      <sz val="8"/>
      <color indexed="9"/>
      <name val="Arial"/>
      <family val="2"/>
    </font>
    <font>
      <b/>
      <i/>
      <sz val="16"/>
      <name val="Helv"/>
    </font>
    <font>
      <sz val="10"/>
      <color indexed="72"/>
      <name val="System"/>
      <family val="2"/>
    </font>
    <font>
      <sz val="10"/>
      <name val="Palatino"/>
      <family val="1"/>
    </font>
    <font>
      <sz val="8"/>
      <name val="Helv"/>
      <family val="2"/>
    </font>
    <font>
      <sz val="10"/>
      <name val="Times New Roman"/>
      <family val="1"/>
    </font>
    <font>
      <sz val="8"/>
      <name val="Helv"/>
    </font>
    <font>
      <b/>
      <sz val="14"/>
      <name val="Bookman"/>
      <family val="1"/>
    </font>
    <font>
      <b/>
      <sz val="8"/>
      <name val="HelveticaNeue Condensed"/>
    </font>
    <font>
      <sz val="8"/>
      <name val="HelveticaNeue LightCond"/>
      <family val="2"/>
    </font>
    <font>
      <b/>
      <sz val="7"/>
      <name val="HelveticaNeue Condensed"/>
      <family val="2"/>
    </font>
    <font>
      <b/>
      <sz val="9"/>
      <name val="Times New Roman"/>
      <family val="1"/>
    </font>
    <font>
      <b/>
      <sz val="11"/>
      <name val="Times New Roman"/>
      <family val="1"/>
    </font>
    <font>
      <b/>
      <sz val="8.5"/>
      <color indexed="8"/>
      <name val="Arial"/>
      <family val="2"/>
    </font>
    <font>
      <b/>
      <sz val="12"/>
      <color indexed="16"/>
      <name val="Arial"/>
      <family val="2"/>
    </font>
    <font>
      <sz val="7"/>
      <name val="Times New Roman"/>
      <family val="1"/>
    </font>
    <font>
      <b/>
      <u/>
      <sz val="14"/>
      <name val="Book Antiqua"/>
      <family val="1"/>
    </font>
    <font>
      <b/>
      <sz val="10"/>
      <name val="Book Antiqua"/>
      <family val="1"/>
    </font>
    <font>
      <b/>
      <sz val="7"/>
      <name val="Arial"/>
      <family val="2"/>
    </font>
    <font>
      <b/>
      <sz val="1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rgb="FFFF9900"/>
      <name val="Calibri"/>
      <family val="2"/>
      <scheme val="minor"/>
    </font>
    <font>
      <sz val="10"/>
      <color rgb="FFFF9900"/>
      <name val="Calibri"/>
      <family val="2"/>
      <scheme val="minor"/>
    </font>
    <font>
      <b/>
      <i/>
      <sz val="9"/>
      <color indexed="81"/>
      <name val="Tahoma"/>
      <family val="2"/>
    </font>
    <font>
      <sz val="10"/>
      <name val="MS Sans Serif"/>
      <family val="2"/>
    </font>
    <font>
      <sz val="9"/>
      <name val="Verdana"/>
      <family val="2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z val="10.5"/>
      <color theme="1"/>
      <name val="Calibri"/>
      <family val="2"/>
    </font>
    <font>
      <b/>
      <sz val="11"/>
      <color theme="1"/>
      <name val="Calibri"/>
      <family val="2"/>
    </font>
    <font>
      <b/>
      <sz val="11.5"/>
      <color theme="0"/>
      <name val="Calibri"/>
      <family val="2"/>
    </font>
    <font>
      <b/>
      <sz val="10.5"/>
      <color theme="1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0"/>
      <color rgb="FF000000"/>
      <name val="Segoe UI"/>
      <family val="2"/>
    </font>
    <font>
      <b/>
      <sz val="8.5"/>
      <color rgb="FF666666"/>
      <name val="Segoe UI"/>
      <family val="2"/>
    </font>
    <font>
      <b/>
      <sz val="10"/>
      <name val="MS Sans Serif"/>
    </font>
    <font>
      <sz val="11"/>
      <name val="Calibri"/>
      <family val="2"/>
    </font>
    <font>
      <sz val="11"/>
      <color rgb="FF1F497D"/>
      <name val="Calibri"/>
      <family val="2"/>
    </font>
    <font>
      <i/>
      <sz val="11"/>
      <color theme="1"/>
      <name val="Calibri"/>
      <family val="2"/>
      <scheme val="minor"/>
    </font>
    <font>
      <sz val="10"/>
      <color rgb="FFFF0000"/>
      <name val="MS Sans Serif"/>
    </font>
    <font>
      <b/>
      <sz val="10"/>
      <name val="Verdana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name val="Arial"/>
      <family val="2"/>
    </font>
    <font>
      <sz val="10"/>
      <color theme="0"/>
      <name val="MS Sans Serif"/>
    </font>
    <font>
      <b/>
      <sz val="10"/>
      <color theme="0"/>
      <name val="MS Sans Serif"/>
    </font>
    <font>
      <sz val="11"/>
      <color theme="0"/>
      <name val="Calibri"/>
      <family val="2"/>
      <scheme val="minor"/>
    </font>
    <font>
      <b/>
      <sz val="9"/>
      <color theme="0"/>
      <name val="Arial"/>
      <family val="2"/>
    </font>
    <font>
      <b/>
      <u/>
      <sz val="10"/>
      <name val="Arial"/>
      <family val="2"/>
    </font>
    <font>
      <sz val="10"/>
      <color theme="8"/>
      <name val="Arial"/>
      <family val="2"/>
    </font>
    <font>
      <b/>
      <i/>
      <sz val="10"/>
      <name val="Arial"/>
      <family val="2"/>
    </font>
    <font>
      <b/>
      <sz val="10"/>
      <color rgb="FFFF0000"/>
      <name val="Arial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i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u/>
      <sz val="10"/>
      <color rgb="FFFF0000"/>
      <name val="Arial"/>
      <family val="2"/>
    </font>
    <font>
      <sz val="10"/>
      <color indexed="12"/>
      <name val="Arial"/>
      <family val="2"/>
    </font>
    <font>
      <sz val="10"/>
      <color rgb="FF00B050"/>
      <name val="Arial"/>
      <family val="2"/>
    </font>
    <font>
      <b/>
      <sz val="10"/>
      <color indexed="12"/>
      <name val="Arial"/>
      <family val="2"/>
    </font>
    <font>
      <b/>
      <sz val="10"/>
      <color rgb="FF00B050"/>
      <name val="Arial"/>
      <family val="2"/>
    </font>
    <font>
      <sz val="10"/>
      <color theme="0" tint="-0.499984740745262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8"/>
      <color theme="0"/>
      <name val="Arial"/>
      <family val="2"/>
    </font>
    <font>
      <b/>
      <sz val="16"/>
      <color theme="0"/>
      <name val="Arial"/>
      <family val="2"/>
    </font>
    <font>
      <sz val="10"/>
      <name val="Arial Narrow"/>
      <family val="2"/>
    </font>
    <font>
      <b/>
      <sz val="10"/>
      <color theme="0"/>
      <name val="Arial Narrow"/>
      <family val="2"/>
    </font>
    <font>
      <b/>
      <sz val="10"/>
      <color rgb="FFFF0000"/>
      <name val="Arial Narrow"/>
      <family val="2"/>
    </font>
    <font>
      <b/>
      <sz val="10"/>
      <name val="Arial Narrow"/>
      <family val="2"/>
    </font>
    <font>
      <sz val="10"/>
      <color theme="8"/>
      <name val="Arial Narrow"/>
      <family val="2"/>
    </font>
    <font>
      <sz val="10"/>
      <color theme="1"/>
      <name val="Arial Narrow"/>
      <family val="2"/>
    </font>
    <font>
      <sz val="10"/>
      <color rgb="FFFF0000"/>
      <name val="Arial Narrow"/>
      <family val="2"/>
    </font>
    <font>
      <b/>
      <sz val="10"/>
      <color theme="1"/>
      <name val="Arial Narrow"/>
      <family val="2"/>
    </font>
    <font>
      <i/>
      <sz val="10"/>
      <name val="Arial Narrow"/>
      <family val="2"/>
    </font>
    <font>
      <i/>
      <sz val="10"/>
      <color rgb="FFFF0000"/>
      <name val="Arial Narrow"/>
      <family val="2"/>
    </font>
    <font>
      <i/>
      <sz val="10"/>
      <color theme="8"/>
      <name val="Arial Narrow"/>
      <family val="2"/>
    </font>
    <font>
      <b/>
      <i/>
      <sz val="10"/>
      <name val="Arial Narrow"/>
      <family val="2"/>
    </font>
    <font>
      <b/>
      <i/>
      <sz val="10"/>
      <color rgb="FFFF0000"/>
      <name val="Arial Narrow"/>
      <family val="2"/>
    </font>
    <font>
      <b/>
      <i/>
      <sz val="10"/>
      <color theme="8"/>
      <name val="Arial Narrow"/>
      <family val="2"/>
    </font>
    <font>
      <b/>
      <u/>
      <sz val="10"/>
      <name val="Arial Narrow"/>
      <family val="2"/>
    </font>
    <font>
      <sz val="10"/>
      <color theme="0"/>
      <name val="Arial Narrow"/>
      <family val="2"/>
    </font>
    <font>
      <i/>
      <sz val="10"/>
      <color rgb="FF0000FF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0"/>
      <color indexed="9"/>
      <name val="Arial Narrow"/>
      <family val="2"/>
    </font>
    <font>
      <b/>
      <sz val="10"/>
      <color rgb="FF0070C0"/>
      <name val="Arial Narrow"/>
      <family val="2"/>
    </font>
    <font>
      <b/>
      <sz val="10"/>
      <color rgb="FF002060"/>
      <name val="Arial Narrow"/>
      <family val="2"/>
    </font>
    <font>
      <i/>
      <sz val="10"/>
      <color theme="1"/>
      <name val="Arial Narrow"/>
      <family val="2"/>
    </font>
    <font>
      <sz val="10"/>
      <color theme="1"/>
      <name val="Calibri"/>
      <family val="2"/>
    </font>
    <font>
      <sz val="8"/>
      <color theme="0"/>
      <name val="Arial Narrow"/>
      <family val="2"/>
    </font>
    <font>
      <b/>
      <sz val="16"/>
      <color theme="0"/>
      <name val="Arial Narrow"/>
      <family val="2"/>
    </font>
    <font>
      <sz val="10"/>
      <color indexed="12"/>
      <name val="Arial Narrow"/>
      <family val="2"/>
    </font>
    <font>
      <sz val="10"/>
      <color rgb="FF00B050"/>
      <name val="Arial Narrow"/>
      <family val="2"/>
    </font>
    <font>
      <sz val="10"/>
      <color indexed="10"/>
      <name val="Arial Narrow"/>
      <family val="2"/>
    </font>
    <font>
      <b/>
      <sz val="10"/>
      <color indexed="10"/>
      <name val="Arial Narrow"/>
      <family val="2"/>
    </font>
    <font>
      <b/>
      <i/>
      <sz val="10"/>
      <color rgb="FF00B050"/>
      <name val="Arial Narrow"/>
      <family val="2"/>
    </font>
    <font>
      <i/>
      <sz val="10"/>
      <color rgb="FF00B050"/>
      <name val="Arial Narrow"/>
      <family val="2"/>
    </font>
    <font>
      <b/>
      <sz val="10"/>
      <color indexed="12"/>
      <name val="Arial Narrow"/>
      <family val="2"/>
    </font>
    <font>
      <b/>
      <u/>
      <sz val="10"/>
      <color rgb="FF0070C0"/>
      <name val="Arial Narrow"/>
      <family val="2"/>
    </font>
    <font>
      <b/>
      <sz val="11"/>
      <color rgb="FF0000FF"/>
      <name val="Arial Narrow"/>
      <family val="2"/>
    </font>
    <font>
      <b/>
      <sz val="9"/>
      <color indexed="81"/>
      <name val="Tahoma"/>
      <charset val="1"/>
    </font>
  </fonts>
  <fills count="60">
    <fill>
      <patternFill patternType="none"/>
    </fill>
    <fill>
      <patternFill patternType="gray125"/>
    </fill>
    <fill>
      <patternFill patternType="solid">
        <fgColor indexed="30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38"/>
      </patternFill>
    </fill>
    <fill>
      <patternFill patternType="solid">
        <fgColor indexed="28"/>
      </patternFill>
    </fill>
    <fill>
      <patternFill patternType="solid">
        <fgColor indexed="26"/>
      </patternFill>
    </fill>
    <fill>
      <patternFill patternType="solid">
        <fgColor indexed="33"/>
      </patternFill>
    </fill>
    <fill>
      <patternFill patternType="solid">
        <fgColor indexed="24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27"/>
      </patternFill>
    </fill>
    <fill>
      <patternFill patternType="solid">
        <fgColor indexed="42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  <fill>
      <patternFill patternType="gray06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gray0625">
        <fgColor indexed="10"/>
        <bgColor indexed="9"/>
      </patternFill>
    </fill>
    <fill>
      <patternFill patternType="solid">
        <fgColor indexed="18"/>
        <bgColor indexed="64"/>
      </patternFill>
    </fill>
    <fill>
      <patternFill patternType="lightGray">
        <fgColor indexed="14"/>
        <bgColor indexed="9"/>
      </patternFill>
    </fill>
    <fill>
      <patternFill patternType="lightGray">
        <fgColor indexed="15"/>
      </patternFill>
    </fill>
    <fill>
      <patternFill patternType="lightGray">
        <fgColor indexed="12"/>
        <bgColor indexed="9"/>
      </patternFill>
    </fill>
    <fill>
      <patternFill patternType="solid">
        <fgColor indexed="11"/>
        <bgColor indexed="9"/>
      </patternFill>
    </fill>
    <fill>
      <patternFill patternType="lightGray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5" tint="-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355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89999084444715716"/>
        <bgColor indexed="64"/>
      </patternFill>
    </fill>
    <fill>
      <patternFill patternType="solid">
        <fgColor theme="0" tint="-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34"/>
      </left>
      <right style="double">
        <color indexed="34"/>
      </right>
      <top style="double">
        <color indexed="34"/>
      </top>
      <bottom style="double">
        <color indexed="34"/>
      </bottom>
      <diagonal/>
    </border>
    <border>
      <left/>
      <right/>
      <top/>
      <bottom style="thick">
        <color indexed="24"/>
      </bottom>
      <diagonal/>
    </border>
    <border>
      <left/>
      <right/>
      <top/>
      <bottom style="thick">
        <color indexed="31"/>
      </bottom>
      <diagonal/>
    </border>
    <border>
      <left/>
      <right/>
      <top/>
      <bottom style="medium">
        <color indexed="26"/>
      </bottom>
      <diagonal/>
    </border>
    <border>
      <left/>
      <right/>
      <top/>
      <bottom style="double">
        <color indexed="52"/>
      </bottom>
      <diagonal/>
    </border>
    <border>
      <left style="thin">
        <color indexed="33"/>
      </left>
      <right style="thin">
        <color indexed="33"/>
      </right>
      <top style="thin">
        <color indexed="33"/>
      </top>
      <bottom style="thin">
        <color indexed="33"/>
      </bottom>
      <diagonal/>
    </border>
    <border>
      <left style="thin">
        <color indexed="34"/>
      </left>
      <right style="thin">
        <color indexed="34"/>
      </right>
      <top style="thin">
        <color indexed="34"/>
      </top>
      <bottom style="thin">
        <color indexed="34"/>
      </bottom>
      <diagonal/>
    </border>
    <border>
      <left/>
      <right/>
      <top style="thin">
        <color indexed="24"/>
      </top>
      <bottom style="double">
        <color indexed="2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18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ck">
        <color indexed="9"/>
      </left>
      <right style="thick">
        <color indexed="9"/>
      </right>
      <top/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mediumDashed">
        <color auto="1"/>
      </right>
      <top/>
      <bottom/>
      <diagonal/>
    </border>
    <border>
      <left/>
      <right style="mediumDashed">
        <color theme="0" tint="-0.2499465926084170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/>
      <bottom style="medium">
        <color indexed="64"/>
      </bottom>
      <diagonal/>
    </border>
    <border>
      <left/>
      <right style="mediumDashed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-0.499984740745262"/>
      </top>
      <bottom/>
      <diagonal/>
    </border>
    <border>
      <left/>
      <right/>
      <top style="hair">
        <color theme="4" tint="-0.499984740745262"/>
      </top>
      <bottom/>
      <diagonal/>
    </border>
    <border>
      <left/>
      <right/>
      <top style="thin">
        <color indexed="64"/>
      </top>
      <bottom/>
      <diagonal/>
    </border>
  </borders>
  <cellStyleXfs count="445">
    <xf numFmtId="0" fontId="0" fillId="0" borderId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6" borderId="0" applyNumberFormat="0" applyBorder="0" applyAlignment="0" applyProtection="0"/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3" borderId="0" applyNumberFormat="0" applyBorder="0" applyAlignment="0" applyProtection="0"/>
    <xf numFmtId="0" fontId="26" fillId="7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8" borderId="0" applyNumberFormat="0" applyBorder="0" applyAlignment="0" applyProtection="0"/>
    <xf numFmtId="0" fontId="26" fillId="7" borderId="0" applyNumberFormat="0" applyBorder="0" applyAlignment="0" applyProtection="0"/>
    <xf numFmtId="0" fontId="26" fillId="3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7" fillId="15" borderId="0" applyNumberFormat="0" applyBorder="0" applyAlignment="0" applyProtection="0"/>
    <xf numFmtId="0" fontId="28" fillId="16" borderId="1" applyNumberFormat="0" applyAlignment="0" applyProtection="0"/>
    <xf numFmtId="0" fontId="29" fillId="8" borderId="2" applyNumberFormat="0" applyAlignment="0" applyProtection="0"/>
    <xf numFmtId="40" fontId="6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17" borderId="0" applyNumberFormat="0" applyBorder="0" applyAlignment="0" applyProtection="0"/>
    <xf numFmtId="0" fontId="24" fillId="18" borderId="0" applyFont="0" applyAlignment="0"/>
    <xf numFmtId="0" fontId="32" fillId="0" borderId="3" applyNumberFormat="0" applyFill="0" applyAlignment="0" applyProtection="0"/>
    <xf numFmtId="0" fontId="33" fillId="0" borderId="4" applyNumberFormat="0" applyFill="0" applyAlignment="0" applyProtection="0"/>
    <xf numFmtId="0" fontId="34" fillId="0" borderId="5" applyNumberFormat="0" applyFill="0" applyAlignment="0" applyProtection="0"/>
    <xf numFmtId="0" fontId="34" fillId="0" borderId="0" applyNumberFormat="0" applyFill="0" applyBorder="0" applyAlignment="0" applyProtection="0"/>
    <xf numFmtId="0" fontId="35" fillId="3" borderId="1" applyNumberFormat="0" applyAlignment="0" applyProtection="0"/>
    <xf numFmtId="0" fontId="36" fillId="0" borderId="6" applyNumberFormat="0" applyFill="0" applyAlignment="0" applyProtection="0"/>
    <xf numFmtId="0" fontId="37" fillId="4" borderId="0" applyNumberFormat="0" applyBorder="0" applyAlignment="0" applyProtection="0"/>
    <xf numFmtId="0" fontId="22" fillId="0" borderId="0"/>
    <xf numFmtId="0" fontId="10" fillId="4" borderId="7" applyNumberFormat="0" applyFont="0" applyAlignment="0" applyProtection="0"/>
    <xf numFmtId="0" fontId="38" fillId="16" borderId="8" applyNumberFormat="0" applyAlignment="0" applyProtection="0"/>
    <xf numFmtId="9" fontId="6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9" applyNumberFormat="0" applyFill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42" fillId="25" borderId="0" applyNumberFormat="0" applyBorder="0" applyAlignment="0" applyProtection="0"/>
    <xf numFmtId="0" fontId="43" fillId="26" borderId="0" applyNumberFormat="0" applyBorder="0" applyAlignment="0" applyProtection="0"/>
    <xf numFmtId="0" fontId="44" fillId="27" borderId="0" applyNumberFormat="0" applyBorder="0" applyAlignment="0" applyProtection="0"/>
    <xf numFmtId="0" fontId="45" fillId="28" borderId="14" applyNumberFormat="0" applyAlignment="0" applyProtection="0"/>
    <xf numFmtId="180" fontId="46" fillId="0" borderId="0" applyFont="0" applyFill="0" applyBorder="0" applyAlignment="0" applyProtection="0"/>
    <xf numFmtId="181" fontId="46" fillId="0" borderId="0" applyFont="0" applyFill="0" applyBorder="0" applyAlignment="0" applyProtection="0"/>
    <xf numFmtId="182" fontId="46" fillId="0" borderId="0" applyFont="0" applyFill="0" applyBorder="0" applyAlignment="0" applyProtection="0"/>
    <xf numFmtId="182" fontId="4" fillId="0" borderId="0" applyFont="0" applyFill="0" applyBorder="0" applyAlignment="0" applyProtection="0"/>
    <xf numFmtId="182" fontId="4" fillId="0" borderId="0" applyFont="0" applyFill="0" applyBorder="0" applyAlignment="0" applyProtection="0"/>
    <xf numFmtId="182" fontId="46" fillId="0" borderId="0" applyFont="0" applyFill="0" applyBorder="0" applyAlignment="0" applyProtection="0"/>
    <xf numFmtId="182" fontId="46" fillId="0" borderId="0" applyFont="0" applyFill="0" applyBorder="0" applyAlignment="0" applyProtection="0"/>
    <xf numFmtId="182" fontId="46" fillId="0" borderId="0" applyFont="0" applyFill="0" applyBorder="0" applyAlignment="0" applyProtection="0"/>
    <xf numFmtId="182" fontId="13" fillId="0" borderId="0" applyFont="0" applyFill="0" applyBorder="0" applyAlignment="0" applyProtection="0"/>
    <xf numFmtId="182" fontId="4" fillId="0" borderId="0" applyFont="0" applyFill="0" applyBorder="0" applyAlignment="0" applyProtection="0"/>
    <xf numFmtId="18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82" fontId="4" fillId="0" borderId="0" applyFont="0" applyFill="0" applyBorder="0" applyAlignment="0" applyProtection="0"/>
    <xf numFmtId="182" fontId="41" fillId="0" borderId="0" applyFont="0" applyFill="0" applyBorder="0" applyAlignment="0" applyProtection="0"/>
    <xf numFmtId="182" fontId="4" fillId="0" borderId="0" applyFont="0" applyFill="0" applyBorder="0" applyAlignment="0" applyProtection="0"/>
    <xf numFmtId="182" fontId="4" fillId="0" borderId="0" applyFont="0" applyFill="0" applyBorder="0" applyAlignment="0" applyProtection="0"/>
    <xf numFmtId="182" fontId="4" fillId="0" borderId="0" applyFont="0" applyFill="0" applyBorder="0" applyAlignment="0" applyProtection="0"/>
    <xf numFmtId="182" fontId="46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82" fontId="46" fillId="0" borderId="0" applyFont="0" applyFill="0" applyBorder="0" applyAlignment="0" applyProtection="0"/>
    <xf numFmtId="182" fontId="4" fillId="0" borderId="0" applyFont="0" applyFill="0" applyBorder="0" applyAlignment="0" applyProtection="0"/>
    <xf numFmtId="182" fontId="4" fillId="0" borderId="0" applyFont="0" applyFill="0" applyBorder="0" applyAlignment="0" applyProtection="0"/>
    <xf numFmtId="182" fontId="46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82" fontId="46" fillId="0" borderId="0" applyFont="0" applyFill="0" applyBorder="0" applyAlignment="0" applyProtection="0"/>
    <xf numFmtId="182" fontId="4" fillId="0" borderId="0" applyFont="0" applyFill="0" applyBorder="0" applyAlignment="0" applyProtection="0"/>
    <xf numFmtId="182" fontId="4" fillId="0" borderId="0" applyFont="0" applyFill="0" applyBorder="0" applyAlignment="0" applyProtection="0"/>
    <xf numFmtId="182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4" fontId="13" fillId="0" borderId="0" applyFont="0" applyFill="0" applyBorder="0" applyAlignment="0" applyProtection="0"/>
    <xf numFmtId="183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4" fontId="41" fillId="0" borderId="0" applyFont="0" applyFill="0" applyBorder="0" applyAlignment="0" applyProtection="0"/>
    <xf numFmtId="184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4" fontId="46" fillId="0" borderId="0" applyFont="0" applyFill="0" applyBorder="0" applyAlignment="0" applyProtection="0"/>
    <xf numFmtId="183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4" fontId="46" fillId="0" borderId="0" applyFont="0" applyFill="0" applyBorder="0" applyAlignment="0" applyProtection="0"/>
    <xf numFmtId="184" fontId="46" fillId="0" borderId="0" applyFont="0" applyFill="0" applyBorder="0" applyAlignment="0" applyProtection="0"/>
    <xf numFmtId="184" fontId="46" fillId="0" borderId="0" applyFont="0" applyFill="0" applyBorder="0" applyAlignment="0" applyProtection="0"/>
    <xf numFmtId="183" fontId="4" fillId="0" borderId="0" applyFont="0" applyFill="0" applyBorder="0" applyAlignment="0" applyProtection="0"/>
    <xf numFmtId="184" fontId="46" fillId="0" borderId="0" applyFont="0" applyFill="0" applyBorder="0" applyAlignment="0" applyProtection="0"/>
    <xf numFmtId="183" fontId="4" fillId="0" borderId="0" applyFont="0" applyFill="0" applyBorder="0" applyAlignment="0" applyProtection="0"/>
    <xf numFmtId="184" fontId="46" fillId="0" borderId="0" applyFont="0" applyFill="0" applyBorder="0" applyAlignment="0" applyProtection="0"/>
    <xf numFmtId="183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39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39" fontId="4" fillId="0" borderId="0" applyFont="0" applyFill="0" applyBorder="0" applyAlignment="0" applyProtection="0"/>
    <xf numFmtId="39" fontId="4" fillId="0" borderId="0" applyFont="0" applyFill="0" applyBorder="0" applyAlignment="0" applyProtection="0"/>
    <xf numFmtId="185" fontId="13" fillId="0" borderId="0" applyFont="0" applyFill="0" applyBorder="0" applyAlignment="0" applyProtection="0"/>
    <xf numFmtId="39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39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39" fontId="4" fillId="0" borderId="0" applyFont="0" applyFill="0" applyBorder="0" applyAlignment="0" applyProtection="0"/>
    <xf numFmtId="39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1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39" fontId="4" fillId="0" borderId="0" applyFont="0" applyFill="0" applyBorder="0" applyAlignment="0" applyProtection="0"/>
    <xf numFmtId="39" fontId="4" fillId="0" borderId="0" applyFont="0" applyFill="0" applyBorder="0" applyAlignment="0" applyProtection="0"/>
    <xf numFmtId="39" fontId="4" fillId="0" borderId="0" applyFont="0" applyFill="0" applyBorder="0" applyAlignment="0" applyProtection="0"/>
    <xf numFmtId="39" fontId="4" fillId="0" borderId="0" applyFont="0" applyFill="0" applyBorder="0" applyAlignment="0" applyProtection="0"/>
    <xf numFmtId="39" fontId="4" fillId="0" borderId="0" applyFont="0" applyFill="0" applyBorder="0" applyAlignment="0" applyProtection="0"/>
    <xf numFmtId="185" fontId="46" fillId="0" borderId="0" applyFont="0" applyFill="0" applyBorder="0" applyAlignment="0" applyProtection="0"/>
    <xf numFmtId="39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6" fillId="0" borderId="0" applyFont="0" applyFill="0" applyBorder="0" applyAlignment="0" applyProtection="0"/>
    <xf numFmtId="185" fontId="46" fillId="0" borderId="0" applyFont="0" applyFill="0" applyBorder="0" applyAlignment="0" applyProtection="0"/>
    <xf numFmtId="185" fontId="46" fillId="0" borderId="0" applyFont="0" applyFill="0" applyBorder="0" applyAlignment="0" applyProtection="0"/>
    <xf numFmtId="39" fontId="4" fillId="0" borderId="0" applyFont="0" applyFill="0" applyBorder="0" applyAlignment="0" applyProtection="0"/>
    <xf numFmtId="185" fontId="46" fillId="0" borderId="0" applyFont="0" applyFill="0" applyBorder="0" applyAlignment="0" applyProtection="0"/>
    <xf numFmtId="39" fontId="4" fillId="0" borderId="0" applyFont="0" applyFill="0" applyBorder="0" applyAlignment="0" applyProtection="0"/>
    <xf numFmtId="185" fontId="46" fillId="0" borderId="0" applyFont="0" applyFill="0" applyBorder="0" applyAlignment="0" applyProtection="0"/>
    <xf numFmtId="39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83" fontId="4" fillId="0" borderId="0" applyFont="0" applyFill="0" applyBorder="0" applyAlignment="0" applyProtection="0"/>
    <xf numFmtId="186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6" fillId="4" borderId="0" applyNumberFormat="0" applyFont="0" applyAlignment="0" applyProtection="0"/>
    <xf numFmtId="187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188" fontId="13" fillId="0" borderId="0" applyFont="0" applyFill="0" applyBorder="0" applyAlignment="0" applyProtection="0"/>
    <xf numFmtId="187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1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188" fontId="46" fillId="0" borderId="0" applyFont="0" applyFill="0" applyBorder="0" applyAlignment="0" applyProtection="0"/>
    <xf numFmtId="187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6" fillId="0" borderId="0" applyFont="0" applyFill="0" applyBorder="0" applyAlignment="0" applyProtection="0"/>
    <xf numFmtId="188" fontId="46" fillId="0" borderId="0" applyFont="0" applyFill="0" applyBorder="0" applyAlignment="0" applyProtection="0"/>
    <xf numFmtId="188" fontId="46" fillId="0" borderId="0" applyFont="0" applyFill="0" applyBorder="0" applyAlignment="0" applyProtection="0"/>
    <xf numFmtId="187" fontId="4" fillId="0" borderId="0" applyFont="0" applyFill="0" applyBorder="0" applyAlignment="0" applyProtection="0"/>
    <xf numFmtId="188" fontId="46" fillId="0" borderId="0" applyFont="0" applyFill="0" applyBorder="0" applyAlignment="0" applyProtection="0"/>
    <xf numFmtId="187" fontId="4" fillId="0" borderId="0" applyFont="0" applyFill="0" applyBorder="0" applyAlignment="0" applyProtection="0"/>
    <xf numFmtId="188" fontId="46" fillId="0" borderId="0" applyFont="0" applyFill="0" applyBorder="0" applyAlignment="0" applyProtection="0"/>
    <xf numFmtId="187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88" fontId="4" fillId="0" borderId="0" applyFont="0" applyFill="0" applyBorder="0" applyAlignment="0" applyProtection="0"/>
    <xf numFmtId="190" fontId="4" fillId="0" borderId="0" applyFont="0" applyFill="0" applyBorder="0" applyAlignment="0" applyProtection="0"/>
    <xf numFmtId="191" fontId="4" fillId="0" borderId="0" applyFont="0" applyFill="0" applyBorder="0" applyProtection="0">
      <alignment horizontal="right"/>
    </xf>
    <xf numFmtId="191" fontId="4" fillId="0" borderId="0" applyFont="0" applyFill="0" applyBorder="0" applyProtection="0">
      <alignment horizontal="right"/>
    </xf>
    <xf numFmtId="190" fontId="4" fillId="0" borderId="0" applyFont="0" applyFill="0" applyBorder="0" applyAlignment="0" applyProtection="0"/>
    <xf numFmtId="190" fontId="4" fillId="0" borderId="0" applyFont="0" applyFill="0" applyBorder="0" applyAlignment="0" applyProtection="0"/>
    <xf numFmtId="191" fontId="13" fillId="0" borderId="0" applyFont="0" applyFill="0" applyBorder="0" applyProtection="0">
      <alignment horizontal="right"/>
    </xf>
    <xf numFmtId="190" fontId="4" fillId="0" borderId="0" applyFont="0" applyFill="0" applyBorder="0" applyAlignment="0" applyProtection="0"/>
    <xf numFmtId="191" fontId="4" fillId="0" borderId="0" applyFont="0" applyFill="0" applyBorder="0" applyProtection="0">
      <alignment horizontal="right"/>
    </xf>
    <xf numFmtId="190" fontId="4" fillId="0" borderId="0" applyFont="0" applyFill="0" applyBorder="0" applyAlignment="0" applyProtection="0"/>
    <xf numFmtId="191" fontId="4" fillId="0" borderId="0" applyFont="0" applyFill="0" applyBorder="0" applyProtection="0">
      <alignment horizontal="right"/>
    </xf>
    <xf numFmtId="190" fontId="4" fillId="0" borderId="0" applyFont="0" applyFill="0" applyBorder="0" applyAlignment="0" applyProtection="0"/>
    <xf numFmtId="190" fontId="4" fillId="0" borderId="0" applyFont="0" applyFill="0" applyBorder="0" applyAlignment="0" applyProtection="0"/>
    <xf numFmtId="191" fontId="4" fillId="0" borderId="0" applyFont="0" applyFill="0" applyBorder="0" applyProtection="0">
      <alignment horizontal="right"/>
    </xf>
    <xf numFmtId="191" fontId="41" fillId="0" borderId="0" applyFont="0" applyFill="0" applyBorder="0" applyProtection="0">
      <alignment horizontal="right"/>
    </xf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190" fontId="4" fillId="0" borderId="0" applyFont="0" applyFill="0" applyBorder="0" applyAlignment="0" applyProtection="0"/>
    <xf numFmtId="190" fontId="4" fillId="0" borderId="0" applyFont="0" applyFill="0" applyBorder="0" applyAlignment="0" applyProtection="0"/>
    <xf numFmtId="190" fontId="4" fillId="0" borderId="0" applyFont="0" applyFill="0" applyBorder="0" applyAlignment="0" applyProtection="0"/>
    <xf numFmtId="190" fontId="4" fillId="0" borderId="0" applyFont="0" applyFill="0" applyBorder="0" applyAlignment="0" applyProtection="0"/>
    <xf numFmtId="190" fontId="4" fillId="0" borderId="0" applyFont="0" applyFill="0" applyBorder="0" applyAlignment="0" applyProtection="0"/>
    <xf numFmtId="191" fontId="46" fillId="0" borderId="0" applyFont="0" applyFill="0" applyBorder="0" applyProtection="0">
      <alignment horizontal="right"/>
    </xf>
    <xf numFmtId="190" fontId="4" fillId="0" borderId="0" applyFont="0" applyFill="0" applyBorder="0" applyAlignment="0" applyProtection="0"/>
    <xf numFmtId="191" fontId="4" fillId="0" borderId="0" applyFont="0" applyFill="0" applyBorder="0" applyProtection="0">
      <alignment horizontal="right"/>
    </xf>
    <xf numFmtId="191" fontId="4" fillId="0" borderId="0" applyFont="0" applyFill="0" applyBorder="0" applyProtection="0">
      <alignment horizontal="right"/>
    </xf>
    <xf numFmtId="191" fontId="46" fillId="0" borderId="0" applyFont="0" applyFill="0" applyBorder="0" applyProtection="0">
      <alignment horizontal="right"/>
    </xf>
    <xf numFmtId="191" fontId="46" fillId="0" borderId="0" applyFont="0" applyFill="0" applyBorder="0" applyProtection="0">
      <alignment horizontal="right"/>
    </xf>
    <xf numFmtId="191" fontId="46" fillId="0" borderId="0" applyFont="0" applyFill="0" applyBorder="0" applyProtection="0">
      <alignment horizontal="right"/>
    </xf>
    <xf numFmtId="190" fontId="4" fillId="0" borderId="0" applyFont="0" applyFill="0" applyBorder="0" applyAlignment="0" applyProtection="0"/>
    <xf numFmtId="191" fontId="46" fillId="0" borderId="0" applyFont="0" applyFill="0" applyBorder="0" applyProtection="0">
      <alignment horizontal="right"/>
    </xf>
    <xf numFmtId="190" fontId="4" fillId="0" borderId="0" applyFont="0" applyFill="0" applyBorder="0" applyAlignment="0" applyProtection="0"/>
    <xf numFmtId="191" fontId="46" fillId="0" borderId="0" applyFont="0" applyFill="0" applyBorder="0" applyProtection="0">
      <alignment horizontal="right"/>
    </xf>
    <xf numFmtId="190" fontId="4" fillId="0" borderId="0" applyFont="0" applyFill="0" applyBorder="0" applyAlignment="0" applyProtection="0"/>
    <xf numFmtId="191" fontId="4" fillId="0" borderId="0" applyFont="0" applyFill="0" applyBorder="0" applyProtection="0">
      <alignment horizontal="right"/>
    </xf>
    <xf numFmtId="191" fontId="4" fillId="0" borderId="0" applyFont="0" applyFill="0" applyBorder="0" applyProtection="0">
      <alignment horizontal="right"/>
    </xf>
    <xf numFmtId="191" fontId="4" fillId="0" borderId="0" applyFont="0" applyFill="0" applyBorder="0" applyProtection="0">
      <alignment horizontal="right"/>
    </xf>
    <xf numFmtId="193" fontId="4" fillId="0" borderId="0" applyFont="0" applyFill="0" applyBorder="0" applyAlignment="0" applyProtection="0"/>
    <xf numFmtId="180" fontId="4" fillId="0" borderId="0" applyFont="0" applyFill="0" applyBorder="0" applyProtection="0">
      <alignment horizontal="right"/>
    </xf>
    <xf numFmtId="180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194" fontId="4" fillId="0" borderId="0" applyFont="0" applyFill="0" applyBorder="0" applyAlignment="0" applyProtection="0"/>
    <xf numFmtId="181" fontId="4" fillId="0" borderId="0" applyFont="0" applyFill="0" applyBorder="0" applyProtection="0">
      <alignment horizontal="right"/>
    </xf>
    <xf numFmtId="181" fontId="4" fillId="0" borderId="0" applyFont="0" applyFill="0" applyBorder="0" applyProtection="0">
      <alignment horizontal="right"/>
    </xf>
    <xf numFmtId="181" fontId="4" fillId="0" borderId="0" applyFont="0" applyFill="0" applyBorder="0" applyAlignment="0" applyProtection="0"/>
    <xf numFmtId="181" fontId="4" fillId="0" borderId="0" applyFont="0" applyFill="0" applyBorder="0" applyAlignment="0" applyProtection="0"/>
    <xf numFmtId="181" fontId="4" fillId="0" borderId="0" applyFont="0" applyFill="0" applyBorder="0" applyAlignment="0" applyProtection="0"/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Alignment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8" fillId="0" borderId="0" applyNumberFormat="0" applyFill="0" applyBorder="0" applyProtection="0">
      <alignment vertical="top"/>
    </xf>
    <xf numFmtId="0" fontId="49" fillId="0" borderId="15" applyNumberFormat="0" applyFill="0" applyAlignment="0" applyProtection="0"/>
    <xf numFmtId="0" fontId="49" fillId="0" borderId="15" applyNumberFormat="0" applyFill="0" applyAlignment="0" applyProtection="0"/>
    <xf numFmtId="0" fontId="49" fillId="0" borderId="16" applyNumberFormat="0" applyFill="0" applyAlignment="0" applyProtection="0"/>
    <xf numFmtId="0" fontId="49" fillId="0" borderId="15" applyNumberFormat="0" applyFill="0" applyAlignment="0" applyProtection="0"/>
    <xf numFmtId="0" fontId="49" fillId="0" borderId="15" applyNumberFormat="0" applyFill="0" applyAlignment="0" applyProtection="0"/>
    <xf numFmtId="0" fontId="50" fillId="0" borderId="17" applyNumberFormat="0" applyFill="0" applyProtection="0">
      <alignment horizontal="center"/>
    </xf>
    <xf numFmtId="0" fontId="50" fillId="0" borderId="0" applyNumberFormat="0" applyFill="0" applyBorder="0" applyProtection="0">
      <alignment horizontal="left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0" fontId="51" fillId="0" borderId="0" applyNumberFormat="0" applyFill="0" applyBorder="0" applyProtection="0">
      <alignment horizontal="centerContinuous"/>
    </xf>
    <xf numFmtId="195" fontId="52" fillId="29" borderId="0" applyNumberFormat="0" applyFont="0" applyBorder="0" applyAlignment="0">
      <alignment horizontal="right"/>
    </xf>
    <xf numFmtId="196" fontId="53" fillId="29" borderId="12" applyFont="0">
      <alignment horizontal="right"/>
    </xf>
    <xf numFmtId="0" fontId="7" fillId="0" borderId="0" applyNumberFormat="0" applyFill="0" applyBorder="0" applyAlignment="0" applyProtection="0"/>
    <xf numFmtId="0" fontId="54" fillId="0" borderId="0"/>
    <xf numFmtId="2" fontId="55" fillId="0" borderId="0" applyNumberFormat="0" applyBorder="0" applyAlignment="0"/>
    <xf numFmtId="175" fontId="56" fillId="0" borderId="0"/>
    <xf numFmtId="0" fontId="57" fillId="0" borderId="0" applyNumberFormat="0" applyFill="0" applyBorder="0" applyAlignment="0"/>
    <xf numFmtId="0" fontId="58" fillId="0" borderId="0" applyNumberFormat="0" applyFill="0" applyBorder="0" applyAlignment="0" applyProtection="0"/>
    <xf numFmtId="0" fontId="29" fillId="30" borderId="18">
      <alignment horizontal="center"/>
    </xf>
    <xf numFmtId="2" fontId="7" fillId="31" borderId="0" applyNumberFormat="0" applyFont="0" applyBorder="0" applyAlignment="0" applyProtection="0"/>
    <xf numFmtId="197" fontId="7" fillId="32" borderId="0" applyNumberFormat="0" applyFont="0" applyBorder="0" applyAlignment="0">
      <protection locked="0"/>
    </xf>
    <xf numFmtId="0" fontId="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7" fontId="60" fillId="0" borderId="0" applyNumberFormat="0" applyFill="0" applyBorder="0" applyProtection="0">
      <alignment horizontal="right"/>
    </xf>
    <xf numFmtId="198" fontId="4" fillId="0" borderId="0">
      <protection locked="0"/>
    </xf>
    <xf numFmtId="0" fontId="61" fillId="0" borderId="0" applyNumberFormat="0" applyFill="0" applyBorder="0">
      <alignment horizontal="right"/>
    </xf>
    <xf numFmtId="38" fontId="62" fillId="0" borderId="0" applyNumberFormat="0" applyFill="0" applyBorder="0">
      <alignment vertical="center"/>
    </xf>
    <xf numFmtId="166" fontId="63" fillId="0" borderId="19">
      <protection locked="0"/>
    </xf>
    <xf numFmtId="198" fontId="4" fillId="0" borderId="0">
      <protection locked="0"/>
    </xf>
    <xf numFmtId="14" fontId="64" fillId="0" borderId="0">
      <alignment horizontal="right"/>
    </xf>
    <xf numFmtId="0" fontId="8" fillId="0" borderId="0"/>
    <xf numFmtId="199" fontId="65" fillId="0" borderId="0" applyFont="0" applyFill="0" applyBorder="0" applyAlignment="0" applyProtection="0">
      <alignment horizontal="right"/>
    </xf>
    <xf numFmtId="0" fontId="55" fillId="0" borderId="0" applyNumberFormat="0" applyAlignment="0"/>
    <xf numFmtId="200" fontId="7" fillId="33" borderId="10" applyNumberFormat="0" applyFont="0" applyBorder="0" applyAlignment="0" applyProtection="0">
      <alignment horizontal="right"/>
    </xf>
    <xf numFmtId="170" fontId="66" fillId="0" borderId="0" applyNumberFormat="0" applyFont="0" applyAlignment="0">
      <alignment vertical="center"/>
    </xf>
    <xf numFmtId="198" fontId="4" fillId="0" borderId="0">
      <protection locked="0"/>
    </xf>
    <xf numFmtId="0" fontId="67" fillId="0" borderId="0" applyNumberFormat="0" applyFill="0" applyBorder="0" applyAlignment="0" applyProtection="0"/>
    <xf numFmtId="1" fontId="7" fillId="0" borderId="0" applyNumberFormat="0" applyBorder="0" applyAlignment="0" applyProtection="0"/>
    <xf numFmtId="201" fontId="68" fillId="0" borderId="0">
      <alignment vertical="center"/>
    </xf>
    <xf numFmtId="49" fontId="67" fillId="0" borderId="0">
      <alignment horizontal="right"/>
    </xf>
    <xf numFmtId="49" fontId="69" fillId="0" borderId="0">
      <alignment horizontal="right"/>
    </xf>
    <xf numFmtId="201" fontId="70" fillId="0" borderId="0">
      <alignment vertical="center"/>
    </xf>
    <xf numFmtId="170" fontId="71" fillId="0" borderId="0" applyNumberFormat="0" applyFill="0" applyBorder="0">
      <alignment horizontal="left" vertical="center"/>
    </xf>
    <xf numFmtId="0" fontId="25" fillId="0" borderId="0"/>
    <xf numFmtId="0" fontId="6" fillId="34" borderId="0" applyNumberFormat="0" applyFont="0" applyBorder="0" applyAlignment="0" applyProtection="0"/>
    <xf numFmtId="202" fontId="4" fillId="0" borderId="0" applyNumberFormat="0" applyFill="0" applyBorder="0" applyAlignment="0" applyProtection="0"/>
    <xf numFmtId="0" fontId="72" fillId="0" borderId="0"/>
    <xf numFmtId="0" fontId="73" fillId="0" borderId="0"/>
    <xf numFmtId="38" fontId="74" fillId="0" borderId="0" applyNumberFormat="0" applyFill="0" applyBorder="0">
      <alignment horizontal="left" vertical="center"/>
    </xf>
    <xf numFmtId="170" fontId="75" fillId="0" borderId="0" applyFill="0" applyBorder="0">
      <alignment vertical="center"/>
    </xf>
    <xf numFmtId="0" fontId="76" fillId="19" borderId="0"/>
    <xf numFmtId="203" fontId="4" fillId="0" borderId="0" applyFont="0" applyFill="0" applyBorder="0" applyAlignment="0" applyProtection="0"/>
    <xf numFmtId="197" fontId="77" fillId="0" borderId="0"/>
    <xf numFmtId="0" fontId="5" fillId="0" borderId="0"/>
    <xf numFmtId="2" fontId="6" fillId="0" borderId="0" applyBorder="0" applyProtection="0"/>
    <xf numFmtId="0" fontId="4" fillId="0" borderId="0"/>
    <xf numFmtId="0" fontId="7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202" fontId="4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8" fillId="0" borderId="0">
      <alignment horizontal="left" vertical="top"/>
      <protection locked="0"/>
    </xf>
    <xf numFmtId="204" fontId="4" fillId="0" borderId="0" applyFill="0">
      <alignment horizontal="center" vertical="center"/>
    </xf>
    <xf numFmtId="0" fontId="15" fillId="0" borderId="0" applyNumberFormat="0" applyFill="0" applyBorder="0">
      <alignment horizontal="left"/>
    </xf>
    <xf numFmtId="205" fontId="4" fillId="0" borderId="0"/>
    <xf numFmtId="165" fontId="79" fillId="0" borderId="0" applyFont="0" applyFill="0" applyBorder="0" applyAlignment="0" applyProtection="0"/>
    <xf numFmtId="0" fontId="80" fillId="0" borderId="0" applyNumberFormat="0" applyAlignment="0"/>
    <xf numFmtId="175" fontId="4" fillId="0" borderId="0" applyFill="0" applyBorder="0" applyAlignment="0" applyProtection="0"/>
    <xf numFmtId="172" fontId="81" fillId="0" borderId="0">
      <alignment vertical="top"/>
    </xf>
    <xf numFmtId="169" fontId="6" fillId="10" borderId="13" applyNumberFormat="0" applyFont="0" applyBorder="0" applyAlignment="0" applyProtection="0">
      <alignment horizontal="center"/>
    </xf>
    <xf numFmtId="37" fontId="82" fillId="1" borderId="0">
      <alignment horizontal="right"/>
    </xf>
    <xf numFmtId="1" fontId="14" fillId="35" borderId="0" applyNumberFormat="0" applyFont="0" applyBorder="0" applyAlignment="0">
      <alignment horizontal="left"/>
    </xf>
    <xf numFmtId="2" fontId="83" fillId="0" borderId="0"/>
    <xf numFmtId="1" fontId="4" fillId="0" borderId="0"/>
    <xf numFmtId="0" fontId="4" fillId="0" borderId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206" fontId="84" fillId="0" borderId="0" applyNumberFormat="0" applyFill="0" applyBorder="0" applyAlignment="0" applyProtection="0">
      <alignment horizontal="right" vertical="center" wrapText="1"/>
    </xf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>
      <protection locked="0"/>
    </xf>
    <xf numFmtId="0" fontId="87" fillId="0" borderId="10" applyNumberFormat="0" applyFill="0" applyProtection="0">
      <alignment horizontal="right"/>
    </xf>
    <xf numFmtId="164" fontId="74" fillId="0" borderId="20" applyFill="0">
      <alignment vertical="center"/>
    </xf>
    <xf numFmtId="207" fontId="7" fillId="0" borderId="0"/>
    <xf numFmtId="39" fontId="11" fillId="0" borderId="12" applyNumberFormat="0" applyBorder="0">
      <alignment horizontal="right"/>
    </xf>
    <xf numFmtId="0" fontId="87" fillId="0" borderId="21" applyNumberFormat="0" applyProtection="0">
      <alignment horizontal="right"/>
    </xf>
    <xf numFmtId="0" fontId="88" fillId="0" borderId="11" applyNumberFormat="0" applyFill="0" applyProtection="0"/>
    <xf numFmtId="0" fontId="89" fillId="0" borderId="0">
      <alignment vertical="center"/>
    </xf>
    <xf numFmtId="0" fontId="68" fillId="0" borderId="0">
      <alignment vertical="center"/>
    </xf>
    <xf numFmtId="0" fontId="70" fillId="0" borderId="0">
      <alignment vertical="center"/>
    </xf>
    <xf numFmtId="0" fontId="90" fillId="0" borderId="0" applyNumberFormat="0">
      <alignment horizontal="left"/>
    </xf>
    <xf numFmtId="0" fontId="91" fillId="0" borderId="0" applyFill="0" applyBorder="0" applyProtection="0">
      <alignment horizontal="left" vertical="top"/>
    </xf>
    <xf numFmtId="14" fontId="4" fillId="0" borderId="0" applyFill="0" applyBorder="0">
      <alignment vertical="center"/>
    </xf>
    <xf numFmtId="0" fontId="25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38" fontId="92" fillId="0" borderId="0" applyNumberFormat="0" applyFill="0" applyBorder="0">
      <alignment horizontal="left" vertical="center"/>
    </xf>
    <xf numFmtId="38" fontId="93" fillId="0" borderId="0" applyNumberFormat="0" applyFill="0" applyBorder="0">
      <alignment horizontal="centerContinuous" vertical="center"/>
    </xf>
    <xf numFmtId="0" fontId="94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169" fontId="55" fillId="0" borderId="0" applyNumberFormat="0" applyBorder="0" applyAlignment="0"/>
    <xf numFmtId="1" fontId="95" fillId="0" borderId="12" applyFill="0" applyProtection="0">
      <alignment horizontal="right"/>
    </xf>
    <xf numFmtId="176" fontId="4" fillId="0" borderId="0" applyFill="0" applyBorder="0">
      <alignment vertical="center"/>
    </xf>
    <xf numFmtId="0" fontId="3" fillId="0" borderId="0"/>
    <xf numFmtId="9" fontId="3" fillId="0" borderId="0" applyFont="0" applyFill="0" applyBorder="0" applyAlignment="0" applyProtection="0"/>
    <xf numFmtId="0" fontId="6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6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3" borderId="0" applyNumberFormat="0" applyBorder="0" applyAlignment="0" applyProtection="0"/>
    <xf numFmtId="0" fontId="26" fillId="7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8" borderId="0" applyNumberFormat="0" applyBorder="0" applyAlignment="0" applyProtection="0"/>
    <xf numFmtId="0" fontId="26" fillId="7" borderId="0" applyNumberFormat="0" applyBorder="0" applyAlignment="0" applyProtection="0"/>
    <xf numFmtId="0" fontId="26" fillId="3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7" fillId="15" borderId="0" applyNumberFormat="0" applyBorder="0" applyAlignment="0" applyProtection="0"/>
    <xf numFmtId="0" fontId="28" fillId="16" borderId="1" applyNumberFormat="0" applyAlignment="0" applyProtection="0"/>
    <xf numFmtId="0" fontId="29" fillId="8" borderId="2" applyNumberFormat="0" applyAlignment="0" applyProtection="0"/>
    <xf numFmtId="40" fontId="6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17" borderId="0" applyNumberFormat="0" applyBorder="0" applyAlignment="0" applyProtection="0"/>
    <xf numFmtId="0" fontId="18" fillId="18" borderId="0" applyFont="0" applyAlignment="0"/>
    <xf numFmtId="0" fontId="32" fillId="0" borderId="3" applyNumberFormat="0" applyFill="0" applyAlignment="0" applyProtection="0"/>
    <xf numFmtId="0" fontId="33" fillId="0" borderId="4" applyNumberFormat="0" applyFill="0" applyAlignment="0" applyProtection="0"/>
    <xf numFmtId="0" fontId="34" fillId="0" borderId="5" applyNumberFormat="0" applyFill="0" applyAlignment="0" applyProtection="0"/>
    <xf numFmtId="0" fontId="34" fillId="0" borderId="0" applyNumberFormat="0" applyFill="0" applyBorder="0" applyAlignment="0" applyProtection="0"/>
    <xf numFmtId="0" fontId="35" fillId="3" borderId="1" applyNumberFormat="0" applyAlignment="0" applyProtection="0"/>
    <xf numFmtId="0" fontId="36" fillId="0" borderId="6" applyNumberFormat="0" applyFill="0" applyAlignment="0" applyProtection="0"/>
    <xf numFmtId="0" fontId="37" fillId="4" borderId="0" applyNumberFormat="0" applyBorder="0" applyAlignment="0" applyProtection="0"/>
    <xf numFmtId="0" fontId="9" fillId="4" borderId="7" applyNumberFormat="0" applyFont="0" applyAlignment="0" applyProtection="0"/>
    <xf numFmtId="0" fontId="38" fillId="16" borderId="8" applyNumberFormat="0" applyAlignment="0" applyProtection="0"/>
    <xf numFmtId="9" fontId="6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9" applyNumberFormat="0" applyFill="0" applyAlignment="0" applyProtection="0"/>
    <xf numFmtId="0" fontId="12" fillId="0" borderId="0" applyNumberFormat="0" applyFill="0" applyBorder="0" applyAlignment="0" applyProtection="0"/>
    <xf numFmtId="0" fontId="3" fillId="0" borderId="0"/>
    <xf numFmtId="0" fontId="3" fillId="0" borderId="0"/>
    <xf numFmtId="167" fontId="113" fillId="0" borderId="0" applyFont="0" applyFill="0" applyBorder="0" applyAlignment="0" applyProtection="0"/>
    <xf numFmtId="0" fontId="4" fillId="0" borderId="0"/>
    <xf numFmtId="0" fontId="6" fillId="0" borderId="0"/>
    <xf numFmtId="0" fontId="114" fillId="0" borderId="0" applyNumberFormat="0" applyFill="0" applyBorder="0" applyAlignment="0" applyProtection="0"/>
    <xf numFmtId="0" fontId="119" fillId="0" borderId="0"/>
    <xf numFmtId="0" fontId="4" fillId="0" borderId="0"/>
    <xf numFmtId="0" fontId="119" fillId="0" borderId="0"/>
    <xf numFmtId="0" fontId="4" fillId="0" borderId="0"/>
    <xf numFmtId="9" fontId="1" fillId="0" borderId="0" applyFont="0" applyFill="0" applyBorder="0" applyAlignment="0" applyProtection="0"/>
    <xf numFmtId="0" fontId="4" fillId="0" borderId="0"/>
    <xf numFmtId="0" fontId="19" fillId="0" borderId="0"/>
    <xf numFmtId="0" fontId="116" fillId="0" borderId="0"/>
    <xf numFmtId="0" fontId="19" fillId="0" borderId="0"/>
    <xf numFmtId="9" fontId="19" fillId="0" borderId="0" applyFont="0" applyFill="0" applyBorder="0" applyAlignment="0" applyProtection="0"/>
    <xf numFmtId="0" fontId="9" fillId="0" borderId="0">
      <alignment vertical="center"/>
    </xf>
    <xf numFmtId="236" fontId="19" fillId="0" borderId="0"/>
    <xf numFmtId="9" fontId="116" fillId="0" borderId="0" applyFont="0" applyFill="0" applyBorder="0" applyAlignment="0" applyProtection="0"/>
    <xf numFmtId="0" fontId="182" fillId="0" borderId="0"/>
    <xf numFmtId="0" fontId="182" fillId="0" borderId="0"/>
    <xf numFmtId="44" fontId="116" fillId="0" borderId="0" applyFont="0" applyFill="0" applyBorder="0" applyAlignment="0" applyProtection="0"/>
    <xf numFmtId="42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1" fontId="116" fillId="0" borderId="0" applyFont="0" applyFill="0" applyBorder="0" applyAlignment="0" applyProtection="0"/>
    <xf numFmtId="0" fontId="182" fillId="0" borderId="0"/>
    <xf numFmtId="44" fontId="116" fillId="0" borderId="0" applyFont="0" applyFill="0" applyBorder="0" applyAlignment="0" applyProtection="0"/>
    <xf numFmtId="0" fontId="182" fillId="0" borderId="0"/>
    <xf numFmtId="43" fontId="116" fillId="0" borderId="0" applyFont="0" applyFill="0" applyBorder="0" applyAlignment="0" applyProtection="0"/>
    <xf numFmtId="44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4" fontId="116" fillId="0" borderId="0" applyFont="0" applyFill="0" applyBorder="0" applyAlignment="0" applyProtection="0"/>
    <xf numFmtId="43" fontId="116" fillId="0" borderId="0" applyFont="0" applyFill="0" applyBorder="0" applyAlignment="0" applyProtection="0"/>
  </cellStyleXfs>
  <cellXfs count="1421">
    <xf numFmtId="0" fontId="0" fillId="0" borderId="0" xfId="0"/>
    <xf numFmtId="1" fontId="102" fillId="0" borderId="0" xfId="0" applyNumberFormat="1" applyFont="1" applyAlignment="1">
      <alignment vertical="center"/>
    </xf>
    <xf numFmtId="168" fontId="98" fillId="0" borderId="0" xfId="0" applyNumberFormat="1" applyFont="1" applyAlignment="1">
      <alignment horizontal="center"/>
    </xf>
    <xf numFmtId="0" fontId="98" fillId="0" borderId="0" xfId="0" applyFont="1" applyAlignment="1">
      <alignment horizontal="center"/>
    </xf>
    <xf numFmtId="0" fontId="98" fillId="0" borderId="0" xfId="0" applyFont="1"/>
    <xf numFmtId="172" fontId="98" fillId="0" borderId="0" xfId="0" applyNumberFormat="1" applyFont="1" applyAlignment="1">
      <alignment horizontal="center"/>
    </xf>
    <xf numFmtId="169" fontId="98" fillId="0" borderId="0" xfId="0" applyNumberFormat="1" applyFont="1" applyAlignment="1">
      <alignment horizontal="center"/>
    </xf>
    <xf numFmtId="9" fontId="98" fillId="0" borderId="0" xfId="42" applyFont="1" applyFill="1" applyBorder="1" applyAlignment="1">
      <alignment horizontal="center"/>
    </xf>
    <xf numFmtId="0" fontId="98" fillId="0" borderId="0" xfId="0" applyFont="1" applyAlignment="1">
      <alignment vertical="center"/>
    </xf>
    <xf numFmtId="172" fontId="105" fillId="0" borderId="0" xfId="0" applyNumberFormat="1" applyFont="1" applyAlignment="1">
      <alignment horizontal="center"/>
    </xf>
    <xf numFmtId="172" fontId="104" fillId="0" borderId="0" xfId="0" applyNumberFormat="1" applyFont="1" applyAlignment="1">
      <alignment horizontal="center"/>
    </xf>
    <xf numFmtId="172" fontId="98" fillId="20" borderId="0" xfId="0" applyNumberFormat="1" applyFont="1" applyFill="1" applyAlignment="1">
      <alignment horizontal="center"/>
    </xf>
    <xf numFmtId="169" fontId="105" fillId="0" borderId="0" xfId="0" applyNumberFormat="1" applyFont="1" applyAlignment="1">
      <alignment horizontal="center"/>
    </xf>
    <xf numFmtId="0" fontId="99" fillId="0" borderId="0" xfId="0" applyFont="1"/>
    <xf numFmtId="0" fontId="109" fillId="0" borderId="0" xfId="0" applyFont="1"/>
    <xf numFmtId="172" fontId="106" fillId="0" borderId="0" xfId="0" applyNumberFormat="1" applyFont="1" applyAlignment="1">
      <alignment horizontal="center"/>
    </xf>
    <xf numFmtId="169" fontId="98" fillId="0" borderId="0" xfId="0" applyNumberFormat="1" applyFont="1"/>
    <xf numFmtId="0" fontId="105" fillId="0" borderId="0" xfId="0" applyFont="1" applyAlignment="1">
      <alignment horizontal="center"/>
    </xf>
    <xf numFmtId="0" fontId="110" fillId="38" borderId="0" xfId="0" applyFont="1" applyFill="1"/>
    <xf numFmtId="0" fontId="111" fillId="0" borderId="0" xfId="0" applyFont="1" applyAlignment="1">
      <alignment horizontal="center"/>
    </xf>
    <xf numFmtId="172" fontId="111" fillId="0" borderId="0" xfId="0" applyNumberFormat="1" applyFont="1" applyAlignment="1">
      <alignment horizontal="center"/>
    </xf>
    <xf numFmtId="0" fontId="111" fillId="0" borderId="0" xfId="0" applyFont="1"/>
    <xf numFmtId="2" fontId="111" fillId="0" borderId="0" xfId="0" applyNumberFormat="1" applyFont="1" applyAlignment="1">
      <alignment horizontal="center"/>
    </xf>
    <xf numFmtId="39" fontId="111" fillId="24" borderId="0" xfId="0" applyNumberFormat="1" applyFont="1" applyFill="1" applyAlignment="1">
      <alignment horizontal="center"/>
    </xf>
    <xf numFmtId="39" fontId="111" fillId="0" borderId="0" xfId="0" applyNumberFormat="1" applyFont="1" applyAlignment="1">
      <alignment horizontal="center"/>
    </xf>
    <xf numFmtId="172" fontId="110" fillId="0" borderId="0" xfId="0" applyNumberFormat="1" applyFont="1" applyAlignment="1">
      <alignment horizontal="center"/>
    </xf>
    <xf numFmtId="172" fontId="101" fillId="39" borderId="0" xfId="0" applyNumberFormat="1" applyFont="1" applyFill="1" applyAlignment="1">
      <alignment horizontal="center"/>
    </xf>
    <xf numFmtId="170" fontId="111" fillId="0" borderId="0" xfId="0" applyNumberFormat="1" applyFont="1" applyAlignment="1">
      <alignment horizontal="center"/>
    </xf>
    <xf numFmtId="1" fontId="111" fillId="0" borderId="0" xfId="0" applyNumberFormat="1" applyFont="1" applyAlignment="1">
      <alignment horizontal="center"/>
    </xf>
    <xf numFmtId="169" fontId="111" fillId="0" borderId="0" xfId="0" applyNumberFormat="1" applyFont="1" applyAlignment="1">
      <alignment horizontal="center"/>
    </xf>
    <xf numFmtId="40" fontId="111" fillId="0" borderId="0" xfId="28" applyFont="1" applyFill="1" applyBorder="1" applyAlignment="1">
      <alignment horizontal="center"/>
    </xf>
    <xf numFmtId="170" fontId="111" fillId="0" borderId="0" xfId="42" applyNumberFormat="1" applyFont="1" applyFill="1" applyBorder="1" applyAlignment="1">
      <alignment horizontal="center"/>
    </xf>
    <xf numFmtId="208" fontId="111" fillId="0" borderId="0" xfId="28" applyNumberFormat="1" applyFont="1" applyFill="1" applyBorder="1" applyAlignment="1">
      <alignment horizontal="center"/>
    </xf>
    <xf numFmtId="0" fontId="110" fillId="0" borderId="0" xfId="0" applyFont="1" applyAlignment="1">
      <alignment horizontal="center"/>
    </xf>
    <xf numFmtId="0" fontId="107" fillId="23" borderId="0" xfId="0" applyFont="1" applyFill="1"/>
    <xf numFmtId="0" fontId="98" fillId="23" borderId="0" xfId="0" applyFont="1" applyFill="1" applyAlignment="1">
      <alignment horizontal="center"/>
    </xf>
    <xf numFmtId="0" fontId="98" fillId="23" borderId="0" xfId="0" applyFont="1" applyFill="1"/>
    <xf numFmtId="172" fontId="98" fillId="23" borderId="0" xfId="0" applyNumberFormat="1" applyFont="1" applyFill="1" applyAlignment="1">
      <alignment horizontal="center"/>
    </xf>
    <xf numFmtId="175" fontId="105" fillId="23" borderId="0" xfId="0" applyNumberFormat="1" applyFont="1" applyFill="1" applyAlignment="1">
      <alignment horizontal="center"/>
    </xf>
    <xf numFmtId="175" fontId="98" fillId="23" borderId="0" xfId="0" applyNumberFormat="1" applyFont="1" applyFill="1" applyAlignment="1">
      <alignment horizontal="center"/>
    </xf>
    <xf numFmtId="175" fontId="98" fillId="23" borderId="0" xfId="0" applyNumberFormat="1" applyFont="1" applyFill="1"/>
    <xf numFmtId="9" fontId="105" fillId="23" borderId="0" xfId="0" applyNumberFormat="1" applyFont="1" applyFill="1" applyAlignment="1">
      <alignment horizontal="center"/>
    </xf>
    <xf numFmtId="9" fontId="98" fillId="23" borderId="0" xfId="0" applyNumberFormat="1" applyFont="1" applyFill="1" applyAlignment="1">
      <alignment horizontal="center"/>
    </xf>
    <xf numFmtId="9" fontId="103" fillId="23" borderId="0" xfId="0" applyNumberFormat="1" applyFont="1" applyFill="1" applyAlignment="1">
      <alignment horizontal="center"/>
    </xf>
    <xf numFmtId="0" fontId="105" fillId="23" borderId="0" xfId="0" applyFont="1" applyFill="1" applyAlignment="1">
      <alignment horizontal="center"/>
    </xf>
    <xf numFmtId="175" fontId="103" fillId="23" borderId="0" xfId="0" applyNumberFormat="1" applyFont="1" applyFill="1" applyAlignment="1">
      <alignment horizontal="center"/>
    </xf>
    <xf numFmtId="208" fontId="111" fillId="0" borderId="0" xfId="28" applyNumberFormat="1" applyFont="1" applyFill="1" applyBorder="1" applyAlignment="1"/>
    <xf numFmtId="40" fontId="111" fillId="0" borderId="0" xfId="28" applyFont="1" applyFill="1" applyBorder="1" applyAlignment="1"/>
    <xf numFmtId="9" fontId="111" fillId="0" borderId="0" xfId="42" applyFont="1" applyFill="1" applyBorder="1" applyAlignment="1">
      <alignment horizontal="center"/>
    </xf>
    <xf numFmtId="0" fontId="99" fillId="0" borderId="0" xfId="0" applyFont="1" applyAlignment="1">
      <alignment horizontal="center" vertical="center"/>
    </xf>
    <xf numFmtId="0" fontId="109" fillId="40" borderId="0" xfId="31" applyFont="1" applyFill="1" applyAlignment="1">
      <alignment horizontal="center"/>
    </xf>
    <xf numFmtId="0" fontId="99" fillId="0" borderId="0" xfId="0" applyFont="1" applyAlignment="1">
      <alignment vertical="center"/>
    </xf>
    <xf numFmtId="0" fontId="108" fillId="40" borderId="0" xfId="31" applyFont="1" applyFill="1"/>
    <xf numFmtId="0" fontId="108" fillId="40" borderId="0" xfId="31" applyFont="1" applyFill="1" applyAlignment="1">
      <alignment horizontal="center"/>
    </xf>
    <xf numFmtId="0" fontId="103" fillId="0" borderId="0" xfId="0" applyFont="1"/>
    <xf numFmtId="0" fontId="106" fillId="0" borderId="0" xfId="0" applyFont="1"/>
    <xf numFmtId="0" fontId="105" fillId="0" borderId="0" xfId="0" applyFont="1"/>
    <xf numFmtId="9" fontId="105" fillId="0" borderId="0" xfId="0" applyNumberFormat="1" applyFont="1" applyAlignment="1">
      <alignment horizontal="center"/>
    </xf>
    <xf numFmtId="169" fontId="106" fillId="0" borderId="0" xfId="0" applyNumberFormat="1" applyFont="1" applyAlignment="1">
      <alignment horizontal="center"/>
    </xf>
    <xf numFmtId="170" fontId="105" fillId="0" borderId="0" xfId="42" applyNumberFormat="1" applyFont="1" applyFill="1" applyBorder="1" applyAlignment="1">
      <alignment horizontal="center"/>
    </xf>
    <xf numFmtId="170" fontId="106" fillId="0" borderId="0" xfId="42" applyNumberFormat="1" applyFont="1" applyFill="1" applyBorder="1" applyAlignment="1">
      <alignment horizontal="center"/>
    </xf>
    <xf numFmtId="0" fontId="106" fillId="0" borderId="0" xfId="0" applyFont="1" applyAlignment="1">
      <alignment horizontal="center"/>
    </xf>
    <xf numFmtId="170" fontId="105" fillId="0" borderId="0" xfId="0" applyNumberFormat="1" applyFont="1" applyAlignment="1">
      <alignment horizontal="center"/>
    </xf>
    <xf numFmtId="0" fontId="98" fillId="24" borderId="0" xfId="0" applyFont="1" applyFill="1"/>
    <xf numFmtId="0" fontId="6" fillId="0" borderId="0" xfId="0" applyFont="1"/>
    <xf numFmtId="17" fontId="99" fillId="0" borderId="0" xfId="0" applyNumberFormat="1" applyFont="1"/>
    <xf numFmtId="1" fontId="99" fillId="45" borderId="0" xfId="415" applyNumberFormat="1" applyFont="1" applyFill="1"/>
    <xf numFmtId="0" fontId="98" fillId="45" borderId="0" xfId="415" applyFont="1" applyFill="1"/>
    <xf numFmtId="169" fontId="98" fillId="45" borderId="0" xfId="415" applyNumberFormat="1" applyFont="1" applyFill="1"/>
    <xf numFmtId="169" fontId="99" fillId="45" borderId="0" xfId="415" applyNumberFormat="1" applyFont="1" applyFill="1"/>
    <xf numFmtId="10" fontId="99" fillId="45" borderId="0" xfId="42" applyNumberFormat="1" applyFont="1" applyFill="1"/>
    <xf numFmtId="2" fontId="98" fillId="0" borderId="0" xfId="0" applyNumberFormat="1" applyFont="1"/>
    <xf numFmtId="10" fontId="98" fillId="0" borderId="0" xfId="0" applyNumberFormat="1" applyFont="1"/>
    <xf numFmtId="9" fontId="98" fillId="0" borderId="0" xfId="0" applyNumberFormat="1" applyFont="1"/>
    <xf numFmtId="170" fontId="98" fillId="0" borderId="0" xfId="0" applyNumberFormat="1" applyFont="1"/>
    <xf numFmtId="170" fontId="98" fillId="0" borderId="0" xfId="42" applyNumberFormat="1" applyFont="1"/>
    <xf numFmtId="169" fontId="99" fillId="0" borderId="0" xfId="0" applyNumberFormat="1" applyFont="1"/>
    <xf numFmtId="170" fontId="0" fillId="0" borderId="0" xfId="42" applyNumberFormat="1" applyFont="1"/>
    <xf numFmtId="0" fontId="98" fillId="0" borderId="0" xfId="367" applyFont="1"/>
    <xf numFmtId="0" fontId="98" fillId="0" borderId="0" xfId="417" applyFont="1"/>
    <xf numFmtId="0" fontId="99" fillId="0" borderId="0" xfId="417" applyFont="1"/>
    <xf numFmtId="0" fontId="98" fillId="0" borderId="0" xfId="417" applyFont="1" applyFill="1"/>
    <xf numFmtId="0" fontId="115" fillId="0" borderId="0" xfId="0" applyFont="1"/>
    <xf numFmtId="219" fontId="98" fillId="0" borderId="0" xfId="0" applyNumberFormat="1" applyFont="1"/>
    <xf numFmtId="2" fontId="98" fillId="24" borderId="0" xfId="0" applyNumberFormat="1" applyFont="1" applyFill="1"/>
    <xf numFmtId="169" fontId="103" fillId="0" borderId="0" xfId="0" applyNumberFormat="1" applyFont="1"/>
    <xf numFmtId="10" fontId="103" fillId="0" borderId="0" xfId="0" applyNumberFormat="1" applyFont="1"/>
    <xf numFmtId="10" fontId="103" fillId="43" borderId="0" xfId="0" applyNumberFormat="1" applyFont="1" applyFill="1"/>
    <xf numFmtId="0" fontId="41" fillId="0" borderId="0" xfId="0" applyFont="1"/>
    <xf numFmtId="10" fontId="0" fillId="0" borderId="0" xfId="0" applyNumberFormat="1"/>
    <xf numFmtId="1" fontId="0" fillId="0" borderId="0" xfId="0" applyNumberFormat="1"/>
    <xf numFmtId="10" fontId="6" fillId="0" borderId="0" xfId="0" applyNumberFormat="1" applyFont="1"/>
    <xf numFmtId="169" fontId="0" fillId="0" borderId="0" xfId="0" applyNumberFormat="1"/>
    <xf numFmtId="0" fontId="117" fillId="48" borderId="0" xfId="46" applyFont="1" applyFill="1" applyAlignment="1">
      <alignment horizontal="left"/>
    </xf>
    <xf numFmtId="0" fontId="116" fillId="49" borderId="0" xfId="46" applyFont="1" applyFill="1" applyAlignment="1">
      <alignment horizontal="left"/>
    </xf>
    <xf numFmtId="3" fontId="116" fillId="49" borderId="0" xfId="46" applyNumberFormat="1" applyFont="1" applyFill="1" applyAlignment="1">
      <alignment horizontal="right"/>
    </xf>
    <xf numFmtId="0" fontId="116" fillId="0" borderId="0" xfId="46" applyFont="1" applyAlignment="1">
      <alignment horizontal="left"/>
    </xf>
    <xf numFmtId="3" fontId="116" fillId="0" borderId="0" xfId="46" applyNumberFormat="1" applyFont="1" applyAlignment="1">
      <alignment horizontal="right"/>
    </xf>
    <xf numFmtId="3" fontId="118" fillId="49" borderId="0" xfId="46" applyNumberFormat="1" applyFont="1" applyFill="1" applyAlignment="1">
      <alignment horizontal="right"/>
    </xf>
    <xf numFmtId="3" fontId="118" fillId="0" borderId="0" xfId="46" applyNumberFormat="1" applyFont="1" applyAlignment="1">
      <alignment horizontal="right"/>
    </xf>
    <xf numFmtId="0" fontId="117" fillId="0" borderId="0" xfId="46" applyFont="1"/>
    <xf numFmtId="0" fontId="5" fillId="0" borderId="0" xfId="46"/>
    <xf numFmtId="0" fontId="116" fillId="0" borderId="0" xfId="46" applyFont="1"/>
    <xf numFmtId="175" fontId="116" fillId="49" borderId="0" xfId="46" applyNumberFormat="1" applyFont="1" applyFill="1" applyAlignment="1">
      <alignment horizontal="right"/>
    </xf>
    <xf numFmtId="175" fontId="118" fillId="49" borderId="0" xfId="46" applyNumberFormat="1" applyFont="1" applyFill="1" applyAlignment="1">
      <alignment horizontal="right"/>
    </xf>
    <xf numFmtId="175" fontId="116" fillId="0" borderId="0" xfId="46" applyNumberFormat="1" applyFont="1" applyAlignment="1">
      <alignment horizontal="right"/>
    </xf>
    <xf numFmtId="175" fontId="118" fillId="0" borderId="0" xfId="46" applyNumberFormat="1" applyFont="1" applyAlignment="1">
      <alignment horizontal="right"/>
    </xf>
    <xf numFmtId="0" fontId="119" fillId="0" borderId="0" xfId="418" applyAlignment="1">
      <alignment vertical="center"/>
    </xf>
    <xf numFmtId="0" fontId="120" fillId="0" borderId="0" xfId="418" applyFont="1" applyAlignment="1">
      <alignment vertical="center"/>
    </xf>
    <xf numFmtId="0" fontId="122" fillId="0" borderId="0" xfId="418" applyFont="1" applyAlignment="1">
      <alignment horizontal="left" vertical="center" indent="2"/>
    </xf>
    <xf numFmtId="220" fontId="119" fillId="0" borderId="0" xfId="418" applyNumberFormat="1" applyAlignment="1">
      <alignment horizontal="left" vertical="center"/>
    </xf>
    <xf numFmtId="0" fontId="119" fillId="0" borderId="0" xfId="418" applyAlignment="1">
      <alignment horizontal="left" vertical="center"/>
    </xf>
    <xf numFmtId="0" fontId="119" fillId="0" borderId="0" xfId="420" applyAlignment="1">
      <alignment horizontal="left" vertical="center" indent="3"/>
    </xf>
    <xf numFmtId="0" fontId="122" fillId="0" borderId="0" xfId="420" applyFont="1" applyAlignment="1">
      <alignment horizontal="left" vertical="center" indent="1"/>
    </xf>
    <xf numFmtId="170" fontId="116" fillId="0" borderId="0" xfId="42" applyNumberFormat="1" applyFont="1"/>
    <xf numFmtId="2" fontId="0" fillId="0" borderId="0" xfId="0" applyNumberFormat="1"/>
    <xf numFmtId="9" fontId="0" fillId="0" borderId="0" xfId="0" applyNumberFormat="1"/>
    <xf numFmtId="170" fontId="0" fillId="0" borderId="0" xfId="0" applyNumberFormat="1"/>
    <xf numFmtId="170" fontId="6" fillId="0" borderId="0" xfId="42" applyNumberFormat="1" applyFont="1"/>
    <xf numFmtId="0" fontId="0" fillId="24" borderId="0" xfId="0" applyFill="1"/>
    <xf numFmtId="0" fontId="123" fillId="47" borderId="0" xfId="0" applyFont="1" applyFill="1"/>
    <xf numFmtId="0" fontId="124" fillId="47" borderId="0" xfId="0" applyFont="1" applyFill="1"/>
    <xf numFmtId="0" fontId="4" fillId="0" borderId="0" xfId="0" applyFont="1"/>
    <xf numFmtId="169" fontId="4" fillId="0" borderId="0" xfId="0" applyNumberFormat="1" applyFont="1"/>
    <xf numFmtId="170" fontId="4" fillId="0" borderId="0" xfId="42" applyNumberFormat="1" applyFont="1"/>
    <xf numFmtId="0" fontId="11" fillId="0" borderId="0" xfId="0" applyFont="1"/>
    <xf numFmtId="169" fontId="11" fillId="0" borderId="0" xfId="0" applyNumberFormat="1" applyFont="1"/>
    <xf numFmtId="9" fontId="105" fillId="0" borderId="0" xfId="0" applyNumberFormat="1" applyFont="1"/>
    <xf numFmtId="0" fontId="123" fillId="0" borderId="0" xfId="0" applyFont="1"/>
    <xf numFmtId="0" fontId="124" fillId="51" borderId="29" xfId="0" applyFont="1" applyFill="1" applyBorder="1"/>
    <xf numFmtId="0" fontId="124" fillId="51" borderId="0" xfId="0" applyFont="1" applyFill="1"/>
    <xf numFmtId="170" fontId="41" fillId="0" borderId="0" xfId="42" applyNumberFormat="1" applyFont="1"/>
    <xf numFmtId="170" fontId="41" fillId="0" borderId="0" xfId="0" applyNumberFormat="1" applyFont="1"/>
    <xf numFmtId="170" fontId="4" fillId="0" borderId="0" xfId="0" applyNumberFormat="1" applyFont="1"/>
    <xf numFmtId="170" fontId="118" fillId="0" borderId="0" xfId="42" applyNumberFormat="1" applyFont="1"/>
    <xf numFmtId="170" fontId="4" fillId="24" borderId="0" xfId="42" applyNumberFormat="1" applyFont="1" applyFill="1"/>
    <xf numFmtId="170" fontId="118" fillId="0" borderId="0" xfId="0" applyNumberFormat="1" applyFont="1"/>
    <xf numFmtId="9" fontId="4" fillId="0" borderId="0" xfId="42" applyFont="1"/>
    <xf numFmtId="0" fontId="4" fillId="36" borderId="0" xfId="0" applyFont="1" applyFill="1"/>
    <xf numFmtId="169" fontId="4" fillId="36" borderId="0" xfId="0" applyNumberFormat="1" applyFont="1" applyFill="1"/>
    <xf numFmtId="15" fontId="0" fillId="0" borderId="0" xfId="0" applyNumberFormat="1"/>
    <xf numFmtId="175" fontId="0" fillId="0" borderId="0" xfId="0" applyNumberFormat="1"/>
    <xf numFmtId="0" fontId="126" fillId="0" borderId="0" xfId="0" applyFont="1" applyAlignment="1">
      <alignment vertical="center"/>
    </xf>
    <xf numFmtId="0" fontId="127" fillId="0" borderId="0" xfId="0" applyFont="1" applyAlignment="1">
      <alignment vertical="center"/>
    </xf>
    <xf numFmtId="0" fontId="128" fillId="0" borderId="0" xfId="0" applyFont="1"/>
    <xf numFmtId="10" fontId="0" fillId="0" borderId="0" xfId="42" applyNumberFormat="1" applyFont="1"/>
    <xf numFmtId="3" fontId="0" fillId="0" borderId="0" xfId="0" applyNumberFormat="1"/>
    <xf numFmtId="0" fontId="0" fillId="0" borderId="0" xfId="0" applyAlignment="1">
      <alignment horizontal="center"/>
    </xf>
    <xf numFmtId="10" fontId="0" fillId="24" borderId="0" xfId="0" applyNumberFormat="1" applyFill="1"/>
    <xf numFmtId="170" fontId="0" fillId="24" borderId="0" xfId="0" applyNumberFormat="1" applyFill="1"/>
    <xf numFmtId="16" fontId="0" fillId="0" borderId="0" xfId="0" applyNumberFormat="1"/>
    <xf numFmtId="170" fontId="0" fillId="44" borderId="0" xfId="42" applyNumberFormat="1" applyFont="1" applyFill="1"/>
    <xf numFmtId="0" fontId="123" fillId="54" borderId="0" xfId="0" applyFont="1" applyFill="1"/>
    <xf numFmtId="0" fontId="123" fillId="54" borderId="0" xfId="0" applyFont="1" applyFill="1" applyAlignment="1">
      <alignment horizontal="right"/>
    </xf>
    <xf numFmtId="170" fontId="4" fillId="44" borderId="0" xfId="42" applyNumberFormat="1" applyFont="1" applyFill="1"/>
    <xf numFmtId="0" fontId="124" fillId="54" borderId="0" xfId="0" applyFont="1" applyFill="1" applyAlignment="1">
      <alignment wrapText="1"/>
    </xf>
    <xf numFmtId="0" fontId="4" fillId="0" borderId="0" xfId="0" applyFont="1" applyAlignment="1">
      <alignment wrapText="1"/>
    </xf>
    <xf numFmtId="9" fontId="4" fillId="0" borderId="0" xfId="0" applyNumberFormat="1" applyFont="1"/>
    <xf numFmtId="9" fontId="4" fillId="53" borderId="0" xfId="0" applyNumberFormat="1" applyFont="1" applyFill="1"/>
    <xf numFmtId="0" fontId="129" fillId="0" borderId="0" xfId="0" applyFont="1" applyAlignment="1">
      <alignment vertical="center" wrapText="1"/>
    </xf>
    <xf numFmtId="0" fontId="130" fillId="0" borderId="0" xfId="0" applyFont="1" applyAlignment="1">
      <alignment vertical="center"/>
    </xf>
    <xf numFmtId="170" fontId="129" fillId="0" borderId="0" xfId="0" applyNumberFormat="1" applyFont="1" applyAlignment="1">
      <alignment vertical="center" wrapText="1"/>
    </xf>
    <xf numFmtId="170" fontId="129" fillId="0" borderId="0" xfId="0" applyNumberFormat="1" applyFont="1" applyAlignment="1">
      <alignment horizontal="right" vertical="center" wrapText="1"/>
    </xf>
    <xf numFmtId="9" fontId="129" fillId="0" borderId="0" xfId="0" applyNumberFormat="1" applyFont="1" applyAlignment="1">
      <alignment vertical="center" wrapText="1"/>
    </xf>
    <xf numFmtId="0" fontId="131" fillId="0" borderId="0" xfId="0" applyFont="1"/>
    <xf numFmtId="169" fontId="0" fillId="0" borderId="0" xfId="42" applyNumberFormat="1" applyFont="1"/>
    <xf numFmtId="1" fontId="0" fillId="0" borderId="0" xfId="42" applyNumberFormat="1" applyFont="1"/>
    <xf numFmtId="170" fontId="132" fillId="0" borderId="0" xfId="42" applyNumberFormat="1" applyFont="1"/>
    <xf numFmtId="170" fontId="132" fillId="0" borderId="0" xfId="0" applyNumberFormat="1" applyFont="1"/>
    <xf numFmtId="0" fontId="2" fillId="0" borderId="0" xfId="0" applyFont="1"/>
    <xf numFmtId="0" fontId="19" fillId="0" borderId="0" xfId="0" applyFont="1"/>
    <xf numFmtId="0" fontId="133" fillId="0" borderId="0" xfId="0" applyFont="1"/>
    <xf numFmtId="0" fontId="134" fillId="0" borderId="0" xfId="0" applyFont="1"/>
    <xf numFmtId="169" fontId="134" fillId="0" borderId="0" xfId="0" applyNumberFormat="1" applyFont="1"/>
    <xf numFmtId="0" fontId="135" fillId="0" borderId="0" xfId="0" applyFont="1"/>
    <xf numFmtId="170" fontId="134" fillId="0" borderId="0" xfId="42" applyNumberFormat="1" applyFont="1"/>
    <xf numFmtId="2" fontId="134" fillId="0" borderId="0" xfId="0" applyNumberFormat="1" applyFont="1"/>
    <xf numFmtId="2" fontId="134" fillId="0" borderId="0" xfId="0" applyNumberFormat="1" applyFont="1" applyAlignment="1">
      <alignment horizontal="right"/>
    </xf>
    <xf numFmtId="0" fontId="124" fillId="47" borderId="0" xfId="0" applyFont="1" applyFill="1" applyAlignment="1">
      <alignment wrapText="1"/>
    </xf>
    <xf numFmtId="170" fontId="4" fillId="55" borderId="0" xfId="0" applyNumberFormat="1" applyFont="1" applyFill="1"/>
    <xf numFmtId="170" fontId="0" fillId="55" borderId="0" xfId="0" applyNumberFormat="1" applyFill="1"/>
    <xf numFmtId="170" fontId="0" fillId="55" borderId="0" xfId="42" applyNumberFormat="1" applyFont="1" applyFill="1"/>
    <xf numFmtId="17" fontId="0" fillId="0" borderId="0" xfId="0" applyNumberFormat="1"/>
    <xf numFmtId="0" fontId="123" fillId="51" borderId="0" xfId="0" applyFont="1" applyFill="1"/>
    <xf numFmtId="222" fontId="119" fillId="0" borderId="0" xfId="418" applyNumberFormat="1" applyAlignment="1">
      <alignment horizontal="left" vertical="center"/>
    </xf>
    <xf numFmtId="0" fontId="4" fillId="24" borderId="0" xfId="0" applyFont="1" applyFill="1"/>
    <xf numFmtId="169" fontId="4" fillId="37" borderId="0" xfId="0" applyNumberFormat="1" applyFont="1" applyFill="1"/>
    <xf numFmtId="0" fontId="4" fillId="56" borderId="0" xfId="0" applyFont="1" applyFill="1"/>
    <xf numFmtId="169" fontId="4" fillId="56" borderId="0" xfId="0" applyNumberFormat="1" applyFont="1" applyFill="1"/>
    <xf numFmtId="9" fontId="0" fillId="0" borderId="0" xfId="42" applyFont="1"/>
    <xf numFmtId="0" fontId="123" fillId="24" borderId="0" xfId="0" applyFont="1" applyFill="1"/>
    <xf numFmtId="0" fontId="0" fillId="0" borderId="24" xfId="0" applyBorder="1"/>
    <xf numFmtId="17" fontId="0" fillId="0" borderId="24" xfId="0" applyNumberFormat="1" applyBorder="1"/>
    <xf numFmtId="1" fontId="0" fillId="0" borderId="0" xfId="414" applyNumberFormat="1" applyFont="1"/>
    <xf numFmtId="223" fontId="0" fillId="0" borderId="0" xfId="0" applyNumberFormat="1"/>
    <xf numFmtId="0" fontId="128" fillId="56" borderId="0" xfId="0" applyFont="1" applyFill="1"/>
    <xf numFmtId="17" fontId="0" fillId="56" borderId="0" xfId="0" applyNumberFormat="1" applyFill="1"/>
    <xf numFmtId="0" fontId="0" fillId="56" borderId="0" xfId="0" applyFill="1"/>
    <xf numFmtId="170" fontId="0" fillId="56" borderId="0" xfId="0" applyNumberFormat="1" applyFill="1"/>
    <xf numFmtId="170" fontId="0" fillId="56" borderId="0" xfId="42" applyNumberFormat="1" applyFont="1" applyFill="1"/>
    <xf numFmtId="0" fontId="0" fillId="56" borderId="24" xfId="0" applyFill="1" applyBorder="1"/>
    <xf numFmtId="9" fontId="0" fillId="56" borderId="0" xfId="0" applyNumberFormat="1" applyFill="1"/>
    <xf numFmtId="9" fontId="0" fillId="56" borderId="24" xfId="0" applyNumberFormat="1" applyFill="1" applyBorder="1"/>
    <xf numFmtId="0" fontId="0" fillId="57" borderId="0" xfId="0" applyFill="1"/>
    <xf numFmtId="170" fontId="0" fillId="57" borderId="0" xfId="42" applyNumberFormat="1" applyFont="1" applyFill="1"/>
    <xf numFmtId="0" fontId="124" fillId="51" borderId="0" xfId="0" applyFont="1" applyFill="1" applyAlignment="1">
      <alignment horizontal="center"/>
    </xf>
    <xf numFmtId="2" fontId="124" fillId="52" borderId="28" xfId="0" applyNumberFormat="1" applyFont="1" applyFill="1" applyBorder="1" applyAlignment="1">
      <alignment horizontal="center"/>
    </xf>
    <xf numFmtId="2" fontId="124" fillId="52" borderId="27" xfId="0" applyNumberFormat="1" applyFont="1" applyFill="1" applyBorder="1" applyAlignment="1">
      <alignment horizontal="center"/>
    </xf>
    <xf numFmtId="0" fontId="124" fillId="51" borderId="32" xfId="0" applyFont="1" applyFill="1" applyBorder="1" applyAlignment="1">
      <alignment horizontal="center"/>
    </xf>
    <xf numFmtId="170" fontId="4" fillId="0" borderId="32" xfId="42" applyNumberFormat="1" applyFont="1" applyBorder="1" applyAlignment="1">
      <alignment horizontal="center"/>
    </xf>
    <xf numFmtId="170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32" xfId="0" applyFont="1" applyBorder="1" applyAlignment="1">
      <alignment horizontal="center"/>
    </xf>
    <xf numFmtId="170" fontId="11" fillId="0" borderId="32" xfId="42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169" fontId="4" fillId="58" borderId="0" xfId="0" applyNumberFormat="1" applyFont="1" applyFill="1"/>
    <xf numFmtId="169" fontId="11" fillId="58" borderId="0" xfId="0" applyNumberFormat="1" applyFont="1" applyFill="1"/>
    <xf numFmtId="0" fontId="4" fillId="58" borderId="0" xfId="0" applyFont="1" applyFill="1"/>
    <xf numFmtId="170" fontId="4" fillId="58" borderId="0" xfId="42" applyNumberFormat="1" applyFont="1" applyFill="1" applyBorder="1"/>
    <xf numFmtId="0" fontId="124" fillId="51" borderId="31" xfId="0" applyFont="1" applyFill="1" applyBorder="1" applyAlignment="1">
      <alignment horizontal="center"/>
    </xf>
    <xf numFmtId="170" fontId="4" fillId="0" borderId="31" xfId="42" applyNumberFormat="1" applyFont="1" applyBorder="1" applyAlignment="1">
      <alignment horizontal="center"/>
    </xf>
    <xf numFmtId="170" fontId="4" fillId="58" borderId="31" xfId="42" applyNumberFormat="1" applyFont="1" applyFill="1" applyBorder="1"/>
    <xf numFmtId="170" fontId="4" fillId="58" borderId="31" xfId="42" applyNumberFormat="1" applyFont="1" applyFill="1" applyBorder="1" applyAlignment="1">
      <alignment horizontal="right"/>
    </xf>
    <xf numFmtId="170" fontId="11" fillId="58" borderId="31" xfId="42" applyNumberFormat="1" applyFont="1" applyFill="1" applyBorder="1"/>
    <xf numFmtId="0" fontId="4" fillId="58" borderId="31" xfId="0" applyFont="1" applyFill="1" applyBorder="1"/>
    <xf numFmtId="170" fontId="4" fillId="0" borderId="0" xfId="42" applyNumberFormat="1" applyFont="1" applyFill="1" applyBorder="1"/>
    <xf numFmtId="0" fontId="4" fillId="0" borderId="0" xfId="0" applyFont="1" applyAlignment="1">
      <alignment horizontal="right"/>
    </xf>
    <xf numFmtId="0" fontId="124" fillId="51" borderId="0" xfId="0" applyFont="1" applyFill="1" applyAlignment="1">
      <alignment horizontal="center" vertical="center" wrapText="1"/>
    </xf>
    <xf numFmtId="0" fontId="124" fillId="51" borderId="0" xfId="0" applyFont="1" applyFill="1" applyAlignment="1">
      <alignment horizontal="center" vertical="center"/>
    </xf>
    <xf numFmtId="0" fontId="124" fillId="51" borderId="31" xfId="0" applyFont="1" applyFill="1" applyBorder="1" applyAlignment="1">
      <alignment horizontal="center" vertical="center"/>
    </xf>
    <xf numFmtId="2" fontId="124" fillId="52" borderId="27" xfId="0" applyNumberFormat="1" applyFont="1" applyFill="1" applyBorder="1"/>
    <xf numFmtId="170" fontId="124" fillId="52" borderId="29" xfId="42" applyNumberFormat="1" applyFont="1" applyFill="1" applyBorder="1" applyAlignment="1">
      <alignment horizontal="center"/>
    </xf>
    <xf numFmtId="170" fontId="4" fillId="58" borderId="0" xfId="42" applyNumberFormat="1" applyFont="1" applyFill="1" applyBorder="1" applyAlignment="1">
      <alignment horizontal="right"/>
    </xf>
    <xf numFmtId="170" fontId="11" fillId="58" borderId="0" xfId="42" applyNumberFormat="1" applyFont="1" applyFill="1" applyBorder="1"/>
    <xf numFmtId="0" fontId="124" fillId="51" borderId="23" xfId="0" applyFont="1" applyFill="1" applyBorder="1" applyAlignment="1">
      <alignment horizontal="center" vertical="center" wrapText="1"/>
    </xf>
    <xf numFmtId="169" fontId="4" fillId="58" borderId="23" xfId="0" applyNumberFormat="1" applyFont="1" applyFill="1" applyBorder="1"/>
    <xf numFmtId="169" fontId="11" fillId="58" borderId="23" xfId="0" applyNumberFormat="1" applyFont="1" applyFill="1" applyBorder="1"/>
    <xf numFmtId="0" fontId="4" fillId="58" borderId="23" xfId="0" applyFont="1" applyFill="1" applyBorder="1"/>
    <xf numFmtId="170" fontId="4" fillId="0" borderId="0" xfId="42" applyNumberFormat="1" applyFont="1" applyBorder="1" applyAlignment="1">
      <alignment horizontal="center"/>
    </xf>
    <xf numFmtId="170" fontId="11" fillId="0" borderId="0" xfId="42" applyNumberFormat="1" applyFont="1" applyBorder="1" applyAlignment="1">
      <alignment horizontal="center"/>
    </xf>
    <xf numFmtId="0" fontId="124" fillId="51" borderId="34" xfId="0" applyFont="1" applyFill="1" applyBorder="1" applyAlignment="1">
      <alignment horizontal="center"/>
    </xf>
    <xf numFmtId="0" fontId="124" fillId="51" borderId="10" xfId="0" applyFont="1" applyFill="1" applyBorder="1"/>
    <xf numFmtId="0" fontId="124" fillId="51" borderId="10" xfId="0" applyFont="1" applyFill="1" applyBorder="1" applyAlignment="1">
      <alignment horizontal="center"/>
    </xf>
    <xf numFmtId="0" fontId="124" fillId="51" borderId="33" xfId="0" applyFont="1" applyFill="1" applyBorder="1" applyAlignment="1">
      <alignment horizontal="center"/>
    </xf>
    <xf numFmtId="0" fontId="4" fillId="0" borderId="10" xfId="0" applyFont="1" applyBorder="1"/>
    <xf numFmtId="0" fontId="124" fillId="51" borderId="35" xfId="0" applyFont="1" applyFill="1" applyBorder="1"/>
    <xf numFmtId="0" fontId="124" fillId="51" borderId="36" xfId="0" applyFont="1" applyFill="1" applyBorder="1"/>
    <xf numFmtId="170" fontId="124" fillId="51" borderId="37" xfId="42" applyNumberFormat="1" applyFont="1" applyFill="1" applyBorder="1" applyAlignment="1"/>
    <xf numFmtId="0" fontId="124" fillId="51" borderId="23" xfId="0" applyFont="1" applyFill="1" applyBorder="1"/>
    <xf numFmtId="0" fontId="124" fillId="51" borderId="24" xfId="0" applyFont="1" applyFill="1" applyBorder="1" applyAlignment="1">
      <alignment horizontal="center" vertical="center"/>
    </xf>
    <xf numFmtId="0" fontId="4" fillId="0" borderId="23" xfId="0" applyFont="1" applyBorder="1"/>
    <xf numFmtId="170" fontId="4" fillId="0" borderId="24" xfId="42" applyNumberFormat="1" applyFont="1" applyBorder="1" applyAlignment="1">
      <alignment horizontal="center"/>
    </xf>
    <xf numFmtId="0" fontId="11" fillId="0" borderId="23" xfId="0" applyFont="1" applyBorder="1"/>
    <xf numFmtId="170" fontId="11" fillId="0" borderId="24" xfId="42" applyNumberFormat="1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11" fillId="0" borderId="26" xfId="0" applyFont="1" applyBorder="1"/>
    <xf numFmtId="169" fontId="4" fillId="58" borderId="11" xfId="0" applyNumberFormat="1" applyFont="1" applyFill="1" applyBorder="1"/>
    <xf numFmtId="169" fontId="11" fillId="0" borderId="11" xfId="0" applyNumberFormat="1" applyFont="1" applyBorder="1"/>
    <xf numFmtId="170" fontId="11" fillId="58" borderId="11" xfId="42" applyNumberFormat="1" applyFont="1" applyFill="1" applyBorder="1"/>
    <xf numFmtId="169" fontId="11" fillId="58" borderId="26" xfId="0" applyNumberFormat="1" applyFont="1" applyFill="1" applyBorder="1"/>
    <xf numFmtId="170" fontId="11" fillId="58" borderId="38" xfId="42" applyNumberFormat="1" applyFont="1" applyFill="1" applyBorder="1"/>
    <xf numFmtId="170" fontId="11" fillId="0" borderId="25" xfId="42" applyNumberFormat="1" applyFont="1" applyBorder="1" applyAlignment="1">
      <alignment horizontal="center"/>
    </xf>
    <xf numFmtId="0" fontId="4" fillId="0" borderId="26" xfId="0" applyFont="1" applyBorder="1"/>
    <xf numFmtId="169" fontId="4" fillId="0" borderId="11" xfId="0" applyNumberFormat="1" applyFont="1" applyBorder="1"/>
    <xf numFmtId="170" fontId="4" fillId="58" borderId="11" xfId="42" applyNumberFormat="1" applyFont="1" applyFill="1" applyBorder="1"/>
    <xf numFmtId="169" fontId="4" fillId="58" borderId="26" xfId="0" applyNumberFormat="1" applyFont="1" applyFill="1" applyBorder="1"/>
    <xf numFmtId="170" fontId="4" fillId="58" borderId="38" xfId="42" applyNumberFormat="1" applyFont="1" applyFill="1" applyBorder="1"/>
    <xf numFmtId="170" fontId="4" fillId="0" borderId="25" xfId="42" applyNumberFormat="1" applyFont="1" applyBorder="1" applyAlignment="1">
      <alignment horizontal="center"/>
    </xf>
    <xf numFmtId="170" fontId="4" fillId="0" borderId="31" xfId="0" applyNumberFormat="1" applyFont="1" applyBorder="1" applyAlignment="1">
      <alignment horizontal="center"/>
    </xf>
    <xf numFmtId="170" fontId="11" fillId="0" borderId="31" xfId="0" applyNumberFormat="1" applyFont="1" applyBorder="1" applyAlignment="1">
      <alignment horizontal="center"/>
    </xf>
    <xf numFmtId="0" fontId="137" fillId="51" borderId="0" xfId="0" applyFont="1" applyFill="1"/>
    <xf numFmtId="0" fontId="137" fillId="51" borderId="0" xfId="0" quotePrefix="1" applyFont="1" applyFill="1"/>
    <xf numFmtId="170" fontId="0" fillId="0" borderId="0" xfId="0" applyNumberFormat="1" applyAlignment="1">
      <alignment horizontal="center"/>
    </xf>
    <xf numFmtId="170" fontId="0" fillId="0" borderId="0" xfId="42" applyNumberFormat="1" applyFont="1" applyAlignment="1">
      <alignment horizontal="center"/>
    </xf>
    <xf numFmtId="170" fontId="0" fillId="56" borderId="24" xfId="0" applyNumberFormat="1" applyFill="1" applyBorder="1"/>
    <xf numFmtId="0" fontId="99" fillId="58" borderId="0" xfId="0" applyFont="1" applyFill="1"/>
    <xf numFmtId="0" fontId="98" fillId="0" borderId="0" xfId="0" applyFont="1" applyAlignment="1">
      <alignment horizontal="right"/>
    </xf>
    <xf numFmtId="169" fontId="98" fillId="0" borderId="0" xfId="0" applyNumberFormat="1" applyFont="1" applyAlignment="1">
      <alignment horizontal="right"/>
    </xf>
    <xf numFmtId="170" fontId="98" fillId="0" borderId="0" xfId="0" applyNumberFormat="1" applyFont="1" applyAlignment="1">
      <alignment horizontal="right"/>
    </xf>
    <xf numFmtId="0" fontId="4" fillId="43" borderId="0" xfId="0" applyFont="1" applyFill="1"/>
    <xf numFmtId="170" fontId="4" fillId="36" borderId="0" xfId="42" applyNumberFormat="1" applyFont="1" applyFill="1" applyBorder="1"/>
    <xf numFmtId="170" fontId="0" fillId="21" borderId="0" xfId="42" applyNumberFormat="1" applyFont="1" applyFill="1"/>
    <xf numFmtId="208" fontId="4" fillId="0" borderId="0" xfId="28" applyNumberFormat="1" applyFont="1"/>
    <xf numFmtId="0" fontId="125" fillId="51" borderId="0" xfId="0" applyFont="1" applyFill="1"/>
    <xf numFmtId="0" fontId="139" fillId="51" borderId="0" xfId="0" applyFont="1" applyFill="1"/>
    <xf numFmtId="210" fontId="0" fillId="0" borderId="0" xfId="42" applyNumberFormat="1" applyFont="1"/>
    <xf numFmtId="2" fontId="124" fillId="52" borderId="0" xfId="0" applyNumberFormat="1" applyFont="1" applyFill="1" applyAlignment="1">
      <alignment horizontal="center"/>
    </xf>
    <xf numFmtId="169" fontId="4" fillId="36" borderId="23" xfId="0" applyNumberFormat="1" applyFont="1" applyFill="1" applyBorder="1"/>
    <xf numFmtId="170" fontId="11" fillId="36" borderId="0" xfId="42" applyNumberFormat="1" applyFont="1" applyFill="1" applyBorder="1"/>
    <xf numFmtId="169" fontId="11" fillId="36" borderId="23" xfId="0" applyNumberFormat="1" applyFont="1" applyFill="1" applyBorder="1"/>
    <xf numFmtId="169" fontId="11" fillId="36" borderId="0" xfId="0" applyNumberFormat="1" applyFont="1" applyFill="1"/>
    <xf numFmtId="0" fontId="124" fillId="51" borderId="42" xfId="0" applyFont="1" applyFill="1" applyBorder="1"/>
    <xf numFmtId="2" fontId="124" fillId="52" borderId="43" xfId="0" applyNumberFormat="1" applyFont="1" applyFill="1" applyBorder="1" applyAlignment="1">
      <alignment horizontal="center"/>
    </xf>
    <xf numFmtId="2" fontId="124" fillId="52" borderId="0" xfId="0" applyNumberFormat="1" applyFont="1" applyFill="1"/>
    <xf numFmtId="0" fontId="124" fillId="51" borderId="44" xfId="0" applyFont="1" applyFill="1" applyBorder="1"/>
    <xf numFmtId="0" fontId="124" fillId="51" borderId="45" xfId="0" applyFont="1" applyFill="1" applyBorder="1" applyAlignment="1">
      <alignment horizontal="center" vertical="center" wrapText="1"/>
    </xf>
    <xf numFmtId="0" fontId="124" fillId="51" borderId="46" xfId="0" applyFont="1" applyFill="1" applyBorder="1" applyAlignment="1">
      <alignment horizontal="center" vertical="center" wrapText="1"/>
    </xf>
    <xf numFmtId="0" fontId="124" fillId="51" borderId="46" xfId="0" applyFont="1" applyFill="1" applyBorder="1" applyAlignment="1">
      <alignment horizontal="center" vertical="center"/>
    </xf>
    <xf numFmtId="0" fontId="124" fillId="51" borderId="47" xfId="0" applyFont="1" applyFill="1" applyBorder="1" applyAlignment="1">
      <alignment horizontal="center" vertical="center"/>
    </xf>
    <xf numFmtId="0" fontId="4" fillId="36" borderId="48" xfId="0" applyFont="1" applyFill="1" applyBorder="1"/>
    <xf numFmtId="170" fontId="4" fillId="36" borderId="41" xfId="42" applyNumberFormat="1" applyFont="1" applyFill="1" applyBorder="1"/>
    <xf numFmtId="170" fontId="4" fillId="36" borderId="41" xfId="42" applyNumberFormat="1" applyFont="1" applyFill="1" applyBorder="1" applyAlignment="1">
      <alignment horizontal="right"/>
    </xf>
    <xf numFmtId="0" fontId="11" fillId="36" borderId="48" xfId="0" applyFont="1" applyFill="1" applyBorder="1"/>
    <xf numFmtId="170" fontId="11" fillId="36" borderId="41" xfId="42" applyNumberFormat="1" applyFont="1" applyFill="1" applyBorder="1"/>
    <xf numFmtId="0" fontId="11" fillId="36" borderId="49" xfId="0" applyFont="1" applyFill="1" applyBorder="1"/>
    <xf numFmtId="0" fontId="11" fillId="58" borderId="50" xfId="0" applyFont="1" applyFill="1" applyBorder="1"/>
    <xf numFmtId="169" fontId="11" fillId="36" borderId="50" xfId="0" applyNumberFormat="1" applyFont="1" applyFill="1" applyBorder="1"/>
    <xf numFmtId="170" fontId="11" fillId="36" borderId="50" xfId="42" applyNumberFormat="1" applyFont="1" applyFill="1" applyBorder="1"/>
    <xf numFmtId="0" fontId="11" fillId="36" borderId="51" xfId="0" applyFont="1" applyFill="1" applyBorder="1"/>
    <xf numFmtId="170" fontId="11" fillId="36" borderId="52" xfId="42" applyNumberFormat="1" applyFont="1" applyFill="1" applyBorder="1"/>
    <xf numFmtId="170" fontId="4" fillId="0" borderId="0" xfId="42" applyNumberFormat="1" applyFont="1" applyBorder="1"/>
    <xf numFmtId="0" fontId="140" fillId="50" borderId="44" xfId="0" applyFont="1" applyFill="1" applyBorder="1"/>
    <xf numFmtId="0" fontId="140" fillId="50" borderId="46" xfId="0" applyFont="1" applyFill="1" applyBorder="1" applyAlignment="1">
      <alignment horizontal="center"/>
    </xf>
    <xf numFmtId="0" fontId="124" fillId="50" borderId="44" xfId="0" applyFont="1" applyFill="1" applyBorder="1"/>
    <xf numFmtId="0" fontId="124" fillId="50" borderId="48" xfId="0" applyFont="1" applyFill="1" applyBorder="1" applyAlignment="1">
      <alignment horizontal="left" wrapText="1"/>
    </xf>
    <xf numFmtId="0" fontId="124" fillId="50" borderId="0" xfId="0" applyFont="1" applyFill="1" applyAlignment="1">
      <alignment horizontal="right" wrapText="1"/>
    </xf>
    <xf numFmtId="0" fontId="124" fillId="50" borderId="41" xfId="0" applyFont="1" applyFill="1" applyBorder="1" applyAlignment="1">
      <alignment horizontal="right" wrapText="1"/>
    </xf>
    <xf numFmtId="0" fontId="141" fillId="36" borderId="48" xfId="0" applyFont="1" applyFill="1" applyBorder="1"/>
    <xf numFmtId="3" fontId="116" fillId="0" borderId="0" xfId="0" applyNumberFormat="1" applyFont="1"/>
    <xf numFmtId="0" fontId="136" fillId="36" borderId="48" xfId="0" applyFont="1" applyFill="1" applyBorder="1"/>
    <xf numFmtId="170" fontId="136" fillId="0" borderId="53" xfId="42" applyNumberFormat="1" applyFont="1" applyBorder="1"/>
    <xf numFmtId="170" fontId="142" fillId="0" borderId="53" xfId="42" applyNumberFormat="1" applyFont="1" applyBorder="1"/>
    <xf numFmtId="0" fontId="143" fillId="36" borderId="48" xfId="0" applyFont="1" applyFill="1" applyBorder="1"/>
    <xf numFmtId="170" fontId="143" fillId="0" borderId="53" xfId="42" applyNumberFormat="1" applyFont="1" applyBorder="1"/>
    <xf numFmtId="3" fontId="116" fillId="0" borderId="53" xfId="28" applyNumberFormat="1" applyFont="1" applyBorder="1"/>
    <xf numFmtId="3" fontId="116" fillId="0" borderId="53" xfId="0" applyNumberFormat="1" applyFont="1" applyBorder="1"/>
    <xf numFmtId="0" fontId="4" fillId="36" borderId="49" xfId="0" applyFont="1" applyFill="1" applyBorder="1"/>
    <xf numFmtId="3" fontId="4" fillId="36" borderId="53" xfId="421" applyNumberFormat="1" applyFill="1" applyBorder="1" applyAlignment="1">
      <alignment horizontal="right" wrapText="1"/>
    </xf>
    <xf numFmtId="3" fontId="4" fillId="0" borderId="53" xfId="421" applyNumberFormat="1" applyBorder="1" applyAlignment="1">
      <alignment horizontal="right" wrapText="1"/>
    </xf>
    <xf numFmtId="3" fontId="117" fillId="0" borderId="53" xfId="421" applyNumberFormat="1" applyFont="1" applyBorder="1" applyAlignment="1">
      <alignment horizontal="right" wrapText="1"/>
    </xf>
    <xf numFmtId="3" fontId="4" fillId="0" borderId="53" xfId="423" applyNumberFormat="1" applyBorder="1" applyAlignment="1">
      <alignment wrapText="1"/>
    </xf>
    <xf numFmtId="3" fontId="11" fillId="0" borderId="53" xfId="423" applyNumberFormat="1" applyFont="1" applyBorder="1" applyAlignment="1">
      <alignment wrapText="1"/>
    </xf>
    <xf numFmtId="3" fontId="117" fillId="0" borderId="53" xfId="28" applyNumberFormat="1" applyFont="1" applyBorder="1"/>
    <xf numFmtId="0" fontId="136" fillId="36" borderId="48" xfId="0" applyFont="1" applyFill="1" applyBorder="1" applyAlignment="1">
      <alignment horizontal="left"/>
    </xf>
    <xf numFmtId="3" fontId="116" fillId="0" borderId="53" xfId="421" applyNumberFormat="1" applyFont="1" applyBorder="1" applyAlignment="1">
      <alignment horizontal="right" wrapText="1"/>
    </xf>
    <xf numFmtId="3" fontId="116" fillId="0" borderId="0" xfId="28" applyNumberFormat="1" applyFont="1" applyBorder="1"/>
    <xf numFmtId="170" fontId="116" fillId="58" borderId="0" xfId="422" applyNumberFormat="1" applyFont="1" applyFill="1" applyBorder="1"/>
    <xf numFmtId="175" fontId="116" fillId="0" borderId="54" xfId="28" applyNumberFormat="1" applyFont="1" applyBorder="1"/>
    <xf numFmtId="2" fontId="124" fillId="50" borderId="47" xfId="0" applyNumberFormat="1" applyFont="1" applyFill="1" applyBorder="1"/>
    <xf numFmtId="170" fontId="116" fillId="0" borderId="41" xfId="422" applyNumberFormat="1" applyFont="1" applyFill="1" applyBorder="1"/>
    <xf numFmtId="170" fontId="117" fillId="0" borderId="41" xfId="422" applyNumberFormat="1" applyFont="1" applyFill="1" applyBorder="1"/>
    <xf numFmtId="170" fontId="142" fillId="0" borderId="41" xfId="422" applyNumberFormat="1" applyFont="1" applyFill="1" applyBorder="1" applyAlignment="1">
      <alignment horizontal="right"/>
    </xf>
    <xf numFmtId="0" fontId="4" fillId="0" borderId="50" xfId="0" applyFont="1" applyBorder="1"/>
    <xf numFmtId="170" fontId="116" fillId="0" borderId="52" xfId="422" applyNumberFormat="1" applyFont="1" applyFill="1" applyBorder="1"/>
    <xf numFmtId="0" fontId="4" fillId="58" borderId="50" xfId="0" applyFont="1" applyFill="1" applyBorder="1"/>
    <xf numFmtId="3" fontId="116" fillId="0" borderId="0" xfId="28" applyNumberFormat="1" applyFont="1" applyFill="1" applyBorder="1"/>
    <xf numFmtId="170" fontId="116" fillId="0" borderId="0" xfId="422" applyNumberFormat="1" applyFont="1" applyFill="1" applyBorder="1"/>
    <xf numFmtId="3" fontId="4" fillId="0" borderId="0" xfId="0" applyNumberFormat="1" applyFont="1"/>
    <xf numFmtId="3" fontId="4" fillId="36" borderId="0" xfId="421" applyNumberFormat="1" applyFill="1" applyAlignment="1">
      <alignment horizontal="right" wrapText="1"/>
    </xf>
    <xf numFmtId="3" fontId="4" fillId="0" borderId="0" xfId="421" applyNumberFormat="1" applyAlignment="1">
      <alignment horizontal="right" wrapText="1"/>
    </xf>
    <xf numFmtId="175" fontId="4" fillId="36" borderId="0" xfId="421" applyNumberFormat="1" applyFill="1" applyAlignment="1">
      <alignment horizontal="right" wrapText="1"/>
    </xf>
    <xf numFmtId="175" fontId="4" fillId="0" borderId="0" xfId="421" applyNumberFormat="1" applyAlignment="1">
      <alignment horizontal="right" wrapText="1"/>
    </xf>
    <xf numFmtId="175" fontId="117" fillId="0" borderId="0" xfId="421" applyNumberFormat="1" applyFont="1" applyAlignment="1">
      <alignment horizontal="right" wrapText="1"/>
    </xf>
    <xf numFmtId="3" fontId="117" fillId="0" borderId="0" xfId="421" applyNumberFormat="1" applyFont="1" applyAlignment="1">
      <alignment horizontal="right" wrapText="1"/>
    </xf>
    <xf numFmtId="170" fontId="117" fillId="58" borderId="0" xfId="422" applyNumberFormat="1" applyFont="1" applyFill="1" applyBorder="1"/>
    <xf numFmtId="170" fontId="117" fillId="0" borderId="0" xfId="422" applyNumberFormat="1" applyFont="1" applyFill="1" applyBorder="1"/>
    <xf numFmtId="3" fontId="4" fillId="0" borderId="0" xfId="423" applyNumberFormat="1" applyAlignment="1">
      <alignment wrapText="1"/>
    </xf>
    <xf numFmtId="3" fontId="11" fillId="0" borderId="0" xfId="423" applyNumberFormat="1" applyFont="1" applyAlignment="1">
      <alignment wrapText="1"/>
    </xf>
    <xf numFmtId="170" fontId="136" fillId="0" borderId="0" xfId="42" applyNumberFormat="1" applyFont="1" applyBorder="1"/>
    <xf numFmtId="170" fontId="136" fillId="58" borderId="0" xfId="422" applyNumberFormat="1" applyFont="1" applyFill="1" applyBorder="1" applyAlignment="1">
      <alignment horizontal="right"/>
    </xf>
    <xf numFmtId="170" fontId="136" fillId="0" borderId="0" xfId="422" applyNumberFormat="1" applyFont="1" applyFill="1" applyBorder="1" applyAlignment="1">
      <alignment horizontal="right"/>
    </xf>
    <xf numFmtId="170" fontId="136" fillId="0" borderId="0" xfId="42" applyNumberFormat="1" applyFont="1" applyFill="1" applyBorder="1"/>
    <xf numFmtId="170" fontId="142" fillId="0" borderId="0" xfId="42" applyNumberFormat="1" applyFont="1" applyFill="1" applyBorder="1"/>
    <xf numFmtId="170" fontId="143" fillId="0" borderId="0" xfId="42" applyNumberFormat="1" applyFont="1" applyBorder="1"/>
    <xf numFmtId="170" fontId="143" fillId="58" borderId="0" xfId="422" applyNumberFormat="1" applyFont="1" applyFill="1" applyBorder="1" applyAlignment="1">
      <alignment horizontal="right"/>
    </xf>
    <xf numFmtId="170" fontId="143" fillId="0" borderId="0" xfId="422" applyNumberFormat="1" applyFont="1" applyFill="1" applyBorder="1" applyAlignment="1">
      <alignment horizontal="right"/>
    </xf>
    <xf numFmtId="170" fontId="143" fillId="0" borderId="0" xfId="42" applyNumberFormat="1" applyFont="1" applyFill="1" applyBorder="1"/>
    <xf numFmtId="3" fontId="116" fillId="0" borderId="0" xfId="421" applyNumberFormat="1" applyFont="1" applyAlignment="1">
      <alignment horizontal="right" wrapText="1"/>
    </xf>
    <xf numFmtId="3" fontId="117" fillId="0" borderId="0" xfId="28" applyNumberFormat="1" applyFont="1" applyBorder="1"/>
    <xf numFmtId="3" fontId="117" fillId="0" borderId="0" xfId="28" applyNumberFormat="1" applyFont="1" applyFill="1" applyBorder="1"/>
    <xf numFmtId="170" fontId="142" fillId="0" borderId="0" xfId="42" applyNumberFormat="1" applyFont="1" applyBorder="1"/>
    <xf numFmtId="170" fontId="142" fillId="0" borderId="0" xfId="422" applyNumberFormat="1" applyFont="1" applyFill="1" applyBorder="1" applyAlignment="1">
      <alignment horizontal="right"/>
    </xf>
    <xf numFmtId="170" fontId="142" fillId="58" borderId="0" xfId="422" applyNumberFormat="1" applyFont="1" applyFill="1" applyBorder="1" applyAlignment="1">
      <alignment horizontal="right"/>
    </xf>
    <xf numFmtId="175" fontId="116" fillId="0" borderId="50" xfId="28" applyNumberFormat="1" applyFont="1" applyBorder="1"/>
    <xf numFmtId="170" fontId="116" fillId="58" borderId="50" xfId="422" applyNumberFormat="1" applyFont="1" applyFill="1" applyBorder="1"/>
    <xf numFmtId="175" fontId="116" fillId="0" borderId="50" xfId="28" applyNumberFormat="1" applyFont="1" applyFill="1" applyBorder="1"/>
    <xf numFmtId="3" fontId="116" fillId="0" borderId="50" xfId="28" applyNumberFormat="1" applyFont="1" applyFill="1" applyBorder="1"/>
    <xf numFmtId="175" fontId="4" fillId="0" borderId="0" xfId="0" applyNumberFormat="1" applyFont="1"/>
    <xf numFmtId="2" fontId="124" fillId="50" borderId="46" xfId="0" applyNumberFormat="1" applyFont="1" applyFill="1" applyBorder="1"/>
    <xf numFmtId="170" fontId="116" fillId="0" borderId="0" xfId="42" applyNumberFormat="1" applyFont="1" applyBorder="1"/>
    <xf numFmtId="170" fontId="142" fillId="58" borderId="0" xfId="42" applyNumberFormat="1" applyFont="1" applyFill="1" applyBorder="1"/>
    <xf numFmtId="3" fontId="116" fillId="58" borderId="0" xfId="28" applyNumberFormat="1" applyFont="1" applyFill="1" applyBorder="1"/>
    <xf numFmtId="175" fontId="116" fillId="58" borderId="50" xfId="28" applyNumberFormat="1" applyFont="1" applyFill="1" applyBorder="1"/>
    <xf numFmtId="170" fontId="116" fillId="58" borderId="41" xfId="422" applyNumberFormat="1" applyFont="1" applyFill="1" applyBorder="1"/>
    <xf numFmtId="170" fontId="117" fillId="58" borderId="41" xfId="422" applyNumberFormat="1" applyFont="1" applyFill="1" applyBorder="1"/>
    <xf numFmtId="170" fontId="116" fillId="58" borderId="41" xfId="422" applyNumberFormat="1" applyFont="1" applyFill="1" applyBorder="1" applyAlignment="1">
      <alignment horizontal="right"/>
    </xf>
    <xf numFmtId="170" fontId="142" fillId="58" borderId="41" xfId="422" applyNumberFormat="1" applyFont="1" applyFill="1" applyBorder="1" applyAlignment="1">
      <alignment horizontal="right"/>
    </xf>
    <xf numFmtId="170" fontId="116" fillId="58" borderId="52" xfId="422" applyNumberFormat="1" applyFont="1" applyFill="1" applyBorder="1"/>
    <xf numFmtId="40" fontId="4" fillId="0" borderId="0" xfId="28" applyFont="1"/>
    <xf numFmtId="227" fontId="4" fillId="0" borderId="0" xfId="0" applyNumberFormat="1" applyFont="1"/>
    <xf numFmtId="0" fontId="124" fillId="0" borderId="0" xfId="0" applyFont="1" applyAlignment="1">
      <alignment horizontal="center"/>
    </xf>
    <xf numFmtId="0" fontId="98" fillId="58" borderId="0" xfId="0" applyFont="1" applyFill="1" applyAlignment="1">
      <alignment horizontal="right"/>
    </xf>
    <xf numFmtId="0" fontId="123" fillId="51" borderId="40" xfId="0" applyFont="1" applyFill="1" applyBorder="1"/>
    <xf numFmtId="0" fontId="123" fillId="51" borderId="24" xfId="0" applyFont="1" applyFill="1" applyBorder="1"/>
    <xf numFmtId="168" fontId="123" fillId="51" borderId="0" xfId="0" applyNumberFormat="1" applyFont="1" applyFill="1" applyAlignment="1">
      <alignment horizontal="center"/>
    </xf>
    <xf numFmtId="168" fontId="123" fillId="51" borderId="40" xfId="0" applyNumberFormat="1" applyFont="1" applyFill="1" applyBorder="1" applyAlignment="1">
      <alignment horizontal="center"/>
    </xf>
    <xf numFmtId="168" fontId="123" fillId="51" borderId="0" xfId="0" applyNumberFormat="1" applyFont="1" applyFill="1" applyAlignment="1">
      <alignment horizontal="center" wrapText="1"/>
    </xf>
    <xf numFmtId="168" fontId="123" fillId="51" borderId="24" xfId="0" applyNumberFormat="1" applyFont="1" applyFill="1" applyBorder="1" applyAlignment="1">
      <alignment horizontal="center"/>
    </xf>
    <xf numFmtId="0" fontId="123" fillId="51" borderId="0" xfId="0" applyFont="1" applyFill="1" applyAlignment="1">
      <alignment horizontal="center"/>
    </xf>
    <xf numFmtId="0" fontId="124" fillId="51" borderId="0" xfId="39" applyFont="1" applyFill="1" applyAlignment="1">
      <alignment horizontal="center"/>
    </xf>
    <xf numFmtId="0" fontId="124" fillId="51" borderId="24" xfId="39" applyFont="1" applyFill="1" applyBorder="1" applyAlignment="1">
      <alignment horizontal="center"/>
    </xf>
    <xf numFmtId="175" fontId="11" fillId="58" borderId="0" xfId="0" applyNumberFormat="1" applyFont="1" applyFill="1"/>
    <xf numFmtId="175" fontId="11" fillId="58" borderId="0" xfId="39" applyNumberFormat="1" applyFont="1" applyFill="1" applyAlignment="1">
      <alignment horizontal="center"/>
    </xf>
    <xf numFmtId="175" fontId="11" fillId="58" borderId="40" xfId="39" applyNumberFormat="1" applyFont="1" applyFill="1" applyBorder="1" applyAlignment="1">
      <alignment horizontal="center"/>
    </xf>
    <xf numFmtId="175" fontId="11" fillId="58" borderId="0" xfId="0" applyNumberFormat="1" applyFont="1" applyFill="1" applyAlignment="1">
      <alignment horizontal="center" vertical="center"/>
    </xf>
    <xf numFmtId="175" fontId="4" fillId="0" borderId="40" xfId="0" applyNumberFormat="1" applyFont="1" applyBorder="1"/>
    <xf numFmtId="175" fontId="4" fillId="0" borderId="0" xfId="28" applyNumberFormat="1" applyFont="1" applyBorder="1"/>
    <xf numFmtId="175" fontId="4" fillId="0" borderId="0" xfId="28" applyNumberFormat="1" applyFont="1"/>
    <xf numFmtId="175" fontId="4" fillId="0" borderId="24" xfId="28" applyNumberFormat="1" applyFont="1" applyBorder="1"/>
    <xf numFmtId="175" fontId="146" fillId="0" borderId="0" xfId="28" applyNumberFormat="1" applyFont="1" applyBorder="1"/>
    <xf numFmtId="175" fontId="146" fillId="0" borderId="24" xfId="28" applyNumberFormat="1" applyFont="1" applyBorder="1"/>
    <xf numFmtId="175" fontId="11" fillId="0" borderId="0" xfId="0" applyNumberFormat="1" applyFont="1"/>
    <xf numFmtId="175" fontId="11" fillId="0" borderId="40" xfId="0" applyNumberFormat="1" applyFont="1" applyBorder="1"/>
    <xf numFmtId="175" fontId="11" fillId="0" borderId="0" xfId="28" applyNumberFormat="1" applyFont="1" applyBorder="1"/>
    <xf numFmtId="175" fontId="11" fillId="0" borderId="0" xfId="28" applyNumberFormat="1" applyFont="1"/>
    <xf numFmtId="175" fontId="11" fillId="0" borderId="24" xfId="28" applyNumberFormat="1" applyFont="1" applyBorder="1"/>
    <xf numFmtId="175" fontId="4" fillId="0" borderId="24" xfId="0" applyNumberFormat="1" applyFont="1" applyBorder="1"/>
    <xf numFmtId="175" fontId="4" fillId="0" borderId="0" xfId="0" applyNumberFormat="1" applyFont="1" applyAlignment="1">
      <alignment horizontal="right"/>
    </xf>
    <xf numFmtId="175" fontId="4" fillId="0" borderId="40" xfId="0" applyNumberFormat="1" applyFont="1" applyBorder="1" applyAlignment="1">
      <alignment horizontal="right"/>
    </xf>
    <xf numFmtId="175" fontId="146" fillId="0" borderId="0" xfId="0" applyNumberFormat="1" applyFont="1" applyAlignment="1">
      <alignment horizontal="right"/>
    </xf>
    <xf numFmtId="175" fontId="146" fillId="0" borderId="24" xfId="0" applyNumberFormat="1" applyFont="1" applyBorder="1" applyAlignment="1">
      <alignment horizontal="right"/>
    </xf>
    <xf numFmtId="175" fontId="4" fillId="0" borderId="24" xfId="0" applyNumberFormat="1" applyFont="1" applyBorder="1" applyAlignment="1">
      <alignment horizontal="right"/>
    </xf>
    <xf numFmtId="175" fontId="11" fillId="0" borderId="0" xfId="0" applyNumberFormat="1" applyFont="1" applyAlignment="1">
      <alignment horizontal="right"/>
    </xf>
    <xf numFmtId="175" fontId="11" fillId="0" borderId="40" xfId="0" applyNumberFormat="1" applyFont="1" applyBorder="1" applyAlignment="1">
      <alignment horizontal="right"/>
    </xf>
    <xf numFmtId="175" fontId="145" fillId="0" borderId="0" xfId="0" applyNumberFormat="1" applyFont="1" applyAlignment="1">
      <alignment horizontal="right"/>
    </xf>
    <xf numFmtId="175" fontId="11" fillId="0" borderId="24" xfId="0" applyNumberFormat="1" applyFont="1" applyBorder="1" applyAlignment="1">
      <alignment horizontal="right"/>
    </xf>
    <xf numFmtId="175" fontId="145" fillId="0" borderId="24" xfId="0" applyNumberFormat="1" applyFont="1" applyBorder="1" applyAlignment="1">
      <alignment horizontal="right"/>
    </xf>
    <xf numFmtId="175" fontId="11" fillId="58" borderId="0" xfId="28" applyNumberFormat="1" applyFont="1" applyFill="1" applyBorder="1" applyAlignment="1">
      <alignment horizontal="center"/>
    </xf>
    <xf numFmtId="175" fontId="146" fillId="0" borderId="0" xfId="0" applyNumberFormat="1" applyFont="1"/>
    <xf numFmtId="175" fontId="146" fillId="0" borderId="24" xfId="0" applyNumberFormat="1" applyFont="1" applyBorder="1"/>
    <xf numFmtId="175" fontId="11" fillId="0" borderId="24" xfId="0" applyNumberFormat="1" applyFont="1" applyBorder="1"/>
    <xf numFmtId="175" fontId="145" fillId="0" borderId="0" xfId="0" applyNumberFormat="1" applyFont="1"/>
    <xf numFmtId="175" fontId="145" fillId="0" borderId="24" xfId="0" applyNumberFormat="1" applyFont="1" applyBorder="1"/>
    <xf numFmtId="0" fontId="4" fillId="0" borderId="40" xfId="0" applyFont="1" applyBorder="1"/>
    <xf numFmtId="170" fontId="4" fillId="0" borderId="24" xfId="42" applyNumberFormat="1" applyFont="1" applyBorder="1"/>
    <xf numFmtId="0" fontId="4" fillId="0" borderId="24" xfId="0" applyFont="1" applyBorder="1"/>
    <xf numFmtId="170" fontId="118" fillId="43" borderId="0" xfId="42" applyNumberFormat="1" applyFont="1" applyFill="1"/>
    <xf numFmtId="208" fontId="118" fillId="43" borderId="0" xfId="28" applyNumberFormat="1" applyFont="1" applyFill="1"/>
    <xf numFmtId="0" fontId="11" fillId="58" borderId="0" xfId="0" applyFont="1" applyFill="1"/>
    <xf numFmtId="0" fontId="11" fillId="58" borderId="0" xfId="39" applyFont="1" applyFill="1" applyAlignment="1">
      <alignment horizontal="center"/>
    </xf>
    <xf numFmtId="0" fontId="11" fillId="58" borderId="40" xfId="39" applyFont="1" applyFill="1" applyBorder="1" applyAlignment="1">
      <alignment horizontal="center"/>
    </xf>
    <xf numFmtId="0" fontId="11" fillId="58" borderId="0" xfId="0" applyFont="1" applyFill="1" applyAlignment="1">
      <alignment horizontal="center" vertical="center"/>
    </xf>
    <xf numFmtId="208" fontId="11" fillId="58" borderId="0" xfId="28" applyNumberFormat="1" applyFont="1" applyFill="1" applyBorder="1" applyAlignment="1">
      <alignment horizontal="center"/>
    </xf>
    <xf numFmtId="170" fontId="4" fillId="0" borderId="40" xfId="42" applyNumberFormat="1" applyFont="1" applyBorder="1"/>
    <xf numFmtId="175" fontId="146" fillId="0" borderId="0" xfId="28" applyNumberFormat="1" applyFont="1" applyFill="1" applyBorder="1"/>
    <xf numFmtId="175" fontId="4" fillId="0" borderId="0" xfId="28" applyNumberFormat="1" applyFont="1" applyFill="1" applyBorder="1"/>
    <xf numFmtId="175" fontId="146" fillId="0" borderId="0" xfId="28" applyNumberFormat="1" applyFont="1"/>
    <xf numFmtId="175" fontId="145" fillId="0" borderId="0" xfId="28" applyNumberFormat="1" applyFont="1"/>
    <xf numFmtId="175" fontId="11" fillId="0" borderId="39" xfId="0" applyNumberFormat="1" applyFont="1" applyBorder="1"/>
    <xf numFmtId="175" fontId="4" fillId="0" borderId="41" xfId="0" applyNumberFormat="1" applyFont="1" applyBorder="1"/>
    <xf numFmtId="0" fontId="11" fillId="0" borderId="0" xfId="39" applyFont="1" applyAlignment="1">
      <alignment horizontal="center"/>
    </xf>
    <xf numFmtId="0" fontId="11" fillId="0" borderId="40" xfId="0" applyFont="1" applyBorder="1"/>
    <xf numFmtId="9" fontId="4" fillId="0" borderId="0" xfId="42" applyFont="1" applyBorder="1"/>
    <xf numFmtId="9" fontId="4" fillId="0" borderId="24" xfId="0" applyNumberFormat="1" applyFont="1" applyBorder="1"/>
    <xf numFmtId="170" fontId="118" fillId="43" borderId="0" xfId="0" applyNumberFormat="1" applyFont="1" applyFill="1"/>
    <xf numFmtId="0" fontId="123" fillId="51" borderId="24" xfId="0" applyFont="1" applyFill="1" applyBorder="1" applyAlignment="1">
      <alignment horizontal="center"/>
    </xf>
    <xf numFmtId="0" fontId="11" fillId="0" borderId="10" xfId="0" applyFont="1" applyBorder="1"/>
    <xf numFmtId="0" fontId="11" fillId="0" borderId="55" xfId="0" applyFont="1" applyBorder="1"/>
    <xf numFmtId="217" fontId="145" fillId="0" borderId="24" xfId="28" applyNumberFormat="1" applyFont="1" applyBorder="1"/>
    <xf numFmtId="217" fontId="11" fillId="0" borderId="0" xfId="28" applyNumberFormat="1" applyFont="1"/>
    <xf numFmtId="0" fontId="144" fillId="43" borderId="0" xfId="0" applyFont="1" applyFill="1"/>
    <xf numFmtId="0" fontId="4" fillId="0" borderId="0" xfId="39" applyFont="1"/>
    <xf numFmtId="169" fontId="4" fillId="0" borderId="0" xfId="39" applyNumberFormat="1" applyFont="1"/>
    <xf numFmtId="169" fontId="11" fillId="0" borderId="0" xfId="39" applyNumberFormat="1" applyFont="1" applyAlignment="1">
      <alignment horizontal="center"/>
    </xf>
    <xf numFmtId="169" fontId="11" fillId="0" borderId="0" xfId="39" applyNumberFormat="1" applyFont="1"/>
    <xf numFmtId="170" fontId="11" fillId="0" borderId="0" xfId="42" applyNumberFormat="1" applyFont="1" applyFill="1" applyBorder="1"/>
    <xf numFmtId="208" fontId="4" fillId="0" borderId="0" xfId="28" applyNumberFormat="1" applyFont="1" applyFill="1" applyBorder="1"/>
    <xf numFmtId="208" fontId="4" fillId="0" borderId="0" xfId="28" applyNumberFormat="1" applyFont="1" applyBorder="1"/>
    <xf numFmtId="208" fontId="11" fillId="0" borderId="0" xfId="28" applyNumberFormat="1" applyFont="1" applyFill="1" applyBorder="1"/>
    <xf numFmtId="0" fontId="4" fillId="0" borderId="40" xfId="0" applyFont="1" applyBorder="1" applyAlignment="1">
      <alignment horizontal="right"/>
    </xf>
    <xf numFmtId="0" fontId="4" fillId="0" borderId="0" xfId="0" applyFont="1" applyAlignment="1">
      <alignment vertical="center"/>
    </xf>
    <xf numFmtId="169" fontId="4" fillId="0" borderId="0" xfId="0" applyNumberFormat="1" applyFont="1" applyAlignment="1">
      <alignment horizontal="right"/>
    </xf>
    <xf numFmtId="169" fontId="4" fillId="0" borderId="40" xfId="0" applyNumberFormat="1" applyFont="1" applyBorder="1" applyAlignment="1">
      <alignment horizontal="right"/>
    </xf>
    <xf numFmtId="170" fontId="4" fillId="0" borderId="0" xfId="42" applyNumberFormat="1" applyFont="1" applyFill="1" applyBorder="1" applyAlignment="1">
      <alignment horizontal="right"/>
    </xf>
    <xf numFmtId="211" fontId="146" fillId="0" borderId="0" xfId="42" applyNumberFormat="1" applyFont="1" applyFill="1" applyBorder="1" applyAlignment="1">
      <alignment horizontal="right"/>
    </xf>
    <xf numFmtId="169" fontId="11" fillId="0" borderId="0" xfId="0" applyNumberFormat="1" applyFont="1" applyAlignment="1">
      <alignment horizontal="right"/>
    </xf>
    <xf numFmtId="169" fontId="11" fillId="0" borderId="40" xfId="0" applyNumberFormat="1" applyFont="1" applyBorder="1" applyAlignment="1">
      <alignment horizontal="right"/>
    </xf>
    <xf numFmtId="0" fontId="146" fillId="0" borderId="0" xfId="0" applyFont="1"/>
    <xf numFmtId="211" fontId="146" fillId="0" borderId="40" xfId="42" applyNumberFormat="1" applyFont="1" applyFill="1" applyBorder="1" applyAlignment="1">
      <alignment horizontal="right"/>
    </xf>
    <xf numFmtId="172" fontId="11" fillId="0" borderId="0" xfId="0" applyNumberFormat="1" applyFont="1" applyAlignment="1">
      <alignment horizontal="right"/>
    </xf>
    <xf numFmtId="172" fontId="4" fillId="0" borderId="0" xfId="0" applyNumberFormat="1" applyFont="1" applyAlignment="1">
      <alignment horizontal="right"/>
    </xf>
    <xf numFmtId="172" fontId="4" fillId="0" borderId="40" xfId="0" applyNumberFormat="1" applyFont="1" applyBorder="1" applyAlignment="1">
      <alignment horizontal="right"/>
    </xf>
    <xf numFmtId="170" fontId="11" fillId="0" borderId="0" xfId="42" applyNumberFormat="1" applyFont="1" applyFill="1" applyBorder="1" applyAlignment="1">
      <alignment horizontal="right"/>
    </xf>
    <xf numFmtId="169" fontId="4" fillId="0" borderId="0" xfId="39" applyNumberFormat="1" applyFont="1" applyAlignment="1">
      <alignment horizontal="right"/>
    </xf>
    <xf numFmtId="169" fontId="146" fillId="0" borderId="0" xfId="0" applyNumberFormat="1" applyFont="1" applyAlignment="1">
      <alignment horizontal="right"/>
    </xf>
    <xf numFmtId="169" fontId="4" fillId="0" borderId="40" xfId="39" applyNumberFormat="1" applyFont="1" applyBorder="1" applyAlignment="1">
      <alignment horizontal="right"/>
    </xf>
    <xf numFmtId="172" fontId="153" fillId="0" borderId="0" xfId="0" applyNumberFormat="1" applyFont="1"/>
    <xf numFmtId="170" fontId="153" fillId="0" borderId="0" xfId="0" applyNumberFormat="1" applyFont="1" applyAlignment="1">
      <alignment horizontal="right"/>
    </xf>
    <xf numFmtId="170" fontId="153" fillId="0" borderId="40" xfId="0" applyNumberFormat="1" applyFont="1" applyBorder="1" applyAlignment="1">
      <alignment horizontal="right"/>
    </xf>
    <xf numFmtId="38" fontId="4" fillId="0" borderId="0" xfId="28" applyNumberFormat="1" applyFont="1" applyFill="1" applyBorder="1" applyAlignment="1">
      <alignment horizontal="right"/>
    </xf>
    <xf numFmtId="169" fontId="146" fillId="0" borderId="0" xfId="39" applyNumberFormat="1" applyFont="1" applyAlignment="1">
      <alignment horizontal="right"/>
    </xf>
    <xf numFmtId="169" fontId="4" fillId="0" borderId="0" xfId="28" applyNumberFormat="1" applyFont="1" applyFill="1" applyBorder="1" applyAlignment="1">
      <alignment horizontal="right"/>
    </xf>
    <xf numFmtId="9" fontId="4" fillId="0" borderId="0" xfId="42" applyFont="1" applyFill="1" applyBorder="1" applyAlignment="1">
      <alignment horizontal="right"/>
    </xf>
    <xf numFmtId="169" fontId="145" fillId="0" borderId="0" xfId="0" applyNumberFormat="1" applyFont="1" applyAlignment="1">
      <alignment horizontal="right"/>
    </xf>
    <xf numFmtId="211" fontId="145" fillId="0" borderId="0" xfId="42" applyNumberFormat="1" applyFont="1" applyFill="1" applyBorder="1" applyAlignment="1">
      <alignment horizontal="right"/>
    </xf>
    <xf numFmtId="211" fontId="145" fillId="0" borderId="40" xfId="42" applyNumberFormat="1" applyFont="1" applyFill="1" applyBorder="1" applyAlignment="1">
      <alignment horizontal="right"/>
    </xf>
    <xf numFmtId="169" fontId="4" fillId="0" borderId="39" xfId="39" applyNumberFormat="1" applyFont="1" applyBorder="1" applyAlignment="1">
      <alignment horizontal="right"/>
    </xf>
    <xf numFmtId="169" fontId="4" fillId="0" borderId="0" xfId="42" applyNumberFormat="1" applyFont="1" applyBorder="1"/>
    <xf numFmtId="169" fontId="4" fillId="0" borderId="0" xfId="42" applyNumberFormat="1" applyFont="1" applyFill="1" applyBorder="1"/>
    <xf numFmtId="169" fontId="4" fillId="0" borderId="0" xfId="42" applyNumberFormat="1" applyFont="1" applyFill="1" applyBorder="1" applyAlignment="1">
      <alignment horizontal="right"/>
    </xf>
    <xf numFmtId="169" fontId="146" fillId="0" borderId="0" xfId="42" applyNumberFormat="1" applyFont="1" applyFill="1" applyBorder="1" applyAlignment="1">
      <alignment horizontal="right"/>
    </xf>
    <xf numFmtId="170" fontId="4" fillId="0" borderId="0" xfId="42" applyNumberFormat="1" applyFont="1" applyAlignment="1">
      <alignment horizontal="right"/>
    </xf>
    <xf numFmtId="169" fontId="4" fillId="0" borderId="40" xfId="42" applyNumberFormat="1" applyFont="1" applyFill="1" applyBorder="1" applyAlignment="1">
      <alignment horizontal="right"/>
    </xf>
    <xf numFmtId="40" fontId="4" fillId="0" borderId="0" xfId="28" applyFont="1" applyFill="1" applyBorder="1" applyAlignment="1">
      <alignment horizontal="right"/>
    </xf>
    <xf numFmtId="208" fontId="146" fillId="0" borderId="0" xfId="28" applyNumberFormat="1" applyFont="1" applyFill="1" applyBorder="1" applyAlignment="1">
      <alignment horizontal="right"/>
    </xf>
    <xf numFmtId="170" fontId="146" fillId="0" borderId="0" xfId="42" applyNumberFormat="1" applyFont="1" applyFill="1" applyBorder="1" applyAlignment="1">
      <alignment horizontal="right"/>
    </xf>
    <xf numFmtId="170" fontId="146" fillId="0" borderId="40" xfId="42" applyNumberFormat="1" applyFont="1" applyFill="1" applyBorder="1" applyAlignment="1">
      <alignment horizontal="right"/>
    </xf>
    <xf numFmtId="2" fontId="146" fillId="0" borderId="0" xfId="42" applyNumberFormat="1" applyFont="1" applyFill="1" applyBorder="1" applyAlignment="1">
      <alignment horizontal="right"/>
    </xf>
    <xf numFmtId="0" fontId="149" fillId="0" borderId="0" xfId="0" applyFont="1"/>
    <xf numFmtId="177" fontId="4" fillId="0" borderId="0" xfId="42" applyNumberFormat="1" applyFont="1" applyFill="1" applyBorder="1" applyAlignment="1">
      <alignment horizontal="right"/>
    </xf>
    <xf numFmtId="225" fontId="4" fillId="0" borderId="0" xfId="42" applyNumberFormat="1" applyFont="1" applyFill="1" applyBorder="1" applyAlignment="1">
      <alignment horizontal="right"/>
    </xf>
    <xf numFmtId="177" fontId="4" fillId="0" borderId="40" xfId="42" applyNumberFormat="1" applyFont="1" applyFill="1" applyBorder="1" applyAlignment="1">
      <alignment horizontal="right"/>
    </xf>
    <xf numFmtId="0" fontId="11" fillId="21" borderId="0" xfId="0" applyFont="1" applyFill="1"/>
    <xf numFmtId="169" fontId="11" fillId="21" borderId="0" xfId="42" applyNumberFormat="1" applyFont="1" applyFill="1" applyBorder="1" applyAlignment="1">
      <alignment horizontal="right"/>
    </xf>
    <xf numFmtId="169" fontId="11" fillId="21" borderId="40" xfId="42" applyNumberFormat="1" applyFont="1" applyFill="1" applyBorder="1" applyAlignment="1">
      <alignment horizontal="right"/>
    </xf>
    <xf numFmtId="211" fontId="11" fillId="0" borderId="0" xfId="42" applyNumberFormat="1" applyFont="1" applyFill="1" applyBorder="1" applyAlignment="1">
      <alignment horizontal="right"/>
    </xf>
    <xf numFmtId="0" fontId="4" fillId="0" borderId="0" xfId="0" quotePrefix="1" applyFont="1"/>
    <xf numFmtId="173" fontId="4" fillId="0" borderId="0" xfId="0" applyNumberFormat="1" applyFont="1" applyAlignment="1">
      <alignment horizontal="right"/>
    </xf>
    <xf numFmtId="173" fontId="4" fillId="0" borderId="40" xfId="0" applyNumberFormat="1" applyFont="1" applyBorder="1" applyAlignment="1">
      <alignment horizontal="right"/>
    </xf>
    <xf numFmtId="208" fontId="4" fillId="0" borderId="0" xfId="28" applyNumberFormat="1" applyFont="1" applyFill="1" applyBorder="1" applyAlignment="1">
      <alignment horizontal="right"/>
    </xf>
    <xf numFmtId="208" fontId="4" fillId="0" borderId="40" xfId="28" applyNumberFormat="1" applyFont="1" applyFill="1" applyBorder="1" applyAlignment="1">
      <alignment horizontal="right"/>
    </xf>
    <xf numFmtId="172" fontId="118" fillId="0" borderId="0" xfId="0" applyNumberFormat="1" applyFont="1" applyAlignment="1">
      <alignment horizontal="right"/>
    </xf>
    <xf numFmtId="172" fontId="146" fillId="0" borderId="0" xfId="0" applyNumberFormat="1" applyFont="1" applyAlignment="1">
      <alignment horizontal="right"/>
    </xf>
    <xf numFmtId="172" fontId="146" fillId="0" borderId="40" xfId="0" applyNumberFormat="1" applyFont="1" applyBorder="1" applyAlignment="1">
      <alignment horizontal="right"/>
    </xf>
    <xf numFmtId="0" fontId="141" fillId="0" borderId="0" xfId="0" applyFont="1"/>
    <xf numFmtId="169" fontId="118" fillId="0" borderId="0" xfId="0" applyNumberFormat="1" applyFont="1" applyAlignment="1">
      <alignment horizontal="right"/>
    </xf>
    <xf numFmtId="169" fontId="118" fillId="43" borderId="0" xfId="0" applyNumberFormat="1" applyFont="1" applyFill="1" applyAlignment="1">
      <alignment horizontal="right"/>
    </xf>
    <xf numFmtId="169" fontId="4" fillId="43" borderId="0" xfId="0" applyNumberFormat="1" applyFont="1" applyFill="1" applyAlignment="1">
      <alignment horizontal="right"/>
    </xf>
    <xf numFmtId="169" fontId="11" fillId="21" borderId="0" xfId="0" applyNumberFormat="1" applyFont="1" applyFill="1" applyAlignment="1">
      <alignment horizontal="right"/>
    </xf>
    <xf numFmtId="169" fontId="11" fillId="21" borderId="40" xfId="0" applyNumberFormat="1" applyFont="1" applyFill="1" applyBorder="1" applyAlignment="1">
      <alignment horizontal="right"/>
    </xf>
    <xf numFmtId="173" fontId="4" fillId="0" borderId="0" xfId="42" applyNumberFormat="1" applyFont="1" applyFill="1" applyBorder="1" applyAlignment="1">
      <alignment horizontal="right"/>
    </xf>
    <xf numFmtId="173" fontId="4" fillId="0" borderId="40" xfId="42" applyNumberFormat="1" applyFont="1" applyFill="1" applyBorder="1" applyAlignment="1">
      <alignment horizontal="right"/>
    </xf>
    <xf numFmtId="173" fontId="118" fillId="43" borderId="0" xfId="42" applyNumberFormat="1" applyFont="1" applyFill="1" applyBorder="1" applyAlignment="1">
      <alignment horizontal="right"/>
    </xf>
    <xf numFmtId="9" fontId="12" fillId="0" borderId="0" xfId="42" applyFont="1" applyFill="1" applyBorder="1" applyAlignment="1">
      <alignment horizontal="right"/>
    </xf>
    <xf numFmtId="170" fontId="4" fillId="0" borderId="0" xfId="0" applyNumberFormat="1" applyFont="1" applyAlignment="1">
      <alignment horizontal="right"/>
    </xf>
    <xf numFmtId="170" fontId="4" fillId="0" borderId="40" xfId="0" applyNumberFormat="1" applyFont="1" applyBorder="1" applyAlignment="1">
      <alignment horizontal="right"/>
    </xf>
    <xf numFmtId="169" fontId="11" fillId="0" borderId="0" xfId="42" applyNumberFormat="1" applyFont="1" applyFill="1" applyBorder="1" applyAlignment="1">
      <alignment horizontal="right"/>
    </xf>
    <xf numFmtId="173" fontId="11" fillId="0" borderId="0" xfId="42" applyNumberFormat="1" applyFont="1" applyFill="1" applyBorder="1" applyAlignment="1">
      <alignment horizontal="right"/>
    </xf>
    <xf numFmtId="173" fontId="11" fillId="0" borderId="40" xfId="42" applyNumberFormat="1" applyFont="1" applyFill="1" applyBorder="1" applyAlignment="1">
      <alignment horizontal="right"/>
    </xf>
    <xf numFmtId="170" fontId="4" fillId="0" borderId="0" xfId="39" applyNumberFormat="1" applyFont="1" applyAlignment="1">
      <alignment horizontal="right"/>
    </xf>
    <xf numFmtId="170" fontId="4" fillId="0" borderId="40" xfId="39" applyNumberFormat="1" applyFont="1" applyBorder="1" applyAlignment="1">
      <alignment horizontal="right"/>
    </xf>
    <xf numFmtId="0" fontId="4" fillId="0" borderId="40" xfId="39" applyFont="1" applyBorder="1"/>
    <xf numFmtId="40" fontId="4" fillId="0" borderId="0" xfId="28" applyFont="1" applyBorder="1"/>
    <xf numFmtId="0" fontId="26" fillId="0" borderId="0" xfId="0" applyFont="1"/>
    <xf numFmtId="9" fontId="146" fillId="0" borderId="0" xfId="42" applyFont="1" applyFill="1" applyBorder="1" applyAlignment="1">
      <alignment horizontal="right"/>
    </xf>
    <xf numFmtId="9" fontId="146" fillId="0" borderId="40" xfId="42" applyFont="1" applyFill="1" applyBorder="1" applyAlignment="1">
      <alignment horizontal="right"/>
    </xf>
    <xf numFmtId="172" fontId="154" fillId="0" borderId="0" xfId="0" applyNumberFormat="1" applyFont="1" applyAlignment="1">
      <alignment horizontal="right"/>
    </xf>
    <xf numFmtId="0" fontId="154" fillId="0" borderId="0" xfId="0" applyFont="1"/>
    <xf numFmtId="172" fontId="4" fillId="0" borderId="0" xfId="0" applyNumberFormat="1" applyFont="1"/>
    <xf numFmtId="172" fontId="11" fillId="0" borderId="0" xfId="0" applyNumberFormat="1" applyFont="1"/>
    <xf numFmtId="0" fontId="11" fillId="0" borderId="0" xfId="42" applyNumberFormat="1" applyFont="1" applyFill="1" applyBorder="1" applyAlignment="1">
      <alignment horizontal="right"/>
    </xf>
    <xf numFmtId="9" fontId="11" fillId="0" borderId="0" xfId="42" applyFont="1" applyFill="1" applyBorder="1" applyAlignment="1">
      <alignment horizontal="right"/>
    </xf>
    <xf numFmtId="172" fontId="11" fillId="0" borderId="0" xfId="42" applyNumberFormat="1" applyFont="1" applyFill="1" applyBorder="1" applyAlignment="1">
      <alignment horizontal="right"/>
    </xf>
    <xf numFmtId="172" fontId="11" fillId="0" borderId="40" xfId="0" applyNumberFormat="1" applyFont="1" applyBorder="1" applyAlignment="1">
      <alignment horizontal="right"/>
    </xf>
    <xf numFmtId="175" fontId="4" fillId="24" borderId="0" xfId="0" applyNumberFormat="1" applyFont="1" applyFill="1" applyAlignment="1">
      <alignment horizontal="right"/>
    </xf>
    <xf numFmtId="175" fontId="146" fillId="43" borderId="0" xfId="0" applyNumberFormat="1" applyFont="1" applyFill="1" applyAlignment="1">
      <alignment horizontal="right"/>
    </xf>
    <xf numFmtId="170" fontId="11" fillId="0" borderId="40" xfId="42" applyNumberFormat="1" applyFont="1" applyFill="1" applyBorder="1" applyAlignment="1">
      <alignment horizontal="right"/>
    </xf>
    <xf numFmtId="174" fontId="4" fillId="0" borderId="0" xfId="42" applyNumberFormat="1" applyFont="1" applyFill="1" applyBorder="1" applyAlignment="1">
      <alignment horizontal="right"/>
    </xf>
    <xf numFmtId="174" fontId="150" fillId="0" borderId="0" xfId="42" applyNumberFormat="1" applyFont="1" applyFill="1" applyBorder="1" applyAlignment="1">
      <alignment horizontal="right"/>
    </xf>
    <xf numFmtId="174" fontId="4" fillId="0" borderId="40" xfId="42" applyNumberFormat="1" applyFont="1" applyFill="1" applyBorder="1" applyAlignment="1">
      <alignment horizontal="right"/>
    </xf>
    <xf numFmtId="170" fontId="4" fillId="0" borderId="40" xfId="42" applyNumberFormat="1" applyFont="1" applyFill="1" applyBorder="1" applyAlignment="1">
      <alignment horizontal="right"/>
    </xf>
    <xf numFmtId="0" fontId="118" fillId="0" borderId="0" xfId="0" applyFont="1" applyAlignment="1">
      <alignment horizontal="right"/>
    </xf>
    <xf numFmtId="0" fontId="148" fillId="0" borderId="0" xfId="0" applyFont="1"/>
    <xf numFmtId="172" fontId="147" fillId="0" borderId="0" xfId="0" applyNumberFormat="1" applyFont="1" applyAlignment="1">
      <alignment horizontal="right"/>
    </xf>
    <xf numFmtId="172" fontId="147" fillId="0" borderId="40" xfId="0" applyNumberFormat="1" applyFont="1" applyBorder="1" applyAlignment="1">
      <alignment horizontal="right"/>
    </xf>
    <xf numFmtId="0" fontId="147" fillId="0" borderId="0" xfId="0" applyFont="1"/>
    <xf numFmtId="171" fontId="123" fillId="40" borderId="0" xfId="0" applyNumberFormat="1" applyFont="1" applyFill="1" applyAlignment="1">
      <alignment horizontal="right"/>
    </xf>
    <xf numFmtId="171" fontId="123" fillId="40" borderId="40" xfId="0" applyNumberFormat="1" applyFont="1" applyFill="1" applyBorder="1" applyAlignment="1">
      <alignment horizontal="right"/>
    </xf>
    <xf numFmtId="170" fontId="150" fillId="0" borderId="0" xfId="0" applyNumberFormat="1" applyFont="1" applyAlignment="1">
      <alignment horizontal="right"/>
    </xf>
    <xf numFmtId="208" fontId="150" fillId="0" borderId="0" xfId="28" applyNumberFormat="1" applyFont="1" applyFill="1" applyBorder="1" applyAlignment="1">
      <alignment horizontal="right"/>
    </xf>
    <xf numFmtId="208" fontId="123" fillId="0" borderId="0" xfId="28" applyNumberFormat="1" applyFont="1" applyFill="1" applyBorder="1" applyAlignment="1">
      <alignment horizontal="right"/>
    </xf>
    <xf numFmtId="208" fontId="118" fillId="43" borderId="0" xfId="28" applyNumberFormat="1" applyFont="1" applyFill="1" applyBorder="1" applyAlignment="1">
      <alignment horizontal="right"/>
    </xf>
    <xf numFmtId="208" fontId="146" fillId="43" borderId="0" xfId="28" applyNumberFormat="1" applyFont="1" applyFill="1" applyBorder="1" applyAlignment="1">
      <alignment horizontal="right"/>
    </xf>
    <xf numFmtId="170" fontId="118" fillId="0" borderId="0" xfId="0" applyNumberFormat="1" applyFont="1" applyAlignment="1">
      <alignment horizontal="right"/>
    </xf>
    <xf numFmtId="208" fontId="11" fillId="0" borderId="0" xfId="28" applyNumberFormat="1" applyFont="1" applyFill="1" applyBorder="1" applyAlignment="1"/>
    <xf numFmtId="208" fontId="11" fillId="0" borderId="0" xfId="28" applyNumberFormat="1" applyFont="1" applyFill="1" applyBorder="1" applyAlignment="1">
      <alignment horizontal="right"/>
    </xf>
    <xf numFmtId="208" fontId="152" fillId="0" borderId="0" xfId="28" applyNumberFormat="1" applyFont="1" applyFill="1" applyBorder="1" applyAlignment="1">
      <alignment horizontal="right"/>
    </xf>
    <xf numFmtId="208" fontId="11" fillId="0" borderId="40" xfId="28" applyNumberFormat="1" applyFont="1" applyFill="1" applyBorder="1" applyAlignment="1">
      <alignment horizontal="right"/>
    </xf>
    <xf numFmtId="208" fontId="144" fillId="0" borderId="0" xfId="28" applyNumberFormat="1" applyFont="1" applyFill="1" applyBorder="1" applyAlignment="1">
      <alignment horizontal="right"/>
    </xf>
    <xf numFmtId="2" fontId="4" fillId="0" borderId="0" xfId="0" applyNumberFormat="1" applyFont="1" applyAlignment="1">
      <alignment horizontal="right"/>
    </xf>
    <xf numFmtId="2" fontId="4" fillId="0" borderId="40" xfId="0" applyNumberFormat="1" applyFont="1" applyBorder="1" applyAlignment="1">
      <alignment horizontal="right"/>
    </xf>
    <xf numFmtId="37" fontId="4" fillId="0" borderId="0" xfId="0" applyNumberFormat="1" applyFont="1" applyAlignment="1">
      <alignment horizontal="right"/>
    </xf>
    <xf numFmtId="37" fontId="4" fillId="0" borderId="40" xfId="0" applyNumberFormat="1" applyFont="1" applyBorder="1" applyAlignment="1">
      <alignment horizontal="right"/>
    </xf>
    <xf numFmtId="0" fontId="123" fillId="40" borderId="0" xfId="0" applyFont="1" applyFill="1"/>
    <xf numFmtId="171" fontId="124" fillId="40" borderId="0" xfId="0" applyNumberFormat="1" applyFont="1" applyFill="1" applyAlignment="1">
      <alignment horizontal="right"/>
    </xf>
    <xf numFmtId="49" fontId="124" fillId="40" borderId="0" xfId="28" applyNumberFormat="1" applyFont="1" applyFill="1" applyBorder="1" applyAlignment="1">
      <alignment horizontal="right"/>
    </xf>
    <xf numFmtId="0" fontId="8" fillId="0" borderId="0" xfId="0" applyFont="1"/>
    <xf numFmtId="169" fontId="146" fillId="0" borderId="40" xfId="0" applyNumberFormat="1" applyFont="1" applyBorder="1" applyAlignment="1">
      <alignment horizontal="right"/>
    </xf>
    <xf numFmtId="169" fontId="4" fillId="0" borderId="0" xfId="46" applyNumberFormat="1" applyFont="1" applyAlignment="1">
      <alignment horizontal="right"/>
    </xf>
    <xf numFmtId="0" fontId="8" fillId="59" borderId="0" xfId="0" applyFont="1" applyFill="1"/>
    <xf numFmtId="0" fontId="4" fillId="59" borderId="0" xfId="0" applyFont="1" applyFill="1" applyAlignment="1">
      <alignment horizontal="right"/>
    </xf>
    <xf numFmtId="169" fontId="4" fillId="59" borderId="40" xfId="0" applyNumberFormat="1" applyFont="1" applyFill="1" applyBorder="1" applyAlignment="1">
      <alignment horizontal="right"/>
    </xf>
    <xf numFmtId="169" fontId="4" fillId="59" borderId="0" xfId="0" applyNumberFormat="1" applyFont="1" applyFill="1" applyAlignment="1">
      <alignment horizontal="right"/>
    </xf>
    <xf numFmtId="0" fontId="4" fillId="59" borderId="0" xfId="0" applyFont="1" applyFill="1"/>
    <xf numFmtId="0" fontId="4" fillId="59" borderId="40" xfId="0" applyFont="1" applyFill="1" applyBorder="1" applyAlignment="1">
      <alignment horizontal="right"/>
    </xf>
    <xf numFmtId="0" fontId="4" fillId="59" borderId="0" xfId="39" applyFont="1" applyFill="1"/>
    <xf numFmtId="0" fontId="4" fillId="59" borderId="0" xfId="46" applyFont="1" applyFill="1"/>
    <xf numFmtId="1" fontId="4" fillId="59" borderId="0" xfId="0" applyNumberFormat="1" applyFont="1" applyFill="1" applyAlignment="1">
      <alignment horizontal="right"/>
    </xf>
    <xf numFmtId="170" fontId="4" fillId="59" borderId="0" xfId="42" applyNumberFormat="1" applyFont="1" applyFill="1" applyBorder="1" applyAlignment="1">
      <alignment horizontal="right"/>
    </xf>
    <xf numFmtId="0" fontId="155" fillId="59" borderId="0" xfId="0" applyFont="1" applyFill="1"/>
    <xf numFmtId="0" fontId="156" fillId="59" borderId="0" xfId="0" applyFont="1" applyFill="1"/>
    <xf numFmtId="172" fontId="4" fillId="59" borderId="0" xfId="0" applyNumberFormat="1" applyFont="1" applyFill="1" applyAlignment="1">
      <alignment horizontal="right"/>
    </xf>
    <xf numFmtId="170" fontId="118" fillId="59" borderId="0" xfId="42" applyNumberFormat="1" applyFont="1" applyFill="1" applyBorder="1" applyAlignment="1">
      <alignment horizontal="right"/>
    </xf>
    <xf numFmtId="170" fontId="4" fillId="59" borderId="0" xfId="0" applyNumberFormat="1" applyFont="1" applyFill="1" applyAlignment="1">
      <alignment horizontal="right"/>
    </xf>
    <xf numFmtId="37" fontId="124" fillId="40" borderId="0" xfId="0" applyNumberFormat="1" applyFont="1" applyFill="1" applyAlignment="1">
      <alignment horizontal="right"/>
    </xf>
    <xf numFmtId="169" fontId="146" fillId="36" borderId="0" xfId="0" applyNumberFormat="1" applyFont="1" applyFill="1" applyAlignment="1">
      <alignment horizontal="right"/>
    </xf>
    <xf numFmtId="172" fontId="146" fillId="36" borderId="0" xfId="0" applyNumberFormat="1" applyFont="1" applyFill="1" applyAlignment="1">
      <alignment horizontal="right"/>
    </xf>
    <xf numFmtId="0" fontId="11" fillId="0" borderId="0" xfId="0" applyFont="1" applyAlignment="1">
      <alignment horizontal="right"/>
    </xf>
    <xf numFmtId="0" fontId="11" fillId="0" borderId="40" xfId="0" applyFont="1" applyBorder="1" applyAlignment="1">
      <alignment horizontal="right"/>
    </xf>
    <xf numFmtId="0" fontId="123" fillId="51" borderId="0" xfId="0" applyFont="1" applyFill="1" applyAlignment="1">
      <alignment horizontal="right"/>
    </xf>
    <xf numFmtId="0" fontId="123" fillId="51" borderId="40" xfId="0" applyFont="1" applyFill="1" applyBorder="1" applyAlignment="1">
      <alignment horizontal="right"/>
    </xf>
    <xf numFmtId="0" fontId="157" fillId="51" borderId="0" xfId="0" applyFont="1" applyFill="1" applyAlignment="1">
      <alignment horizontal="left"/>
    </xf>
    <xf numFmtId="0" fontId="123" fillId="51" borderId="0" xfId="0" applyFont="1" applyFill="1" applyAlignment="1">
      <alignment horizontal="left"/>
    </xf>
    <xf numFmtId="1" fontId="158" fillId="51" borderId="0" xfId="0" applyNumberFormat="1" applyFont="1" applyFill="1" applyAlignment="1">
      <alignment vertical="center"/>
    </xf>
    <xf numFmtId="168" fontId="123" fillId="51" borderId="0" xfId="0" applyNumberFormat="1" applyFont="1" applyFill="1" applyAlignment="1">
      <alignment horizontal="right"/>
    </xf>
    <xf numFmtId="168" fontId="123" fillId="51" borderId="40" xfId="0" applyNumberFormat="1" applyFont="1" applyFill="1" applyBorder="1" applyAlignment="1">
      <alignment horizontal="right"/>
    </xf>
    <xf numFmtId="0" fontId="124" fillId="51" borderId="0" xfId="0" applyFont="1" applyFill="1" applyAlignment="1">
      <alignment vertical="center"/>
    </xf>
    <xf numFmtId="0" fontId="124" fillId="51" borderId="0" xfId="0" applyFont="1" applyFill="1" applyAlignment="1">
      <alignment horizontal="right" vertical="center"/>
    </xf>
    <xf numFmtId="0" fontId="124" fillId="51" borderId="40" xfId="0" applyFont="1" applyFill="1" applyBorder="1" applyAlignment="1">
      <alignment horizontal="right" vertical="center"/>
    </xf>
    <xf numFmtId="0" fontId="11" fillId="58" borderId="0" xfId="31" applyFont="1" applyFill="1"/>
    <xf numFmtId="0" fontId="11" fillId="58" borderId="0" xfId="31" applyFont="1" applyFill="1" applyAlignment="1">
      <alignment horizontal="right"/>
    </xf>
    <xf numFmtId="0" fontId="11" fillId="58" borderId="40" xfId="31" applyFont="1" applyFill="1" applyBorder="1" applyAlignment="1">
      <alignment horizontal="right"/>
    </xf>
    <xf numFmtId="170" fontId="11" fillId="58" borderId="0" xfId="31" applyNumberFormat="1" applyFont="1" applyFill="1" applyAlignment="1">
      <alignment horizontal="right"/>
    </xf>
    <xf numFmtId="170" fontId="11" fillId="58" borderId="0" xfId="398" applyNumberFormat="1" applyFont="1" applyFill="1" applyAlignment="1">
      <alignment horizontal="right"/>
    </xf>
    <xf numFmtId="169" fontId="11" fillId="22" borderId="0" xfId="0" applyNumberFormat="1" applyFont="1" applyFill="1"/>
    <xf numFmtId="169" fontId="11" fillId="22" borderId="0" xfId="0" applyNumberFormat="1" applyFont="1" applyFill="1" applyAlignment="1">
      <alignment horizontal="right"/>
    </xf>
    <xf numFmtId="169" fontId="11" fillId="22" borderId="40" xfId="0" applyNumberFormat="1" applyFont="1" applyFill="1" applyBorder="1" applyAlignment="1">
      <alignment horizontal="right"/>
    </xf>
    <xf numFmtId="169" fontId="145" fillId="22" borderId="0" xfId="0" applyNumberFormat="1" applyFont="1" applyFill="1" applyAlignment="1">
      <alignment horizontal="right"/>
    </xf>
    <xf numFmtId="170" fontId="4" fillId="0" borderId="0" xfId="42" applyNumberFormat="1" applyFont="1" applyBorder="1" applyAlignment="1">
      <alignment horizontal="right"/>
    </xf>
    <xf numFmtId="0" fontId="4" fillId="58" borderId="0" xfId="31" applyFont="1" applyFill="1" applyAlignment="1">
      <alignment horizontal="right"/>
    </xf>
    <xf numFmtId="0" fontId="4" fillId="58" borderId="40" xfId="31" applyFont="1" applyFill="1" applyBorder="1" applyAlignment="1">
      <alignment horizontal="right"/>
    </xf>
    <xf numFmtId="172" fontId="4" fillId="58" borderId="0" xfId="31" applyNumberFormat="1" applyFont="1" applyFill="1" applyAlignment="1">
      <alignment horizontal="right"/>
    </xf>
    <xf numFmtId="171" fontId="4" fillId="58" borderId="0" xfId="0" applyNumberFormat="1" applyFont="1" applyFill="1" applyAlignment="1">
      <alignment horizontal="right"/>
    </xf>
    <xf numFmtId="171" fontId="4" fillId="58" borderId="40" xfId="0" applyNumberFormat="1" applyFont="1" applyFill="1" applyBorder="1" applyAlignment="1">
      <alignment horizontal="right"/>
    </xf>
    <xf numFmtId="0" fontId="4" fillId="58" borderId="40" xfId="0" applyFont="1" applyFill="1" applyBorder="1"/>
    <xf numFmtId="0" fontId="4" fillId="58" borderId="24" xfId="0" applyFont="1" applyFill="1" applyBorder="1"/>
    <xf numFmtId="0" fontId="124" fillId="0" borderId="0" xfId="39" applyFont="1" applyAlignment="1">
      <alignment horizontal="center"/>
    </xf>
    <xf numFmtId="170" fontId="118" fillId="0" borderId="0" xfId="42" applyNumberFormat="1" applyFont="1" applyFill="1"/>
    <xf numFmtId="208" fontId="118" fillId="0" borderId="0" xfId="28" applyNumberFormat="1" applyFont="1" applyFill="1"/>
    <xf numFmtId="40" fontId="11" fillId="0" borderId="0" xfId="28" applyFont="1" applyFill="1" applyBorder="1" applyAlignment="1">
      <alignment horizontal="center"/>
    </xf>
    <xf numFmtId="175" fontId="145" fillId="0" borderId="0" xfId="28" applyNumberFormat="1" applyFont="1" applyBorder="1"/>
    <xf numFmtId="0" fontId="145" fillId="0" borderId="0" xfId="0" applyFont="1"/>
    <xf numFmtId="217" fontId="145" fillId="0" borderId="0" xfId="28" applyNumberFormat="1" applyFont="1"/>
    <xf numFmtId="229" fontId="145" fillId="0" borderId="0" xfId="42" applyNumberFormat="1" applyFont="1" applyFill="1" applyBorder="1" applyAlignment="1">
      <alignment horizontal="right"/>
    </xf>
    <xf numFmtId="0" fontId="159" fillId="0" borderId="0" xfId="0" applyFont="1"/>
    <xf numFmtId="14" fontId="159" fillId="0" borderId="0" xfId="0" applyNumberFormat="1" applyFont="1"/>
    <xf numFmtId="0" fontId="162" fillId="0" borderId="0" xfId="0" applyFont="1"/>
    <xf numFmtId="170" fontId="159" fillId="0" borderId="0" xfId="42" applyNumberFormat="1" applyFont="1" applyFill="1" applyBorder="1"/>
    <xf numFmtId="0" fontId="164" fillId="0" borderId="0" xfId="0" applyFont="1"/>
    <xf numFmtId="169" fontId="159" fillId="0" borderId="0" xfId="0" applyNumberFormat="1" applyFont="1"/>
    <xf numFmtId="170" fontId="159" fillId="0" borderId="0" xfId="42" applyNumberFormat="1" applyFont="1"/>
    <xf numFmtId="169" fontId="159" fillId="0" borderId="0" xfId="0" applyNumberFormat="1" applyFont="1" applyAlignment="1">
      <alignment horizontal="center"/>
    </xf>
    <xf numFmtId="169" fontId="162" fillId="0" borderId="0" xfId="0" applyNumberFormat="1" applyFont="1" applyAlignment="1">
      <alignment horizontal="center"/>
    </xf>
    <xf numFmtId="0" fontId="178" fillId="51" borderId="44" xfId="0" quotePrefix="1" applyFont="1" applyFill="1" applyBorder="1" applyAlignment="1">
      <alignment horizontal="left"/>
    </xf>
    <xf numFmtId="0" fontId="178" fillId="51" borderId="46" xfId="0" applyFont="1" applyFill="1" applyBorder="1" applyAlignment="1">
      <alignment horizontal="center"/>
    </xf>
    <xf numFmtId="0" fontId="178" fillId="51" borderId="47" xfId="0" applyFont="1" applyFill="1" applyBorder="1" applyAlignment="1">
      <alignment horizontal="center"/>
    </xf>
    <xf numFmtId="0" fontId="178" fillId="51" borderId="48" xfId="0" quotePrefix="1" applyFont="1" applyFill="1" applyBorder="1" applyAlignment="1">
      <alignment horizontal="left"/>
    </xf>
    <xf numFmtId="0" fontId="178" fillId="51" borderId="0" xfId="0" applyFont="1" applyFill="1" applyAlignment="1">
      <alignment horizontal="center"/>
    </xf>
    <xf numFmtId="0" fontId="178" fillId="51" borderId="41" xfId="0" applyFont="1" applyFill="1" applyBorder="1" applyAlignment="1">
      <alignment horizontal="center"/>
    </xf>
    <xf numFmtId="0" fontId="162" fillId="36" borderId="48" xfId="416" applyFont="1" applyFill="1" applyBorder="1"/>
    <xf numFmtId="0" fontId="162" fillId="36" borderId="0" xfId="0" applyFont="1" applyFill="1" applyAlignment="1">
      <alignment wrapText="1"/>
    </xf>
    <xf numFmtId="3" fontId="162" fillId="36" borderId="0" xfId="416" quotePrefix="1" applyNumberFormat="1" applyFont="1" applyFill="1" applyAlignment="1">
      <alignment horizontal="center"/>
    </xf>
    <xf numFmtId="0" fontId="162" fillId="36" borderId="0" xfId="0" quotePrefix="1" applyFont="1" applyFill="1" applyAlignment="1">
      <alignment wrapText="1"/>
    </xf>
    <xf numFmtId="0" fontId="162" fillId="36" borderId="0" xfId="0" quotePrefix="1" applyFont="1" applyFill="1" applyAlignment="1">
      <alignment horizontal="center" wrapText="1"/>
    </xf>
    <xf numFmtId="0" fontId="159" fillId="36" borderId="0" xfId="0" applyFont="1" applyFill="1"/>
    <xf numFmtId="0" fontId="162" fillId="36" borderId="0" xfId="0" applyFont="1" applyFill="1"/>
    <xf numFmtId="0" fontId="162" fillId="36" borderId="0" xfId="416" applyFont="1" applyFill="1"/>
    <xf numFmtId="0" fontId="162" fillId="36" borderId="41" xfId="0" applyFont="1" applyFill="1" applyBorder="1"/>
    <xf numFmtId="0" fontId="162" fillId="36" borderId="0" xfId="416" applyFont="1" applyFill="1" applyAlignment="1">
      <alignment horizontal="center"/>
    </xf>
    <xf numFmtId="0" fontId="162" fillId="36" borderId="41" xfId="416" applyFont="1" applyFill="1" applyBorder="1" applyAlignment="1">
      <alignment horizontal="center"/>
    </xf>
    <xf numFmtId="0" fontId="159" fillId="36" borderId="48" xfId="0" applyFont="1" applyFill="1" applyBorder="1"/>
    <xf numFmtId="216" fontId="159" fillId="36" borderId="0" xfId="395" applyNumberFormat="1" applyFont="1" applyFill="1" applyBorder="1" applyAlignment="1">
      <alignment horizontal="center"/>
    </xf>
    <xf numFmtId="217" fontId="162" fillId="36" borderId="0" xfId="395" applyNumberFormat="1" applyFont="1" applyFill="1" applyBorder="1" applyAlignment="1">
      <alignment horizontal="center"/>
    </xf>
    <xf numFmtId="38" fontId="159" fillId="36" borderId="0" xfId="395" applyNumberFormat="1" applyFont="1" applyFill="1" applyBorder="1" applyAlignment="1">
      <alignment horizontal="center"/>
    </xf>
    <xf numFmtId="9" fontId="159" fillId="36" borderId="41" xfId="42" applyFont="1" applyFill="1" applyBorder="1" applyAlignment="1">
      <alignment horizontal="center"/>
    </xf>
    <xf numFmtId="0" fontId="162" fillId="36" borderId="48" xfId="0" quotePrefix="1" applyFont="1" applyFill="1" applyBorder="1" applyAlignment="1">
      <alignment horizontal="left"/>
    </xf>
    <xf numFmtId="38" fontId="162" fillId="36" borderId="0" xfId="395" applyNumberFormat="1" applyFont="1" applyFill="1" applyBorder="1" applyAlignment="1">
      <alignment horizontal="center"/>
    </xf>
    <xf numFmtId="217" fontId="179" fillId="36" borderId="0" xfId="395" applyNumberFormat="1" applyFont="1" applyFill="1" applyBorder="1" applyAlignment="1">
      <alignment horizontal="center"/>
    </xf>
    <xf numFmtId="0" fontId="159" fillId="36" borderId="41" xfId="0" applyFont="1" applyFill="1" applyBorder="1"/>
    <xf numFmtId="0" fontId="159" fillId="36" borderId="48" xfId="0" quotePrefix="1" applyFont="1" applyFill="1" applyBorder="1" applyAlignment="1">
      <alignment horizontal="left"/>
    </xf>
    <xf numFmtId="38" fontId="159" fillId="0" borderId="0" xfId="28" applyNumberFormat="1" applyFont="1"/>
    <xf numFmtId="0" fontId="159" fillId="36" borderId="48" xfId="416" applyFont="1" applyFill="1" applyBorder="1"/>
    <xf numFmtId="38" fontId="159" fillId="0" borderId="0" xfId="0" applyNumberFormat="1" applyFont="1"/>
    <xf numFmtId="3" fontId="159" fillId="36" borderId="48" xfId="416" applyNumberFormat="1" applyFont="1" applyFill="1" applyBorder="1"/>
    <xf numFmtId="40" fontId="159" fillId="36" borderId="0" xfId="395" applyFont="1" applyFill="1" applyBorder="1" applyAlignment="1">
      <alignment horizontal="center"/>
    </xf>
    <xf numFmtId="170" fontId="159" fillId="36" borderId="41" xfId="42" applyNumberFormat="1" applyFont="1" applyFill="1" applyBorder="1"/>
    <xf numFmtId="0" fontId="159" fillId="36" borderId="48" xfId="416" applyFont="1" applyFill="1" applyBorder="1" applyAlignment="1">
      <alignment horizontal="left"/>
    </xf>
    <xf numFmtId="0" fontId="159" fillId="36" borderId="0" xfId="416" applyFont="1" applyFill="1" applyAlignment="1">
      <alignment horizontal="center"/>
    </xf>
    <xf numFmtId="7" fontId="162" fillId="36" borderId="0" xfId="395" applyNumberFormat="1" applyFont="1" applyFill="1" applyBorder="1" applyAlignment="1">
      <alignment horizontal="center" vertical="center"/>
    </xf>
    <xf numFmtId="40" fontId="159" fillId="36" borderId="41" xfId="28" applyFont="1" applyFill="1" applyBorder="1"/>
    <xf numFmtId="208" fontId="159" fillId="0" borderId="0" xfId="28" applyNumberFormat="1" applyFont="1"/>
    <xf numFmtId="176" fontId="159" fillId="0" borderId="0" xfId="0" applyNumberFormat="1" applyFont="1"/>
    <xf numFmtId="0" fontId="159" fillId="36" borderId="48" xfId="0" quotePrefix="1" applyFont="1" applyFill="1" applyBorder="1"/>
    <xf numFmtId="9" fontId="159" fillId="36" borderId="0" xfId="0" applyNumberFormat="1" applyFont="1" applyFill="1"/>
    <xf numFmtId="218" fontId="159" fillId="36" borderId="0" xfId="0" applyNumberFormat="1" applyFont="1" applyFill="1"/>
    <xf numFmtId="4" fontId="159" fillId="36" borderId="24" xfId="0" applyNumberFormat="1" applyFont="1" applyFill="1" applyBorder="1"/>
    <xf numFmtId="0" fontId="159" fillId="0" borderId="41" xfId="0" applyFont="1" applyBorder="1"/>
    <xf numFmtId="0" fontId="160" fillId="51" borderId="48" xfId="0" quotePrefix="1" applyFont="1" applyFill="1" applyBorder="1" applyAlignment="1">
      <alignment horizontal="left"/>
    </xf>
    <xf numFmtId="0" fontId="180" fillId="51" borderId="0" xfId="0" quotePrefix="1" applyFont="1" applyFill="1" applyAlignment="1">
      <alignment horizontal="left"/>
    </xf>
    <xf numFmtId="0" fontId="180" fillId="51" borderId="41" xfId="0" quotePrefix="1" applyFont="1" applyFill="1" applyBorder="1" applyAlignment="1">
      <alignment horizontal="left"/>
    </xf>
    <xf numFmtId="4" fontId="159" fillId="36" borderId="48" xfId="0" applyNumberFormat="1" applyFont="1" applyFill="1" applyBorder="1"/>
    <xf numFmtId="4" fontId="159" fillId="36" borderId="0" xfId="0" applyNumberFormat="1" applyFont="1" applyFill="1"/>
    <xf numFmtId="0" fontId="162" fillId="36" borderId="0" xfId="0" applyFont="1" applyFill="1" applyAlignment="1">
      <alignment horizontal="center"/>
    </xf>
    <xf numFmtId="0" fontId="162" fillId="36" borderId="48" xfId="0" applyFont="1" applyFill="1" applyBorder="1"/>
    <xf numFmtId="170" fontId="159" fillId="36" borderId="0" xfId="408" applyNumberFormat="1" applyFont="1" applyFill="1" applyBorder="1" applyAlignment="1">
      <alignment horizontal="center"/>
    </xf>
    <xf numFmtId="2" fontId="159" fillId="36" borderId="0" xfId="0" applyNumberFormat="1" applyFont="1" applyFill="1" applyAlignment="1">
      <alignment horizontal="center"/>
    </xf>
    <xf numFmtId="0" fontId="160" fillId="46" borderId="48" xfId="0" quotePrefix="1" applyFont="1" applyFill="1" applyBorder="1" applyAlignment="1">
      <alignment horizontal="left"/>
    </xf>
    <xf numFmtId="0" fontId="180" fillId="46" borderId="0" xfId="0" quotePrefix="1" applyFont="1" applyFill="1" applyAlignment="1">
      <alignment horizontal="left"/>
    </xf>
    <xf numFmtId="0" fontId="162" fillId="36" borderId="0" xfId="0" applyFont="1" applyFill="1" applyAlignment="1">
      <alignment horizontal="center" wrapText="1"/>
    </xf>
    <xf numFmtId="217" fontId="159" fillId="36" borderId="0" xfId="395" applyNumberFormat="1" applyFont="1" applyFill="1" applyBorder="1" applyAlignment="1">
      <alignment horizontal="center"/>
    </xf>
    <xf numFmtId="170" fontId="159" fillId="36" borderId="0" xfId="42" applyNumberFormat="1" applyFont="1" applyFill="1" applyBorder="1" applyAlignment="1">
      <alignment horizontal="center"/>
    </xf>
    <xf numFmtId="0" fontId="178" fillId="51" borderId="49" xfId="0" quotePrefix="1" applyFont="1" applyFill="1" applyBorder="1"/>
    <xf numFmtId="0" fontId="178" fillId="51" borderId="50" xfId="0" quotePrefix="1" applyFont="1" applyFill="1" applyBorder="1"/>
    <xf numFmtId="0" fontId="178" fillId="51" borderId="50" xfId="0" quotePrefix="1" applyFont="1" applyFill="1" applyBorder="1" applyAlignment="1">
      <alignment horizontal="left"/>
    </xf>
    <xf numFmtId="166" fontId="178" fillId="51" borderId="50" xfId="414" quotePrefix="1" applyNumberFormat="1" applyFont="1" applyFill="1" applyBorder="1" applyAlignment="1">
      <alignment horizontal="center"/>
    </xf>
    <xf numFmtId="166" fontId="178" fillId="51" borderId="52" xfId="414" quotePrefix="1" applyNumberFormat="1" applyFont="1" applyFill="1" applyBorder="1" applyAlignment="1">
      <alignment horizontal="center"/>
    </xf>
    <xf numFmtId="226" fontId="159" fillId="0" borderId="0" xfId="0" applyNumberFormat="1" applyFont="1"/>
    <xf numFmtId="170" fontId="159" fillId="0" borderId="0" xfId="0" applyNumberFormat="1" applyFont="1"/>
    <xf numFmtId="0" fontId="159" fillId="36" borderId="0" xfId="0" quotePrefix="1" applyFont="1" applyFill="1"/>
    <xf numFmtId="169" fontId="159" fillId="36" borderId="0" xfId="0" applyNumberFormat="1" applyFont="1" applyFill="1"/>
    <xf numFmtId="4" fontId="159" fillId="24" borderId="0" xfId="0" applyNumberFormat="1" applyFont="1" applyFill="1"/>
    <xf numFmtId="2" fontId="162" fillId="0" borderId="0" xfId="0" applyNumberFormat="1" applyFont="1"/>
    <xf numFmtId="170" fontId="159" fillId="36" borderId="0" xfId="42" applyNumberFormat="1" applyFont="1" applyFill="1" applyBorder="1"/>
    <xf numFmtId="217" fontId="159" fillId="0" borderId="0" xfId="28" applyNumberFormat="1" applyFont="1"/>
    <xf numFmtId="0" fontId="164" fillId="0" borderId="0" xfId="424" applyFont="1"/>
    <xf numFmtId="0" fontId="160" fillId="51" borderId="0" xfId="425" applyFont="1" applyFill="1" applyAlignment="1">
      <alignment horizontal="left"/>
    </xf>
    <xf numFmtId="0" fontId="160" fillId="51" borderId="0" xfId="425" applyFont="1" applyFill="1" applyAlignment="1">
      <alignment horizontal="right"/>
    </xf>
    <xf numFmtId="230" fontId="166" fillId="58" borderId="11" xfId="424" applyNumberFormat="1" applyFont="1" applyFill="1" applyBorder="1" applyAlignment="1">
      <alignment horizontal="left"/>
    </xf>
    <xf numFmtId="230" fontId="166" fillId="58" borderId="11" xfId="424" applyNumberFormat="1" applyFont="1" applyFill="1" applyBorder="1" applyAlignment="1">
      <alignment horizontal="right"/>
    </xf>
    <xf numFmtId="3" fontId="166" fillId="0" borderId="0" xfId="424" applyNumberFormat="1" applyFont="1"/>
    <xf numFmtId="0" fontId="166" fillId="0" borderId="0" xfId="424" applyFont="1"/>
    <xf numFmtId="0" fontId="166" fillId="0" borderId="0" xfId="424" applyFont="1" applyAlignment="1">
      <alignment horizontal="right"/>
    </xf>
    <xf numFmtId="0" fontId="166" fillId="0" borderId="58" xfId="424" applyFont="1" applyBorder="1" applyAlignment="1">
      <alignment horizontal="left" indent="2"/>
    </xf>
    <xf numFmtId="0" fontId="166" fillId="0" borderId="59" xfId="424" applyFont="1" applyBorder="1" applyAlignment="1">
      <alignment horizontal="right"/>
    </xf>
    <xf numFmtId="3" fontId="164" fillId="0" borderId="0" xfId="424" applyNumberFormat="1" applyFont="1"/>
    <xf numFmtId="9" fontId="164" fillId="0" borderId="0" xfId="424" applyNumberFormat="1" applyFont="1"/>
    <xf numFmtId="231" fontId="164" fillId="0" borderId="0" xfId="424" applyNumberFormat="1" applyFont="1"/>
    <xf numFmtId="0" fontId="164" fillId="0" borderId="0" xfId="424" applyFont="1" applyAlignment="1">
      <alignment horizontal="left" indent="2"/>
    </xf>
    <xf numFmtId="176" fontId="164" fillId="0" borderId="0" xfId="424" applyNumberFormat="1" applyFont="1"/>
    <xf numFmtId="232" fontId="164" fillId="0" borderId="0" xfId="426" applyNumberFormat="1" applyFont="1"/>
    <xf numFmtId="0" fontId="166" fillId="0" borderId="0" xfId="424" applyFont="1" applyAlignment="1">
      <alignment horizontal="left" indent="2"/>
    </xf>
    <xf numFmtId="231" fontId="166" fillId="0" borderId="0" xfId="424" applyNumberFormat="1" applyFont="1"/>
    <xf numFmtId="9" fontId="166" fillId="0" borderId="0" xfId="424" applyNumberFormat="1" applyFont="1"/>
    <xf numFmtId="9" fontId="164" fillId="0" borderId="0" xfId="427" applyFont="1" applyAlignment="1"/>
    <xf numFmtId="0" fontId="166" fillId="0" borderId="0" xfId="424" applyFont="1" applyAlignment="1">
      <alignment horizontal="left"/>
    </xf>
    <xf numFmtId="0" fontId="164" fillId="0" borderId="0" xfId="424" applyFont="1" applyAlignment="1">
      <alignment horizontal="left"/>
    </xf>
    <xf numFmtId="170" fontId="164" fillId="0" borderId="0" xfId="427" applyNumberFormat="1" applyFont="1" applyBorder="1" applyAlignment="1">
      <alignment horizontal="right"/>
    </xf>
    <xf numFmtId="9" fontId="164" fillId="0" borderId="0" xfId="427" applyFont="1" applyBorder="1" applyAlignment="1">
      <alignment horizontal="right"/>
    </xf>
    <xf numFmtId="3" fontId="164" fillId="0" borderId="0" xfId="426" applyNumberFormat="1" applyFont="1" applyAlignment="1">
      <alignment horizontal="right" vertical="center"/>
    </xf>
    <xf numFmtId="232" fontId="166" fillId="0" borderId="0" xfId="426" applyNumberFormat="1" applyFont="1"/>
    <xf numFmtId="169" fontId="164" fillId="0" borderId="0" xfId="424" applyNumberFormat="1" applyFont="1"/>
    <xf numFmtId="1" fontId="164" fillId="0" borderId="0" xfId="424" applyNumberFormat="1" applyFont="1"/>
    <xf numFmtId="170" fontId="164" fillId="0" borderId="0" xfId="427" applyNumberFormat="1" applyFont="1" applyBorder="1" applyAlignment="1"/>
    <xf numFmtId="0" fontId="9" fillId="0" borderId="0" xfId="428">
      <alignment vertical="center"/>
    </xf>
    <xf numFmtId="233" fontId="166" fillId="0" borderId="0" xfId="424" applyNumberFormat="1" applyFont="1" applyAlignment="1">
      <alignment horizontal="left"/>
    </xf>
    <xf numFmtId="234" fontId="164" fillId="0" borderId="0" xfId="424" applyNumberFormat="1" applyFont="1" applyAlignment="1">
      <alignment horizontal="right"/>
    </xf>
    <xf numFmtId="172" fontId="164" fillId="0" borderId="0" xfId="426" applyNumberFormat="1" applyFont="1" applyAlignment="1">
      <alignment horizontal="left" indent="1"/>
    </xf>
    <xf numFmtId="9" fontId="164" fillId="0" borderId="0" xfId="427" applyFont="1" applyAlignment="1">
      <alignment horizontal="right"/>
    </xf>
    <xf numFmtId="235" fontId="166" fillId="0" borderId="0" xfId="424" applyNumberFormat="1" applyFont="1" applyAlignment="1">
      <alignment horizontal="left"/>
    </xf>
    <xf numFmtId="0" fontId="164" fillId="0" borderId="0" xfId="424" applyFont="1" applyAlignment="1">
      <alignment horizontal="left" indent="1"/>
    </xf>
    <xf numFmtId="0" fontId="181" fillId="0" borderId="0" xfId="424" applyFont="1" applyAlignment="1">
      <alignment horizontal="right"/>
    </xf>
    <xf numFmtId="172" fontId="164" fillId="0" borderId="0" xfId="429" applyNumberFormat="1" applyFont="1" applyAlignment="1">
      <alignment horizontal="left" indent="1"/>
    </xf>
    <xf numFmtId="232" fontId="164" fillId="0" borderId="0" xfId="426" applyNumberFormat="1" applyFont="1" applyAlignment="1">
      <alignment horizontal="left" indent="2"/>
    </xf>
    <xf numFmtId="232" fontId="166" fillId="0" borderId="0" xfId="426" applyNumberFormat="1" applyFont="1" applyAlignment="1">
      <alignment horizontal="left" indent="1"/>
    </xf>
    <xf numFmtId="4" fontId="164" fillId="0" borderId="0" xfId="427" applyNumberFormat="1" applyFont="1" applyAlignment="1"/>
    <xf numFmtId="170" fontId="164" fillId="0" borderId="0" xfId="42" applyNumberFormat="1" applyFont="1"/>
    <xf numFmtId="170" fontId="166" fillId="0" borderId="0" xfId="42" applyNumberFormat="1" applyFont="1"/>
    <xf numFmtId="217" fontId="162" fillId="0" borderId="0" xfId="395" applyNumberFormat="1" applyFont="1" applyFill="1" applyBorder="1" applyAlignment="1">
      <alignment horizontal="center"/>
    </xf>
    <xf numFmtId="17" fontId="101" fillId="51" borderId="0" xfId="415" applyNumberFormat="1" applyFont="1" applyFill="1"/>
    <xf numFmtId="0" fontId="101" fillId="51" borderId="44" xfId="0" applyFont="1" applyFill="1" applyBorder="1"/>
    <xf numFmtId="0" fontId="101" fillId="51" borderId="47" xfId="0" applyFont="1" applyFill="1" applyBorder="1"/>
    <xf numFmtId="0" fontId="98" fillId="0" borderId="48" xfId="0" applyFont="1" applyBorder="1"/>
    <xf numFmtId="14" fontId="98" fillId="0" borderId="41" xfId="0" applyNumberFormat="1" applyFont="1" applyBorder="1"/>
    <xf numFmtId="0" fontId="98" fillId="0" borderId="41" xfId="0" applyFont="1" applyBorder="1"/>
    <xf numFmtId="169" fontId="98" fillId="0" borderId="41" xfId="0" applyNumberFormat="1" applyFont="1" applyBorder="1"/>
    <xf numFmtId="170" fontId="98" fillId="0" borderId="41" xfId="42" applyNumberFormat="1" applyFont="1" applyBorder="1"/>
    <xf numFmtId="0" fontId="98" fillId="0" borderId="49" xfId="0" applyFont="1" applyBorder="1"/>
    <xf numFmtId="170" fontId="98" fillId="0" borderId="52" xfId="0" applyNumberFormat="1" applyFont="1" applyBorder="1"/>
    <xf numFmtId="0" fontId="100" fillId="51" borderId="46" xfId="0" applyFont="1" applyFill="1" applyBorder="1"/>
    <xf numFmtId="0" fontId="100" fillId="51" borderId="47" xfId="0" applyFont="1" applyFill="1" applyBorder="1"/>
    <xf numFmtId="10" fontId="98" fillId="0" borderId="41" xfId="0" applyNumberFormat="1" applyFont="1" applyBorder="1"/>
    <xf numFmtId="9" fontId="98" fillId="0" borderId="41" xfId="0" applyNumberFormat="1" applyFont="1" applyBorder="1"/>
    <xf numFmtId="170" fontId="98" fillId="0" borderId="41" xfId="0" applyNumberFormat="1" applyFont="1" applyBorder="1"/>
    <xf numFmtId="0" fontId="98" fillId="0" borderId="50" xfId="0" applyFont="1" applyBorder="1"/>
    <xf numFmtId="9" fontId="98" fillId="0" borderId="52" xfId="0" applyNumberFormat="1" applyFont="1" applyBorder="1"/>
    <xf numFmtId="17" fontId="101" fillId="51" borderId="0" xfId="415" applyNumberFormat="1" applyFont="1" applyFill="1" applyAlignment="1">
      <alignment horizontal="right"/>
    </xf>
    <xf numFmtId="2" fontId="98" fillId="0" borderId="0" xfId="0" applyNumberFormat="1" applyFont="1" applyAlignment="1">
      <alignment horizontal="right"/>
    </xf>
    <xf numFmtId="17" fontId="99" fillId="0" borderId="0" xfId="0" applyNumberFormat="1" applyFont="1" applyAlignment="1">
      <alignment horizontal="right"/>
    </xf>
    <xf numFmtId="169" fontId="99" fillId="0" borderId="0" xfId="0" applyNumberFormat="1" applyFont="1" applyAlignment="1">
      <alignment horizontal="right"/>
    </xf>
    <xf numFmtId="9" fontId="98" fillId="0" borderId="0" xfId="0" applyNumberFormat="1" applyFont="1" applyAlignment="1">
      <alignment horizontal="right"/>
    </xf>
    <xf numFmtId="17" fontId="99" fillId="58" borderId="0" xfId="0" applyNumberFormat="1" applyFont="1" applyFill="1"/>
    <xf numFmtId="17" fontId="99" fillId="58" borderId="0" xfId="0" applyNumberFormat="1" applyFont="1" applyFill="1" applyAlignment="1">
      <alignment horizontal="right"/>
    </xf>
    <xf numFmtId="211" fontId="4" fillId="0" borderId="0" xfId="42" applyNumberFormat="1" applyFont="1" applyFill="1" applyBorder="1" applyAlignment="1">
      <alignment horizontal="right"/>
    </xf>
    <xf numFmtId="211" fontId="4" fillId="0" borderId="40" xfId="42" applyNumberFormat="1" applyFont="1" applyFill="1" applyBorder="1" applyAlignment="1">
      <alignment horizontal="right"/>
    </xf>
    <xf numFmtId="175" fontId="11" fillId="22" borderId="0" xfId="0" applyNumberFormat="1" applyFont="1" applyFill="1"/>
    <xf numFmtId="175" fontId="11" fillId="22" borderId="0" xfId="0" applyNumberFormat="1" applyFont="1" applyFill="1" applyAlignment="1">
      <alignment horizontal="right"/>
    </xf>
    <xf numFmtId="175" fontId="11" fillId="22" borderId="40" xfId="0" applyNumberFormat="1" applyFont="1" applyFill="1" applyBorder="1" applyAlignment="1">
      <alignment horizontal="right"/>
    </xf>
    <xf numFmtId="175" fontId="145" fillId="22" borderId="0" xfId="0" applyNumberFormat="1" applyFont="1" applyFill="1" applyAlignment="1">
      <alignment horizontal="right"/>
    </xf>
    <xf numFmtId="9" fontId="4" fillId="0" borderId="40" xfId="42" applyFont="1" applyFill="1" applyBorder="1" applyAlignment="1">
      <alignment horizontal="right"/>
    </xf>
    <xf numFmtId="170" fontId="4" fillId="0" borderId="40" xfId="42" applyNumberFormat="1" applyFont="1" applyBorder="1" applyAlignment="1">
      <alignment horizontal="right"/>
    </xf>
    <xf numFmtId="170" fontId="11" fillId="0" borderId="0" xfId="0" applyNumberFormat="1" applyFont="1" applyAlignment="1">
      <alignment horizontal="right"/>
    </xf>
    <xf numFmtId="170" fontId="11" fillId="0" borderId="40" xfId="0" applyNumberFormat="1" applyFont="1" applyBorder="1" applyAlignment="1">
      <alignment horizontal="right"/>
    </xf>
    <xf numFmtId="170" fontId="118" fillId="43" borderId="0" xfId="0" applyNumberFormat="1" applyFont="1" applyFill="1" applyAlignment="1">
      <alignment horizontal="right"/>
    </xf>
    <xf numFmtId="170" fontId="4" fillId="43" borderId="0" xfId="0" applyNumberFormat="1" applyFont="1" applyFill="1" applyAlignment="1">
      <alignment horizontal="right"/>
    </xf>
    <xf numFmtId="170" fontId="150" fillId="43" borderId="0" xfId="0" applyNumberFormat="1" applyFont="1" applyFill="1" applyAlignment="1">
      <alignment horizontal="right"/>
    </xf>
    <xf numFmtId="0" fontId="174" fillId="51" borderId="0" xfId="39" applyFont="1" applyFill="1"/>
    <xf numFmtId="0" fontId="174" fillId="51" borderId="0" xfId="39" applyFont="1" applyFill="1" applyAlignment="1">
      <alignment horizontal="center"/>
    </xf>
    <xf numFmtId="0" fontId="174" fillId="51" borderId="40" xfId="39" applyFont="1" applyFill="1" applyBorder="1" applyAlignment="1">
      <alignment horizontal="center"/>
    </xf>
    <xf numFmtId="0" fontId="183" fillId="51" borderId="0" xfId="0" applyFont="1" applyFill="1"/>
    <xf numFmtId="0" fontId="174" fillId="51" borderId="24" xfId="39" applyFont="1" applyFill="1" applyBorder="1" applyAlignment="1">
      <alignment horizontal="center"/>
    </xf>
    <xf numFmtId="0" fontId="162" fillId="22" borderId="0" xfId="39" applyFont="1" applyFill="1" applyAlignment="1">
      <alignment horizontal="center"/>
    </xf>
    <xf numFmtId="0" fontId="162" fillId="37" borderId="0" xfId="39" applyFont="1" applyFill="1" applyAlignment="1">
      <alignment horizontal="center"/>
    </xf>
    <xf numFmtId="0" fontId="159" fillId="0" borderId="0" xfId="39" applyFont="1"/>
    <xf numFmtId="1" fontId="184" fillId="51" borderId="0" xfId="0" applyNumberFormat="1" applyFont="1" applyFill="1" applyAlignment="1">
      <alignment vertical="center"/>
    </xf>
    <xf numFmtId="168" fontId="174" fillId="51" borderId="0" xfId="0" applyNumberFormat="1" applyFont="1" applyFill="1" applyAlignment="1">
      <alignment horizontal="center"/>
    </xf>
    <xf numFmtId="168" fontId="174" fillId="51" borderId="40" xfId="0" applyNumberFormat="1" applyFont="1" applyFill="1" applyBorder="1" applyAlignment="1">
      <alignment horizontal="center"/>
    </xf>
    <xf numFmtId="168" fontId="174" fillId="51" borderId="0" xfId="0" applyNumberFormat="1" applyFont="1" applyFill="1" applyAlignment="1">
      <alignment horizontal="center" wrapText="1"/>
    </xf>
    <xf numFmtId="0" fontId="174" fillId="51" borderId="0" xfId="0" applyFont="1" applyFill="1" applyAlignment="1">
      <alignment horizontal="center"/>
    </xf>
    <xf numFmtId="228" fontId="174" fillId="51" borderId="0" xfId="0" applyNumberFormat="1" applyFont="1" applyFill="1" applyAlignment="1">
      <alignment horizontal="center"/>
    </xf>
    <xf numFmtId="0" fontId="162" fillId="37" borderId="0" xfId="0" applyFont="1" applyFill="1" applyAlignment="1">
      <alignment horizontal="center"/>
    </xf>
    <xf numFmtId="0" fontId="160" fillId="51" borderId="0" xfId="39" applyFont="1" applyFill="1"/>
    <xf numFmtId="0" fontId="160" fillId="51" borderId="0" xfId="39" applyFont="1" applyFill="1" applyAlignment="1">
      <alignment horizontal="center"/>
    </xf>
    <xf numFmtId="0" fontId="160" fillId="51" borderId="24" xfId="39" applyFont="1" applyFill="1" applyBorder="1" applyAlignment="1">
      <alignment horizontal="center"/>
    </xf>
    <xf numFmtId="0" fontId="162" fillId="0" borderId="0" xfId="39" applyFont="1" applyAlignment="1">
      <alignment horizontal="center"/>
    </xf>
    <xf numFmtId="0" fontId="162" fillId="58" borderId="0" xfId="39" applyFont="1" applyFill="1"/>
    <xf numFmtId="2" fontId="159" fillId="58" borderId="0" xfId="39" applyNumberFormat="1" applyFont="1" applyFill="1"/>
    <xf numFmtId="2" fontId="159" fillId="58" borderId="40" xfId="39" applyNumberFormat="1" applyFont="1" applyFill="1" applyBorder="1"/>
    <xf numFmtId="0" fontId="159" fillId="58" borderId="0" xfId="39" applyFont="1" applyFill="1" applyAlignment="1">
      <alignment horizontal="center"/>
    </xf>
    <xf numFmtId="0" fontId="162" fillId="0" borderId="0" xfId="39" applyFont="1"/>
    <xf numFmtId="9" fontId="159" fillId="0" borderId="40" xfId="39" applyNumberFormat="1" applyFont="1" applyBorder="1" applyAlignment="1">
      <alignment horizontal="center"/>
    </xf>
    <xf numFmtId="9" fontId="159" fillId="0" borderId="0" xfId="39" applyNumberFormat="1" applyFont="1" applyAlignment="1">
      <alignment horizontal="center"/>
    </xf>
    <xf numFmtId="0" fontId="159" fillId="0" borderId="0" xfId="39" applyFont="1" applyAlignment="1">
      <alignment horizontal="center"/>
    </xf>
    <xf numFmtId="9" fontId="159" fillId="0" borderId="0" xfId="42" applyFont="1" applyFill="1" applyBorder="1"/>
    <xf numFmtId="169" fontId="159" fillId="0" borderId="0" xfId="39" applyNumberFormat="1" applyFont="1" applyAlignment="1">
      <alignment horizontal="left" indent="1"/>
    </xf>
    <xf numFmtId="169" fontId="159" fillId="0" borderId="0" xfId="39" applyNumberFormat="1" applyFont="1" applyAlignment="1">
      <alignment horizontal="center"/>
    </xf>
    <xf numFmtId="169" fontId="159" fillId="0" borderId="40" xfId="39" applyNumberFormat="1" applyFont="1" applyBorder="1" applyAlignment="1">
      <alignment horizontal="center"/>
    </xf>
    <xf numFmtId="169" fontId="159" fillId="0" borderId="24" xfId="39" applyNumberFormat="1" applyFont="1" applyBorder="1" applyAlignment="1">
      <alignment horizontal="center"/>
    </xf>
    <xf numFmtId="169" fontId="162" fillId="22" borderId="0" xfId="39" quotePrefix="1" applyNumberFormat="1" applyFont="1" applyFill="1" applyAlignment="1">
      <alignment horizontal="center"/>
    </xf>
    <xf numFmtId="170" fontId="162" fillId="37" borderId="0" xfId="42" applyNumberFormat="1" applyFont="1" applyFill="1" applyBorder="1" applyAlignment="1">
      <alignment horizontal="center"/>
    </xf>
    <xf numFmtId="169" fontId="159" fillId="0" borderId="0" xfId="39" applyNumberFormat="1" applyFont="1"/>
    <xf numFmtId="169" fontId="177" fillId="0" borderId="0" xfId="39" applyNumberFormat="1" applyFont="1" applyAlignment="1">
      <alignment horizontal="center"/>
    </xf>
    <xf numFmtId="169" fontId="177" fillId="0" borderId="24" xfId="39" applyNumberFormat="1" applyFont="1" applyBorder="1" applyAlignment="1">
      <alignment horizontal="center"/>
    </xf>
    <xf numFmtId="169" fontId="165" fillId="43" borderId="0" xfId="0" applyNumberFormat="1" applyFont="1" applyFill="1" applyAlignment="1">
      <alignment horizontal="center"/>
    </xf>
    <xf numFmtId="169" fontId="165" fillId="43" borderId="0" xfId="39" applyNumberFormat="1" applyFont="1" applyFill="1" applyAlignment="1">
      <alignment horizontal="center"/>
    </xf>
    <xf numFmtId="169" fontId="162" fillId="0" borderId="0" xfId="39" applyNumberFormat="1" applyFont="1" applyAlignment="1">
      <alignment horizontal="left" indent="1"/>
    </xf>
    <xf numFmtId="169" fontId="162" fillId="0" borderId="0" xfId="39" applyNumberFormat="1" applyFont="1" applyAlignment="1">
      <alignment horizontal="center"/>
    </xf>
    <xf numFmtId="169" fontId="162" fillId="0" borderId="40" xfId="39" applyNumberFormat="1" applyFont="1" applyBorder="1" applyAlignment="1">
      <alignment horizontal="center"/>
    </xf>
    <xf numFmtId="169" fontId="162" fillId="0" borderId="24" xfId="39" applyNumberFormat="1" applyFont="1" applyBorder="1" applyAlignment="1">
      <alignment horizontal="center"/>
    </xf>
    <xf numFmtId="169" fontId="162" fillId="0" borderId="0" xfId="39" applyNumberFormat="1" applyFont="1"/>
    <xf numFmtId="170" fontId="162" fillId="0" borderId="0" xfId="42" applyNumberFormat="1" applyFont="1" applyFill="1" applyBorder="1"/>
    <xf numFmtId="9" fontId="162" fillId="0" borderId="24" xfId="42" applyFont="1" applyFill="1" applyBorder="1" applyAlignment="1">
      <alignment horizontal="center"/>
    </xf>
    <xf numFmtId="9" fontId="162" fillId="0" borderId="0" xfId="42" applyFont="1" applyFill="1" applyBorder="1" applyAlignment="1">
      <alignment horizontal="center"/>
    </xf>
    <xf numFmtId="170" fontId="159" fillId="0" borderId="0" xfId="42" applyNumberFormat="1" applyFont="1" applyFill="1" applyBorder="1" applyAlignment="1">
      <alignment horizontal="center"/>
    </xf>
    <xf numFmtId="170" fontId="159" fillId="0" borderId="24" xfId="42" applyNumberFormat="1" applyFont="1" applyFill="1" applyBorder="1" applyAlignment="1">
      <alignment horizontal="center"/>
    </xf>
    <xf numFmtId="9" fontId="167" fillId="0" borderId="0" xfId="42" applyFont="1" applyFill="1" applyBorder="1" applyAlignment="1">
      <alignment horizontal="left" indent="1"/>
    </xf>
    <xf numFmtId="9" fontId="167" fillId="0" borderId="0" xfId="42" applyFont="1" applyFill="1" applyBorder="1" applyAlignment="1">
      <alignment horizontal="center"/>
    </xf>
    <xf numFmtId="9" fontId="167" fillId="0" borderId="40" xfId="42" applyFont="1" applyFill="1" applyBorder="1" applyAlignment="1">
      <alignment horizontal="center"/>
    </xf>
    <xf numFmtId="170" fontId="162" fillId="0" borderId="0" xfId="42" applyNumberFormat="1" applyFont="1" applyFill="1" applyBorder="1" applyAlignment="1">
      <alignment horizontal="center"/>
    </xf>
    <xf numFmtId="170" fontId="162" fillId="0" borderId="24" xfId="42" applyNumberFormat="1" applyFont="1" applyFill="1" applyBorder="1" applyAlignment="1">
      <alignment horizontal="center"/>
    </xf>
    <xf numFmtId="9" fontId="170" fillId="22" borderId="0" xfId="42" quotePrefix="1" applyFont="1" applyFill="1" applyBorder="1" applyAlignment="1">
      <alignment horizontal="center"/>
    </xf>
    <xf numFmtId="9" fontId="170" fillId="37" borderId="0" xfId="42" applyFont="1" applyFill="1" applyBorder="1" applyAlignment="1">
      <alignment horizontal="center"/>
    </xf>
    <xf numFmtId="9" fontId="167" fillId="0" borderId="0" xfId="42" applyFont="1" applyFill="1" applyBorder="1"/>
    <xf numFmtId="9" fontId="159" fillId="0" borderId="0" xfId="42" applyFont="1" applyFill="1" applyBorder="1" applyAlignment="1">
      <alignment horizontal="center"/>
    </xf>
    <xf numFmtId="9" fontId="159" fillId="0" borderId="24" xfId="42" applyFont="1" applyFill="1" applyBorder="1" applyAlignment="1">
      <alignment horizontal="center"/>
    </xf>
    <xf numFmtId="169" fontId="162" fillId="22" borderId="0" xfId="39" applyNumberFormat="1" applyFont="1" applyFill="1" applyAlignment="1">
      <alignment horizontal="center"/>
    </xf>
    <xf numFmtId="169" fontId="162" fillId="37" borderId="0" xfId="39" applyNumberFormat="1" applyFont="1" applyFill="1" applyAlignment="1">
      <alignment horizontal="center"/>
    </xf>
    <xf numFmtId="170" fontId="167" fillId="0" borderId="0" xfId="42" applyNumberFormat="1" applyFont="1" applyFill="1" applyBorder="1" applyAlignment="1">
      <alignment horizontal="left" indent="1"/>
    </xf>
    <xf numFmtId="170" fontId="167" fillId="0" borderId="0" xfId="42" applyNumberFormat="1" applyFont="1" applyFill="1" applyBorder="1" applyAlignment="1">
      <alignment horizontal="center"/>
    </xf>
    <xf numFmtId="170" fontId="167" fillId="0" borderId="40" xfId="42" applyNumberFormat="1" applyFont="1" applyFill="1" applyBorder="1" applyAlignment="1">
      <alignment horizontal="center"/>
    </xf>
    <xf numFmtId="170" fontId="167" fillId="0" borderId="24" xfId="42" applyNumberFormat="1" applyFont="1" applyFill="1" applyBorder="1" applyAlignment="1">
      <alignment horizontal="center"/>
    </xf>
    <xf numFmtId="170" fontId="172" fillId="22" borderId="0" xfId="42" applyNumberFormat="1" applyFont="1" applyFill="1" applyBorder="1" applyAlignment="1">
      <alignment horizontal="center"/>
    </xf>
    <xf numFmtId="170" fontId="172" fillId="37" borderId="0" xfId="42" applyNumberFormat="1" applyFont="1" applyFill="1" applyBorder="1" applyAlignment="1">
      <alignment horizontal="center"/>
    </xf>
    <xf numFmtId="170" fontId="169" fillId="0" borderId="0" xfId="42" applyNumberFormat="1" applyFont="1" applyFill="1" applyBorder="1"/>
    <xf numFmtId="9" fontId="162" fillId="22" borderId="0" xfId="42" applyFont="1" applyFill="1" applyBorder="1" applyAlignment="1">
      <alignment horizontal="center"/>
    </xf>
    <xf numFmtId="9" fontId="167" fillId="0" borderId="24" xfId="42" applyFont="1" applyFill="1" applyBorder="1" applyAlignment="1">
      <alignment horizontal="center"/>
    </xf>
    <xf numFmtId="170" fontId="169" fillId="0" borderId="0" xfId="42" applyNumberFormat="1" applyFont="1" applyFill="1" applyBorder="1" applyAlignment="1">
      <alignment horizontal="left" indent="1"/>
    </xf>
    <xf numFmtId="170" fontId="169" fillId="0" borderId="0" xfId="42" applyNumberFormat="1" applyFont="1" applyFill="1" applyBorder="1" applyAlignment="1">
      <alignment horizontal="center"/>
    </xf>
    <xf numFmtId="169" fontId="159" fillId="0" borderId="40" xfId="0" applyNumberFormat="1" applyFont="1" applyBorder="1" applyAlignment="1">
      <alignment horizontal="center"/>
    </xf>
    <xf numFmtId="169" fontId="159" fillId="0" borderId="24" xfId="0" applyNumberFormat="1" applyFont="1" applyBorder="1" applyAlignment="1">
      <alignment horizontal="center"/>
    </xf>
    <xf numFmtId="169" fontId="162" fillId="0" borderId="40" xfId="0" applyNumberFormat="1" applyFont="1" applyBorder="1" applyAlignment="1">
      <alignment horizontal="center"/>
    </xf>
    <xf numFmtId="169" fontId="162" fillId="0" borderId="24" xfId="0" applyNumberFormat="1" applyFont="1" applyBorder="1" applyAlignment="1">
      <alignment horizontal="center"/>
    </xf>
    <xf numFmtId="38" fontId="167" fillId="0" borderId="0" xfId="28" applyNumberFormat="1" applyFont="1" applyFill="1" applyBorder="1" applyAlignment="1">
      <alignment horizontal="center"/>
    </xf>
    <xf numFmtId="40" fontId="167" fillId="0" borderId="0" xfId="28" applyFont="1" applyFill="1" applyBorder="1" applyAlignment="1">
      <alignment horizontal="center"/>
    </xf>
    <xf numFmtId="9" fontId="170" fillId="0" borderId="0" xfId="42" applyFont="1" applyFill="1" applyBorder="1" applyAlignment="1">
      <alignment horizontal="center"/>
    </xf>
    <xf numFmtId="170" fontId="170" fillId="0" borderId="0" xfId="42" applyNumberFormat="1" applyFont="1" applyFill="1" applyBorder="1" applyAlignment="1">
      <alignment horizontal="center"/>
    </xf>
    <xf numFmtId="170" fontId="170" fillId="0" borderId="24" xfId="42" applyNumberFormat="1" applyFont="1" applyFill="1" applyBorder="1" applyAlignment="1">
      <alignment horizontal="center"/>
    </xf>
    <xf numFmtId="9" fontId="170" fillId="0" borderId="0" xfId="42" applyFont="1" applyFill="1" applyBorder="1"/>
    <xf numFmtId="1" fontId="162" fillId="0" borderId="0" xfId="39" applyNumberFormat="1" applyFont="1" applyAlignment="1">
      <alignment horizontal="center"/>
    </xf>
    <xf numFmtId="1" fontId="162" fillId="0" borderId="40" xfId="39" applyNumberFormat="1" applyFont="1" applyBorder="1" applyAlignment="1">
      <alignment horizontal="center"/>
    </xf>
    <xf numFmtId="1" fontId="162" fillId="0" borderId="24" xfId="39" applyNumberFormat="1" applyFont="1" applyBorder="1" applyAlignment="1">
      <alignment horizontal="center"/>
    </xf>
    <xf numFmtId="38" fontId="159" fillId="0" borderId="0" xfId="39" applyNumberFormat="1" applyFont="1" applyAlignment="1">
      <alignment horizontal="center"/>
    </xf>
    <xf numFmtId="9" fontId="159" fillId="0" borderId="0" xfId="42" applyFont="1"/>
    <xf numFmtId="9" fontId="159" fillId="0" borderId="0" xfId="42" applyFont="1" applyAlignment="1">
      <alignment horizontal="center"/>
    </xf>
    <xf numFmtId="170" fontId="159" fillId="0" borderId="0" xfId="42" applyNumberFormat="1" applyFont="1" applyAlignment="1">
      <alignment horizontal="center"/>
    </xf>
    <xf numFmtId="9" fontId="162" fillId="37" borderId="0" xfId="42" applyFont="1" applyFill="1" applyAlignment="1">
      <alignment horizontal="center"/>
    </xf>
    <xf numFmtId="169" fontId="159" fillId="58" borderId="0" xfId="39" applyNumberFormat="1" applyFont="1" applyFill="1" applyAlignment="1">
      <alignment horizontal="center"/>
    </xf>
    <xf numFmtId="169" fontId="159" fillId="58" borderId="40" xfId="39" applyNumberFormat="1" applyFont="1" applyFill="1" applyBorder="1" applyAlignment="1">
      <alignment horizontal="center"/>
    </xf>
    <xf numFmtId="170" fontId="159" fillId="58" borderId="0" xfId="42" applyNumberFormat="1" applyFont="1" applyFill="1" applyBorder="1" applyAlignment="1">
      <alignment horizontal="center"/>
    </xf>
    <xf numFmtId="170" fontId="159" fillId="58" borderId="24" xfId="42" applyNumberFormat="1" applyFont="1" applyFill="1" applyBorder="1" applyAlignment="1">
      <alignment horizontal="center"/>
    </xf>
    <xf numFmtId="1" fontId="159" fillId="0" borderId="0" xfId="39" applyNumberFormat="1" applyFont="1" applyAlignment="1">
      <alignment horizontal="center"/>
    </xf>
    <xf numFmtId="1" fontId="159" fillId="0" borderId="40" xfId="39" applyNumberFormat="1" applyFont="1" applyBorder="1" applyAlignment="1">
      <alignment horizontal="center"/>
    </xf>
    <xf numFmtId="1" fontId="159" fillId="0" borderId="24" xfId="39" applyNumberFormat="1" applyFont="1" applyBorder="1" applyAlignment="1">
      <alignment horizontal="center"/>
    </xf>
    <xf numFmtId="170" fontId="159" fillId="0" borderId="0" xfId="39" applyNumberFormat="1" applyFont="1" applyAlignment="1">
      <alignment horizontal="center"/>
    </xf>
    <xf numFmtId="212" fontId="159" fillId="0" borderId="0" xfId="42" applyNumberFormat="1" applyFont="1" applyFill="1" applyBorder="1" applyAlignment="1">
      <alignment horizontal="center"/>
    </xf>
    <xf numFmtId="170" fontId="159" fillId="0" borderId="40" xfId="39" applyNumberFormat="1" applyFont="1" applyBorder="1" applyAlignment="1">
      <alignment horizontal="center"/>
    </xf>
    <xf numFmtId="170" fontId="159" fillId="0" borderId="24" xfId="39" applyNumberFormat="1" applyFont="1" applyBorder="1" applyAlignment="1">
      <alignment horizontal="center"/>
    </xf>
    <xf numFmtId="9" fontId="161" fillId="22" borderId="0" xfId="42" applyFont="1" applyFill="1" applyBorder="1" applyAlignment="1">
      <alignment horizontal="left"/>
    </xf>
    <xf numFmtId="170" fontId="177" fillId="0" borderId="0" xfId="39" applyNumberFormat="1" applyFont="1" applyAlignment="1">
      <alignment horizontal="center"/>
    </xf>
    <xf numFmtId="212" fontId="177" fillId="0" borderId="0" xfId="42" applyNumberFormat="1" applyFont="1" applyFill="1" applyBorder="1" applyAlignment="1">
      <alignment horizontal="center"/>
    </xf>
    <xf numFmtId="170" fontId="177" fillId="0" borderId="24" xfId="39" applyNumberFormat="1" applyFont="1" applyBorder="1" applyAlignment="1">
      <alignment horizontal="center"/>
    </xf>
    <xf numFmtId="170" fontId="159" fillId="43" borderId="0" xfId="42" applyNumberFormat="1" applyFont="1" applyFill="1" applyBorder="1" applyAlignment="1">
      <alignment horizontal="center"/>
    </xf>
    <xf numFmtId="170" fontId="165" fillId="43" borderId="0" xfId="39" applyNumberFormat="1" applyFont="1" applyFill="1" applyAlignment="1">
      <alignment horizontal="center"/>
    </xf>
    <xf numFmtId="0" fontId="167" fillId="0" borderId="0" xfId="39" applyFont="1"/>
    <xf numFmtId="170" fontId="175" fillId="0" borderId="0" xfId="39" applyNumberFormat="1" applyFont="1" applyAlignment="1">
      <alignment horizontal="center"/>
    </xf>
    <xf numFmtId="212" fontId="175" fillId="0" borderId="0" xfId="42" applyNumberFormat="1" applyFont="1" applyFill="1" applyBorder="1" applyAlignment="1">
      <alignment horizontal="center"/>
    </xf>
    <xf numFmtId="170" fontId="167" fillId="0" borderId="40" xfId="39" applyNumberFormat="1" applyFont="1" applyBorder="1" applyAlignment="1">
      <alignment horizontal="center"/>
    </xf>
    <xf numFmtId="170" fontId="175" fillId="0" borderId="24" xfId="39" applyNumberFormat="1" applyFont="1" applyBorder="1" applyAlignment="1">
      <alignment horizontal="center"/>
    </xf>
    <xf numFmtId="9" fontId="171" fillId="22" borderId="0" xfId="42" applyFont="1" applyFill="1" applyBorder="1" applyAlignment="1">
      <alignment horizontal="left"/>
    </xf>
    <xf numFmtId="0" fontId="170" fillId="37" borderId="0" xfId="39" applyFont="1" applyFill="1" applyAlignment="1">
      <alignment horizontal="center"/>
    </xf>
    <xf numFmtId="0" fontId="175" fillId="0" borderId="0" xfId="39" applyFont="1"/>
    <xf numFmtId="169" fontId="162" fillId="21" borderId="0" xfId="39" applyNumberFormat="1" applyFont="1" applyFill="1"/>
    <xf numFmtId="169" fontId="161" fillId="21" borderId="0" xfId="39" applyNumberFormat="1" applyFont="1" applyFill="1" applyAlignment="1">
      <alignment horizontal="center"/>
    </xf>
    <xf numFmtId="169" fontId="162" fillId="21" borderId="0" xfId="39" applyNumberFormat="1" applyFont="1" applyFill="1" applyAlignment="1">
      <alignment horizontal="center"/>
    </xf>
    <xf numFmtId="208" fontId="176" fillId="21" borderId="0" xfId="28" applyNumberFormat="1" applyFont="1" applyFill="1" applyBorder="1" applyAlignment="1">
      <alignment horizontal="center"/>
    </xf>
    <xf numFmtId="208" fontId="162" fillId="21" borderId="0" xfId="28" applyNumberFormat="1" applyFont="1" applyFill="1" applyBorder="1" applyAlignment="1">
      <alignment horizontal="center"/>
    </xf>
    <xf numFmtId="208" fontId="176" fillId="21" borderId="40" xfId="28" applyNumberFormat="1" applyFont="1" applyFill="1" applyBorder="1" applyAlignment="1">
      <alignment horizontal="center"/>
    </xf>
    <xf numFmtId="208" fontId="176" fillId="21" borderId="24" xfId="28" applyNumberFormat="1" applyFont="1" applyFill="1" applyBorder="1" applyAlignment="1">
      <alignment horizontal="center"/>
    </xf>
    <xf numFmtId="211" fontId="159" fillId="0" borderId="0" xfId="39" applyNumberFormat="1" applyFont="1" applyAlignment="1">
      <alignment horizontal="center"/>
    </xf>
    <xf numFmtId="211" fontId="159" fillId="0" borderId="40" xfId="39" applyNumberFormat="1" applyFont="1" applyBorder="1" applyAlignment="1">
      <alignment horizontal="center"/>
    </xf>
    <xf numFmtId="211" fontId="159" fillId="0" borderId="24" xfId="39" applyNumberFormat="1" applyFont="1" applyBorder="1" applyAlignment="1">
      <alignment horizontal="center"/>
    </xf>
    <xf numFmtId="0" fontId="162" fillId="22" borderId="0" xfId="42" applyNumberFormat="1" applyFont="1" applyFill="1" applyBorder="1" applyAlignment="1">
      <alignment horizontal="center"/>
    </xf>
    <xf numFmtId="1" fontId="177" fillId="0" borderId="0" xfId="39" applyNumberFormat="1" applyFont="1" applyAlignment="1">
      <alignment horizontal="center"/>
    </xf>
    <xf numFmtId="1" fontId="165" fillId="0" borderId="0" xfId="39" applyNumberFormat="1" applyFont="1" applyAlignment="1">
      <alignment horizontal="center"/>
    </xf>
    <xf numFmtId="1" fontId="185" fillId="0" borderId="0" xfId="39" applyNumberFormat="1" applyFont="1" applyAlignment="1">
      <alignment horizontal="center"/>
    </xf>
    <xf numFmtId="1" fontId="177" fillId="0" borderId="40" xfId="39" applyNumberFormat="1" applyFont="1" applyBorder="1" applyAlignment="1">
      <alignment horizontal="center"/>
    </xf>
    <xf numFmtId="1" fontId="177" fillId="0" borderId="24" xfId="39" applyNumberFormat="1" applyFont="1" applyBorder="1" applyAlignment="1">
      <alignment horizontal="center"/>
    </xf>
    <xf numFmtId="1" fontId="185" fillId="43" borderId="0" xfId="39" applyNumberFormat="1" applyFont="1" applyFill="1" applyAlignment="1">
      <alignment horizontal="center"/>
    </xf>
    <xf numFmtId="1" fontId="177" fillId="43" borderId="0" xfId="39" applyNumberFormat="1" applyFont="1" applyFill="1" applyAlignment="1">
      <alignment horizontal="center"/>
    </xf>
    <xf numFmtId="1" fontId="176" fillId="0" borderId="0" xfId="39" applyNumberFormat="1" applyFont="1" applyAlignment="1">
      <alignment horizontal="center"/>
    </xf>
    <xf numFmtId="0" fontId="165" fillId="22" borderId="0" xfId="39" applyFont="1" applyFill="1" applyAlignment="1">
      <alignment horizontal="left"/>
    </xf>
    <xf numFmtId="0" fontId="159" fillId="0" borderId="40" xfId="39" applyFont="1" applyBorder="1" applyAlignment="1">
      <alignment horizontal="center"/>
    </xf>
    <xf numFmtId="170" fontId="186" fillId="0" borderId="0" xfId="42" applyNumberFormat="1" applyFont="1" applyFill="1" applyBorder="1" applyAlignment="1">
      <alignment horizontal="center"/>
    </xf>
    <xf numFmtId="170" fontId="162" fillId="0" borderId="0" xfId="39" applyNumberFormat="1" applyFont="1"/>
    <xf numFmtId="170" fontId="165" fillId="0" borderId="0" xfId="39" applyNumberFormat="1" applyFont="1" applyAlignment="1">
      <alignment horizontal="center"/>
    </xf>
    <xf numFmtId="170" fontId="159" fillId="0" borderId="0" xfId="42" applyNumberFormat="1" applyFont="1" applyBorder="1" applyAlignment="1">
      <alignment horizontal="center"/>
    </xf>
    <xf numFmtId="170" fontId="177" fillId="0" borderId="40" xfId="42" applyNumberFormat="1" applyFont="1" applyBorder="1" applyAlignment="1">
      <alignment horizontal="center"/>
    </xf>
    <xf numFmtId="170" fontId="177" fillId="0" borderId="0" xfId="42" applyNumberFormat="1" applyFont="1" applyFill="1" applyBorder="1" applyAlignment="1">
      <alignment horizontal="center"/>
    </xf>
    <xf numFmtId="170" fontId="177" fillId="0" borderId="0" xfId="42" applyNumberFormat="1" applyFont="1" applyBorder="1" applyAlignment="1">
      <alignment horizontal="center"/>
    </xf>
    <xf numFmtId="170" fontId="177" fillId="0" borderId="24" xfId="42" applyNumberFormat="1" applyFont="1" applyFill="1" applyBorder="1" applyAlignment="1">
      <alignment horizontal="center"/>
    </xf>
    <xf numFmtId="9" fontId="165" fillId="22" borderId="0" xfId="42" applyFont="1" applyFill="1" applyBorder="1" applyAlignment="1">
      <alignment horizontal="left"/>
    </xf>
    <xf numFmtId="170" fontId="159" fillId="0" borderId="0" xfId="39" applyNumberFormat="1" applyFont="1"/>
    <xf numFmtId="170" fontId="162" fillId="0" borderId="0" xfId="39" applyNumberFormat="1" applyFont="1" applyAlignment="1">
      <alignment horizontal="center"/>
    </xf>
    <xf numFmtId="170" fontId="162" fillId="0" borderId="40" xfId="39" applyNumberFormat="1" applyFont="1" applyBorder="1" applyAlignment="1">
      <alignment horizontal="center"/>
    </xf>
    <xf numFmtId="170" fontId="162" fillId="0" borderId="24" xfId="39" applyNumberFormat="1" applyFont="1" applyBorder="1" applyAlignment="1">
      <alignment horizontal="center"/>
    </xf>
    <xf numFmtId="0" fontId="159" fillId="0" borderId="24" xfId="39" applyFont="1" applyBorder="1" applyAlignment="1">
      <alignment horizontal="center"/>
    </xf>
    <xf numFmtId="170" fontId="165" fillId="0" borderId="0" xfId="42" applyNumberFormat="1" applyFont="1" applyFill="1" applyBorder="1" applyAlignment="1">
      <alignment horizontal="center"/>
    </xf>
    <xf numFmtId="170" fontId="165" fillId="0" borderId="40" xfId="42" applyNumberFormat="1" applyFont="1" applyFill="1" applyBorder="1" applyAlignment="1">
      <alignment horizontal="center"/>
    </xf>
    <xf numFmtId="170" fontId="165" fillId="43" borderId="0" xfId="42" applyNumberFormat="1" applyFont="1" applyFill="1" applyBorder="1" applyAlignment="1">
      <alignment horizontal="center"/>
    </xf>
    <xf numFmtId="170" fontId="185" fillId="0" borderId="0" xfId="39" applyNumberFormat="1" applyFont="1" applyAlignment="1">
      <alignment horizontal="center"/>
    </xf>
    <xf numFmtId="170" fontId="187" fillId="0" borderId="0" xfId="39" applyNumberFormat="1" applyFont="1" applyAlignment="1">
      <alignment horizontal="center"/>
    </xf>
    <xf numFmtId="170" fontId="185" fillId="0" borderId="40" xfId="39" applyNumberFormat="1" applyFont="1" applyBorder="1" applyAlignment="1">
      <alignment horizontal="center"/>
    </xf>
    <xf numFmtId="221" fontId="187" fillId="0" borderId="0" xfId="39" applyNumberFormat="1" applyFont="1" applyAlignment="1">
      <alignment horizontal="center"/>
    </xf>
    <xf numFmtId="217" fontId="187" fillId="0" borderId="0" xfId="28" applyNumberFormat="1" applyFont="1" applyBorder="1" applyAlignment="1">
      <alignment horizontal="center"/>
    </xf>
    <xf numFmtId="38" fontId="185" fillId="0" borderId="0" xfId="28" applyNumberFormat="1" applyFont="1" applyBorder="1" applyAlignment="1">
      <alignment horizontal="center"/>
    </xf>
    <xf numFmtId="10" fontId="185" fillId="0" borderId="0" xfId="39" applyNumberFormat="1" applyFont="1" applyAlignment="1">
      <alignment horizontal="center"/>
    </xf>
    <xf numFmtId="170" fontId="187" fillId="0" borderId="24" xfId="39" applyNumberFormat="1" applyFont="1" applyBorder="1" applyAlignment="1">
      <alignment horizontal="center"/>
    </xf>
    <xf numFmtId="3" fontId="162" fillId="0" borderId="0" xfId="28" applyNumberFormat="1" applyFont="1" applyBorder="1" applyAlignment="1">
      <alignment horizontal="center"/>
    </xf>
    <xf numFmtId="3" fontId="162" fillId="0" borderId="40" xfId="28" applyNumberFormat="1" applyFont="1" applyBorder="1" applyAlignment="1">
      <alignment horizontal="center"/>
    </xf>
    <xf numFmtId="3" fontId="162" fillId="0" borderId="24" xfId="28" applyNumberFormat="1" applyFont="1" applyBorder="1" applyAlignment="1">
      <alignment horizontal="center"/>
    </xf>
    <xf numFmtId="211" fontId="177" fillId="0" borderId="0" xfId="39" applyNumberFormat="1" applyFont="1" applyAlignment="1">
      <alignment horizontal="center"/>
    </xf>
    <xf numFmtId="10" fontId="159" fillId="0" borderId="0" xfId="42" applyNumberFormat="1" applyFont="1" applyFill="1" applyBorder="1" applyAlignment="1">
      <alignment horizontal="center"/>
    </xf>
    <xf numFmtId="38" fontId="159" fillId="0" borderId="0" xfId="28" applyNumberFormat="1" applyFont="1" applyBorder="1" applyAlignment="1">
      <alignment horizontal="center"/>
    </xf>
    <xf numFmtId="208" fontId="165" fillId="0" borderId="0" xfId="28" applyNumberFormat="1" applyFont="1" applyBorder="1" applyAlignment="1">
      <alignment horizontal="center"/>
    </xf>
    <xf numFmtId="208" fontId="159" fillId="0" borderId="0" xfId="28" applyNumberFormat="1" applyFont="1" applyBorder="1" applyAlignment="1">
      <alignment horizontal="center"/>
    </xf>
    <xf numFmtId="208" fontId="161" fillId="0" borderId="0" xfId="28" applyNumberFormat="1" applyFont="1" applyBorder="1" applyAlignment="1">
      <alignment horizontal="center"/>
    </xf>
    <xf numFmtId="208" fontId="176" fillId="0" borderId="0" xfId="28" applyNumberFormat="1" applyFont="1" applyBorder="1" applyAlignment="1">
      <alignment horizontal="center"/>
    </xf>
    <xf numFmtId="208" fontId="162" fillId="0" borderId="0" xfId="28" applyNumberFormat="1" applyFont="1" applyFill="1" applyBorder="1" applyAlignment="1">
      <alignment horizontal="center"/>
    </xf>
    <xf numFmtId="208" fontId="176" fillId="0" borderId="40" xfId="28" applyNumberFormat="1" applyFont="1" applyBorder="1" applyAlignment="1">
      <alignment horizontal="center"/>
    </xf>
    <xf numFmtId="208" fontId="176" fillId="0" borderId="24" xfId="28" applyNumberFormat="1" applyFont="1" applyBorder="1" applyAlignment="1">
      <alignment horizontal="center"/>
    </xf>
    <xf numFmtId="208" fontId="162" fillId="0" borderId="0" xfId="28" applyNumberFormat="1" applyFont="1" applyBorder="1" applyAlignment="1">
      <alignment horizontal="center"/>
    </xf>
    <xf numFmtId="172" fontId="159" fillId="0" borderId="0" xfId="39" applyNumberFormat="1" applyFont="1" applyAlignment="1">
      <alignment horizontal="center"/>
    </xf>
    <xf numFmtId="170" fontId="187" fillId="0" borderId="0" xfId="42" applyNumberFormat="1" applyFont="1" applyBorder="1" applyAlignment="1">
      <alignment horizontal="center"/>
    </xf>
    <xf numFmtId="214" fontId="165" fillId="0" borderId="0" xfId="39" applyNumberFormat="1" applyFont="1" applyAlignment="1">
      <alignment horizontal="center"/>
    </xf>
    <xf numFmtId="214" fontId="159" fillId="0" borderId="0" xfId="39" applyNumberFormat="1" applyFont="1" applyAlignment="1">
      <alignment horizontal="center"/>
    </xf>
    <xf numFmtId="172" fontId="177" fillId="0" borderId="40" xfId="39" applyNumberFormat="1" applyFont="1" applyBorder="1" applyAlignment="1">
      <alignment horizontal="center"/>
    </xf>
    <xf numFmtId="172" fontId="177" fillId="0" borderId="0" xfId="39" applyNumberFormat="1" applyFont="1" applyAlignment="1">
      <alignment horizontal="center"/>
    </xf>
    <xf numFmtId="172" fontId="177" fillId="0" borderId="24" xfId="39" applyNumberFormat="1" applyFont="1" applyBorder="1" applyAlignment="1">
      <alignment horizontal="center"/>
    </xf>
    <xf numFmtId="170" fontId="186" fillId="0" borderId="0" xfId="39" applyNumberFormat="1" applyFont="1" applyAlignment="1">
      <alignment horizontal="center"/>
    </xf>
    <xf numFmtId="170" fontId="159" fillId="0" borderId="40" xfId="42" applyNumberFormat="1" applyFont="1" applyFill="1" applyBorder="1" applyAlignment="1">
      <alignment horizontal="center"/>
    </xf>
    <xf numFmtId="170" fontId="159" fillId="0" borderId="24" xfId="42" applyNumberFormat="1" applyFont="1" applyBorder="1" applyAlignment="1">
      <alignment horizontal="center"/>
    </xf>
    <xf numFmtId="40" fontId="185" fillId="0" borderId="0" xfId="28" applyFont="1" applyBorder="1" applyAlignment="1">
      <alignment horizontal="center"/>
    </xf>
    <xf numFmtId="169" fontId="165" fillId="0" borderId="0" xfId="39" applyNumberFormat="1" applyFont="1" applyAlignment="1">
      <alignment horizontal="center"/>
    </xf>
    <xf numFmtId="9" fontId="162" fillId="37" borderId="0" xfId="42" applyFont="1" applyFill="1" applyBorder="1" applyAlignment="1">
      <alignment horizontal="center"/>
    </xf>
    <xf numFmtId="170" fontId="161" fillId="22" borderId="0" xfId="39" applyNumberFormat="1" applyFont="1" applyFill="1" applyAlignment="1">
      <alignment horizontal="left"/>
    </xf>
    <xf numFmtId="170" fontId="186" fillId="0" borderId="0" xfId="42" applyNumberFormat="1" applyFont="1"/>
    <xf numFmtId="170" fontId="186" fillId="0" borderId="0" xfId="42" applyNumberFormat="1" applyFont="1" applyAlignment="1">
      <alignment horizontal="center"/>
    </xf>
    <xf numFmtId="170" fontId="186" fillId="0" borderId="40" xfId="42" applyNumberFormat="1" applyFont="1" applyBorder="1" applyAlignment="1">
      <alignment horizontal="center"/>
    </xf>
    <xf numFmtId="170" fontId="186" fillId="0" borderId="24" xfId="42" applyNumberFormat="1" applyFont="1" applyBorder="1" applyAlignment="1">
      <alignment horizontal="center"/>
    </xf>
    <xf numFmtId="170" fontId="161" fillId="22" borderId="0" xfId="42" applyNumberFormat="1" applyFont="1" applyFill="1" applyAlignment="1">
      <alignment horizontal="left"/>
    </xf>
    <xf numFmtId="170" fontId="162" fillId="37" borderId="0" xfId="42" applyNumberFormat="1" applyFont="1" applyFill="1" applyAlignment="1">
      <alignment horizontal="center"/>
    </xf>
    <xf numFmtId="0" fontId="186" fillId="0" borderId="0" xfId="39" applyFont="1"/>
    <xf numFmtId="170" fontId="186" fillId="0" borderId="40" xfId="39" applyNumberFormat="1" applyFont="1" applyBorder="1" applyAlignment="1">
      <alignment horizontal="center"/>
    </xf>
    <xf numFmtId="170" fontId="186" fillId="0" borderId="24" xfId="39" applyNumberFormat="1" applyFont="1" applyBorder="1" applyAlignment="1">
      <alignment horizontal="center"/>
    </xf>
    <xf numFmtId="169" fontId="177" fillId="0" borderId="40" xfId="39" applyNumberFormat="1" applyFont="1" applyBorder="1" applyAlignment="1">
      <alignment horizontal="center"/>
    </xf>
    <xf numFmtId="169" fontId="176" fillId="0" borderId="0" xfId="39" applyNumberFormat="1" applyFont="1" applyAlignment="1">
      <alignment horizontal="center"/>
    </xf>
    <xf numFmtId="169" fontId="176" fillId="0" borderId="24" xfId="39" applyNumberFormat="1" applyFont="1" applyBorder="1" applyAlignment="1">
      <alignment horizontal="center"/>
    </xf>
    <xf numFmtId="169" fontId="161" fillId="0" borderId="0" xfId="39" applyNumberFormat="1" applyFont="1" applyAlignment="1">
      <alignment horizontal="center"/>
    </xf>
    <xf numFmtId="9" fontId="177" fillId="0" borderId="0" xfId="42" applyFont="1" applyBorder="1" applyAlignment="1">
      <alignment horizontal="center"/>
    </xf>
    <xf numFmtId="9" fontId="159" fillId="43" borderId="0" xfId="42" applyFont="1" applyFill="1" applyBorder="1" applyAlignment="1">
      <alignment horizontal="center"/>
    </xf>
    <xf numFmtId="170" fontId="162" fillId="0" borderId="0" xfId="42" applyNumberFormat="1" applyFont="1" applyBorder="1" applyAlignment="1">
      <alignment horizontal="center"/>
    </xf>
    <xf numFmtId="170" fontId="162" fillId="0" borderId="40" xfId="42" applyNumberFormat="1" applyFont="1" applyBorder="1" applyAlignment="1">
      <alignment horizontal="center"/>
    </xf>
    <xf numFmtId="170" fontId="162" fillId="0" borderId="24" xfId="42" applyNumberFormat="1" applyFont="1" applyBorder="1" applyAlignment="1">
      <alignment horizontal="center"/>
    </xf>
    <xf numFmtId="38" fontId="162" fillId="0" borderId="0" xfId="28" applyNumberFormat="1" applyFont="1" applyBorder="1" applyAlignment="1">
      <alignment horizontal="center"/>
    </xf>
    <xf numFmtId="38" fontId="162" fillId="0" borderId="40" xfId="28" applyNumberFormat="1" applyFont="1" applyBorder="1" applyAlignment="1">
      <alignment horizontal="center"/>
    </xf>
    <xf numFmtId="38" fontId="162" fillId="0" borderId="0" xfId="28" applyNumberFormat="1" applyFont="1" applyFill="1" applyBorder="1" applyAlignment="1">
      <alignment horizontal="center"/>
    </xf>
    <xf numFmtId="9" fontId="159" fillId="22" borderId="0" xfId="42" applyFont="1" applyFill="1" applyBorder="1" applyAlignment="1">
      <alignment horizontal="center"/>
    </xf>
    <xf numFmtId="9" fontId="159" fillId="37" borderId="0" xfId="42" applyFont="1" applyFill="1" applyBorder="1" applyAlignment="1">
      <alignment horizontal="center"/>
    </xf>
    <xf numFmtId="208" fontId="159" fillId="0" borderId="0" xfId="28" applyNumberFormat="1" applyFont="1" applyFill="1" applyBorder="1"/>
    <xf numFmtId="208" fontId="159" fillId="0" borderId="0" xfId="28" applyNumberFormat="1" applyFont="1" applyFill="1" applyBorder="1" applyAlignment="1">
      <alignment horizontal="center"/>
    </xf>
    <xf numFmtId="208" fontId="159" fillId="0" borderId="40" xfId="28" applyNumberFormat="1" applyFont="1" applyBorder="1" applyAlignment="1">
      <alignment horizontal="center"/>
    </xf>
    <xf numFmtId="208" fontId="177" fillId="0" borderId="0" xfId="28" applyNumberFormat="1" applyFont="1" applyBorder="1" applyAlignment="1">
      <alignment horizontal="center"/>
    </xf>
    <xf numFmtId="208" fontId="177" fillId="0" borderId="24" xfId="28" applyNumberFormat="1" applyFont="1" applyBorder="1" applyAlignment="1">
      <alignment horizontal="center"/>
    </xf>
    <xf numFmtId="208" fontId="162" fillId="22" borderId="0" xfId="28" applyNumberFormat="1" applyFont="1" applyFill="1" applyBorder="1" applyAlignment="1">
      <alignment horizontal="left"/>
    </xf>
    <xf numFmtId="208" fontId="162" fillId="37" borderId="0" xfId="28" applyNumberFormat="1" applyFont="1" applyFill="1" applyBorder="1" applyAlignment="1">
      <alignment horizontal="center"/>
    </xf>
    <xf numFmtId="208" fontId="159" fillId="0" borderId="0" xfId="28" applyNumberFormat="1" applyFont="1" applyBorder="1"/>
    <xf numFmtId="175" fontId="177" fillId="0" borderId="0" xfId="28" applyNumberFormat="1" applyFont="1" applyBorder="1" applyAlignment="1">
      <alignment horizontal="center"/>
    </xf>
    <xf numFmtId="175" fontId="177" fillId="0" borderId="24" xfId="28" applyNumberFormat="1" applyFont="1" applyBorder="1" applyAlignment="1">
      <alignment horizontal="center"/>
    </xf>
    <xf numFmtId="208" fontId="159" fillId="0" borderId="24" xfId="28" applyNumberFormat="1" applyFont="1" applyBorder="1" applyAlignment="1">
      <alignment horizontal="center"/>
    </xf>
    <xf numFmtId="170" fontId="162" fillId="22" borderId="0" xfId="39" applyNumberFormat="1" applyFont="1" applyFill="1" applyAlignment="1">
      <alignment horizontal="left"/>
    </xf>
    <xf numFmtId="0" fontId="188" fillId="21" borderId="0" xfId="39" applyFont="1" applyFill="1"/>
    <xf numFmtId="0" fontId="159" fillId="21" borderId="0" xfId="39" applyFont="1" applyFill="1" applyAlignment="1">
      <alignment horizontal="center"/>
    </xf>
    <xf numFmtId="0" fontId="159" fillId="21" borderId="40" xfId="39" applyFont="1" applyFill="1" applyBorder="1" applyAlignment="1">
      <alignment horizontal="center"/>
    </xf>
    <xf numFmtId="0" fontId="159" fillId="21" borderId="24" xfId="39" applyFont="1" applyFill="1" applyBorder="1" applyAlignment="1">
      <alignment horizontal="center"/>
    </xf>
    <xf numFmtId="0" fontId="159" fillId="0" borderId="0" xfId="39" applyFont="1" applyAlignment="1">
      <alignment horizontal="left"/>
    </xf>
    <xf numFmtId="9" fontId="159" fillId="0" borderId="0" xfId="42" applyFont="1" applyBorder="1" applyAlignment="1">
      <alignment horizontal="center"/>
    </xf>
    <xf numFmtId="9" fontId="159" fillId="0" borderId="40" xfId="42" applyFont="1" applyBorder="1" applyAlignment="1">
      <alignment horizontal="center"/>
    </xf>
    <xf numFmtId="9" fontId="159" fillId="0" borderId="24" xfId="39" applyNumberFormat="1" applyFont="1" applyBorder="1" applyAlignment="1">
      <alignment horizontal="center"/>
    </xf>
    <xf numFmtId="9" fontId="185" fillId="0" borderId="0" xfId="39" applyNumberFormat="1" applyFont="1" applyAlignment="1">
      <alignment horizontal="center"/>
    </xf>
    <xf numFmtId="9" fontId="185" fillId="0" borderId="40" xfId="39" applyNumberFormat="1" applyFont="1" applyBorder="1" applyAlignment="1">
      <alignment horizontal="center"/>
    </xf>
    <xf numFmtId="170" fontId="162" fillId="22" borderId="0" xfId="39" applyNumberFormat="1" applyFont="1" applyFill="1" applyAlignment="1">
      <alignment horizontal="center"/>
    </xf>
    <xf numFmtId="170" fontId="162" fillId="37" borderId="0" xfId="39" applyNumberFormat="1" applyFont="1" applyFill="1" applyAlignment="1">
      <alignment horizontal="center"/>
    </xf>
    <xf numFmtId="169" fontId="185" fillId="0" borderId="0" xfId="39" applyNumberFormat="1" applyFont="1" applyAlignment="1">
      <alignment horizontal="center"/>
    </xf>
    <xf numFmtId="169" fontId="185" fillId="0" borderId="40" xfId="39" applyNumberFormat="1" applyFont="1" applyBorder="1" applyAlignment="1">
      <alignment horizontal="center"/>
    </xf>
    <xf numFmtId="169" fontId="187" fillId="0" borderId="0" xfId="39" applyNumberFormat="1" applyFont="1" applyAlignment="1">
      <alignment horizontal="center"/>
    </xf>
    <xf numFmtId="169" fontId="188" fillId="0" borderId="0" xfId="39" applyNumberFormat="1" applyFont="1" applyAlignment="1">
      <alignment horizontal="center"/>
    </xf>
    <xf numFmtId="178" fontId="162" fillId="0" borderId="0" xfId="39" applyNumberFormat="1" applyFont="1" applyAlignment="1">
      <alignment horizontal="center"/>
    </xf>
    <xf numFmtId="178" fontId="162" fillId="0" borderId="40" xfId="39" applyNumberFormat="1" applyFont="1" applyBorder="1" applyAlignment="1">
      <alignment horizontal="center"/>
    </xf>
    <xf numFmtId="1" fontId="185" fillId="0" borderId="40" xfId="39" applyNumberFormat="1" applyFont="1" applyBorder="1" applyAlignment="1">
      <alignment horizontal="center"/>
    </xf>
    <xf numFmtId="0" fontId="188" fillId="0" borderId="0" xfId="39" applyFont="1" applyAlignment="1">
      <alignment horizontal="center"/>
    </xf>
    <xf numFmtId="10" fontId="159" fillId="0" borderId="40" xfId="39" applyNumberFormat="1" applyFont="1" applyBorder="1" applyAlignment="1">
      <alignment horizontal="center"/>
    </xf>
    <xf numFmtId="10" fontId="159" fillId="0" borderId="0" xfId="39" applyNumberFormat="1" applyFont="1" applyAlignment="1">
      <alignment horizontal="center"/>
    </xf>
    <xf numFmtId="0" fontId="159" fillId="58" borderId="40" xfId="39" applyFont="1" applyFill="1" applyBorder="1" applyAlignment="1">
      <alignment horizontal="center"/>
    </xf>
    <xf numFmtId="10" fontId="159" fillId="58" borderId="0" xfId="42" applyNumberFormat="1" applyFont="1" applyFill="1" applyBorder="1" applyAlignment="1">
      <alignment horizontal="center"/>
    </xf>
    <xf numFmtId="10" fontId="159" fillId="58" borderId="24" xfId="42" applyNumberFormat="1" applyFont="1" applyFill="1" applyBorder="1" applyAlignment="1">
      <alignment horizontal="center"/>
    </xf>
    <xf numFmtId="0" fontId="159" fillId="58" borderId="24" xfId="39" applyFont="1" applyFill="1" applyBorder="1" applyAlignment="1">
      <alignment horizontal="center"/>
    </xf>
    <xf numFmtId="9" fontId="162" fillId="0" borderId="0" xfId="39" applyNumberFormat="1" applyFont="1" applyAlignment="1">
      <alignment horizontal="center"/>
    </xf>
    <xf numFmtId="9" fontId="162" fillId="0" borderId="40" xfId="39" applyNumberFormat="1" applyFont="1" applyBorder="1" applyAlignment="1">
      <alignment horizontal="center"/>
    </xf>
    <xf numFmtId="175" fontId="161" fillId="21" borderId="0" xfId="39" applyNumberFormat="1" applyFont="1" applyFill="1" applyAlignment="1">
      <alignment horizontal="center"/>
    </xf>
    <xf numFmtId="169" fontId="176" fillId="21" borderId="0" xfId="39" applyNumberFormat="1" applyFont="1" applyFill="1" applyAlignment="1">
      <alignment horizontal="center"/>
    </xf>
    <xf numFmtId="169" fontId="162" fillId="21" borderId="40" xfId="39" applyNumberFormat="1" applyFont="1" applyFill="1" applyBorder="1" applyAlignment="1">
      <alignment horizontal="center"/>
    </xf>
    <xf numFmtId="169" fontId="176" fillId="21" borderId="24" xfId="39" applyNumberFormat="1" applyFont="1" applyFill="1" applyBorder="1" applyAlignment="1">
      <alignment horizontal="center"/>
    </xf>
    <xf numFmtId="4" fontId="162" fillId="0" borderId="0" xfId="39" applyNumberFormat="1" applyFont="1" applyAlignment="1">
      <alignment horizontal="center"/>
    </xf>
    <xf numFmtId="170" fontId="176" fillId="0" borderId="0" xfId="39" applyNumberFormat="1" applyFont="1" applyAlignment="1">
      <alignment horizontal="center"/>
    </xf>
    <xf numFmtId="170" fontId="176" fillId="0" borderId="24" xfId="39" applyNumberFormat="1" applyFont="1" applyBorder="1" applyAlignment="1">
      <alignment horizontal="center"/>
    </xf>
    <xf numFmtId="4" fontId="159" fillId="0" borderId="0" xfId="39" applyNumberFormat="1" applyFont="1" applyAlignment="1">
      <alignment horizontal="center"/>
    </xf>
    <xf numFmtId="4" fontId="185" fillId="0" borderId="0" xfId="39" applyNumberFormat="1" applyFont="1" applyAlignment="1">
      <alignment horizontal="center"/>
    </xf>
    <xf numFmtId="9" fontId="185" fillId="0" borderId="24" xfId="39" applyNumberFormat="1" applyFont="1" applyBorder="1" applyAlignment="1">
      <alignment horizontal="center"/>
    </xf>
    <xf numFmtId="170" fontId="165" fillId="36" borderId="0" xfId="42" applyNumberFormat="1" applyFont="1" applyFill="1" applyBorder="1" applyAlignment="1">
      <alignment horizontal="center"/>
    </xf>
    <xf numFmtId="170" fontId="162" fillId="22" borderId="0" xfId="42" applyNumberFormat="1" applyFont="1" applyFill="1" applyBorder="1" applyAlignment="1">
      <alignment horizontal="center"/>
    </xf>
    <xf numFmtId="170" fontId="167" fillId="0" borderId="0" xfId="39" applyNumberFormat="1" applyFont="1"/>
    <xf numFmtId="170" fontId="167" fillId="0" borderId="0" xfId="39" applyNumberFormat="1" applyFont="1" applyAlignment="1">
      <alignment horizontal="center"/>
    </xf>
    <xf numFmtId="170" fontId="167" fillId="0" borderId="24" xfId="39" applyNumberFormat="1" applyFont="1" applyBorder="1" applyAlignment="1">
      <alignment horizontal="center"/>
    </xf>
    <xf numFmtId="170" fontId="168" fillId="43" borderId="0" xfId="39" applyNumberFormat="1" applyFont="1" applyFill="1" applyAlignment="1">
      <alignment horizontal="center"/>
    </xf>
    <xf numFmtId="170" fontId="189" fillId="22" borderId="0" xfId="39" applyNumberFormat="1" applyFont="1" applyFill="1" applyAlignment="1">
      <alignment horizontal="center"/>
    </xf>
    <xf numFmtId="170" fontId="189" fillId="37" borderId="0" xfId="39" applyNumberFormat="1" applyFont="1" applyFill="1" applyAlignment="1">
      <alignment horizontal="center"/>
    </xf>
    <xf numFmtId="170" fontId="190" fillId="0" borderId="0" xfId="39" applyNumberFormat="1" applyFont="1"/>
    <xf numFmtId="170" fontId="185" fillId="0" borderId="0" xfId="42" applyNumberFormat="1" applyFont="1" applyAlignment="1">
      <alignment horizontal="center"/>
    </xf>
    <xf numFmtId="170" fontId="185" fillId="0" borderId="40" xfId="42" applyNumberFormat="1" applyFont="1" applyBorder="1" applyAlignment="1">
      <alignment horizontal="center"/>
    </xf>
    <xf numFmtId="170" fontId="185" fillId="0" borderId="24" xfId="42" applyNumberFormat="1" applyFont="1" applyBorder="1" applyAlignment="1">
      <alignment horizontal="center"/>
    </xf>
    <xf numFmtId="38" fontId="159" fillId="0" borderId="0" xfId="28" applyNumberFormat="1" applyFont="1" applyFill="1" applyBorder="1" applyAlignment="1">
      <alignment horizontal="center"/>
    </xf>
    <xf numFmtId="38" fontId="176" fillId="0" borderId="0" xfId="28" applyNumberFormat="1" applyFont="1" applyFill="1" applyBorder="1" applyAlignment="1">
      <alignment horizontal="center"/>
    </xf>
    <xf numFmtId="169" fontId="191" fillId="0" borderId="0" xfId="39" applyNumberFormat="1" applyFont="1" applyAlignment="1">
      <alignment horizontal="center"/>
    </xf>
    <xf numFmtId="208" fontId="176" fillId="0" borderId="0" xfId="28" applyNumberFormat="1" applyFont="1" applyFill="1" applyBorder="1" applyAlignment="1">
      <alignment horizontal="center"/>
    </xf>
    <xf numFmtId="38" fontId="176" fillId="0" borderId="40" xfId="28" applyNumberFormat="1" applyFont="1" applyFill="1" applyBorder="1" applyAlignment="1">
      <alignment horizontal="center"/>
    </xf>
    <xf numFmtId="38" fontId="177" fillId="0" borderId="0" xfId="28" applyNumberFormat="1" applyFont="1" applyFill="1" applyBorder="1" applyAlignment="1">
      <alignment horizontal="center"/>
    </xf>
    <xf numFmtId="38" fontId="159" fillId="0" borderId="40" xfId="28" applyNumberFormat="1" applyFont="1" applyFill="1" applyBorder="1" applyAlignment="1">
      <alignment horizontal="center"/>
    </xf>
    <xf numFmtId="38" fontId="159" fillId="0" borderId="24" xfId="28" applyNumberFormat="1" applyFont="1" applyFill="1" applyBorder="1" applyAlignment="1">
      <alignment horizontal="center"/>
    </xf>
    <xf numFmtId="1" fontId="165" fillId="43" borderId="0" xfId="39" applyNumberFormat="1" applyFont="1" applyFill="1" applyAlignment="1">
      <alignment horizontal="center"/>
    </xf>
    <xf numFmtId="169" fontId="176" fillId="0" borderId="40" xfId="39" applyNumberFormat="1" applyFont="1" applyBorder="1" applyAlignment="1">
      <alignment horizontal="center"/>
    </xf>
    <xf numFmtId="170" fontId="159" fillId="0" borderId="40" xfId="42" applyNumberFormat="1" applyFont="1" applyBorder="1" applyAlignment="1">
      <alignment horizontal="center"/>
    </xf>
    <xf numFmtId="170" fontId="177" fillId="0" borderId="24" xfId="42" applyNumberFormat="1" applyFont="1" applyBorder="1" applyAlignment="1">
      <alignment horizontal="center"/>
    </xf>
    <xf numFmtId="9" fontId="165" fillId="43" borderId="0" xfId="42" applyFont="1" applyFill="1" applyBorder="1" applyAlignment="1">
      <alignment horizontal="center"/>
    </xf>
    <xf numFmtId="38" fontId="177" fillId="0" borderId="0" xfId="28" applyNumberFormat="1" applyFont="1" applyBorder="1" applyAlignment="1">
      <alignment horizontal="center"/>
    </xf>
    <xf numFmtId="38" fontId="159" fillId="0" borderId="40" xfId="28" applyNumberFormat="1" applyFont="1" applyBorder="1" applyAlignment="1">
      <alignment horizontal="center"/>
    </xf>
    <xf numFmtId="175" fontId="177" fillId="0" borderId="0" xfId="42" applyNumberFormat="1" applyFont="1" applyBorder="1" applyAlignment="1">
      <alignment horizontal="center"/>
    </xf>
    <xf numFmtId="208" fontId="162" fillId="0" borderId="24" xfId="28" applyNumberFormat="1" applyFont="1" applyBorder="1" applyAlignment="1">
      <alignment horizontal="center"/>
    </xf>
    <xf numFmtId="9" fontId="171" fillId="0" borderId="0" xfId="42" applyFont="1" applyFill="1" applyBorder="1" applyAlignment="1">
      <alignment horizontal="left"/>
    </xf>
    <xf numFmtId="0" fontId="170" fillId="0" borderId="0" xfId="39" applyFont="1" applyAlignment="1">
      <alignment horizontal="center"/>
    </xf>
    <xf numFmtId="0" fontId="162" fillId="21" borderId="0" xfId="39" applyFont="1" applyFill="1"/>
    <xf numFmtId="1" fontId="161" fillId="21" borderId="0" xfId="39" applyNumberFormat="1" applyFont="1" applyFill="1" applyAlignment="1">
      <alignment horizontal="center"/>
    </xf>
    <xf numFmtId="3" fontId="162" fillId="21" borderId="0" xfId="39" applyNumberFormat="1" applyFont="1" applyFill="1" applyAlignment="1">
      <alignment horizontal="center"/>
    </xf>
    <xf numFmtId="1" fontId="176" fillId="21" borderId="0" xfId="39" applyNumberFormat="1" applyFont="1" applyFill="1" applyAlignment="1">
      <alignment horizontal="center"/>
    </xf>
    <xf numFmtId="3" fontId="161" fillId="21" borderId="0" xfId="39" applyNumberFormat="1" applyFont="1" applyFill="1" applyAlignment="1">
      <alignment horizontal="center"/>
    </xf>
    <xf numFmtId="3" fontId="176" fillId="21" borderId="0" xfId="39" applyNumberFormat="1" applyFont="1" applyFill="1" applyAlignment="1">
      <alignment horizontal="center"/>
    </xf>
    <xf numFmtId="1" fontId="162" fillId="21" borderId="0" xfId="39" applyNumberFormat="1" applyFont="1" applyFill="1" applyAlignment="1">
      <alignment horizontal="center"/>
    </xf>
    <xf numFmtId="1" fontId="161" fillId="0" borderId="0" xfId="39" applyNumberFormat="1" applyFont="1" applyAlignment="1">
      <alignment horizontal="center"/>
    </xf>
    <xf numFmtId="3" fontId="162" fillId="0" borderId="0" xfId="39" applyNumberFormat="1" applyFont="1" applyAlignment="1">
      <alignment horizontal="center"/>
    </xf>
    <xf numFmtId="3" fontId="161" fillId="0" borderId="0" xfId="39" applyNumberFormat="1" applyFont="1" applyAlignment="1">
      <alignment horizontal="center"/>
    </xf>
    <xf numFmtId="3" fontId="176" fillId="0" borderId="0" xfId="39" applyNumberFormat="1" applyFont="1" applyAlignment="1">
      <alignment horizontal="center"/>
    </xf>
    <xf numFmtId="9" fontId="191" fillId="0" borderId="0" xfId="39" applyNumberFormat="1" applyFont="1" applyAlignment="1">
      <alignment horizontal="center"/>
    </xf>
    <xf numFmtId="170" fontId="177" fillId="0" borderId="40" xfId="39" applyNumberFormat="1" applyFont="1" applyBorder="1" applyAlignment="1">
      <alignment horizontal="center"/>
    </xf>
    <xf numFmtId="170" fontId="159" fillId="43" borderId="0" xfId="39" applyNumberFormat="1" applyFont="1" applyFill="1" applyAlignment="1">
      <alignment horizontal="center"/>
    </xf>
    <xf numFmtId="0" fontId="177" fillId="0" borderId="0" xfId="39" applyFont="1"/>
    <xf numFmtId="170" fontId="165" fillId="0" borderId="24" xfId="42" applyNumberFormat="1" applyFont="1" applyFill="1" applyBorder="1" applyAlignment="1">
      <alignment horizontal="center"/>
    </xf>
    <xf numFmtId="169" fontId="159" fillId="0" borderId="0" xfId="414" applyNumberFormat="1" applyFont="1" applyFill="1" applyBorder="1" applyAlignment="1">
      <alignment horizontal="center"/>
    </xf>
    <xf numFmtId="4" fontId="162" fillId="22" borderId="0" xfId="39" applyNumberFormat="1" applyFont="1" applyFill="1" applyAlignment="1">
      <alignment horizontal="center"/>
    </xf>
    <xf numFmtId="170" fontId="167" fillId="0" borderId="0" xfId="42" applyNumberFormat="1" applyFont="1" applyFill="1" applyBorder="1"/>
    <xf numFmtId="170" fontId="190" fillId="0" borderId="0" xfId="42" applyNumberFormat="1" applyFont="1" applyFill="1" applyBorder="1" applyAlignment="1">
      <alignment horizontal="center"/>
    </xf>
    <xf numFmtId="170" fontId="168" fillId="0" borderId="0" xfId="42" applyNumberFormat="1" applyFont="1" applyFill="1" applyBorder="1" applyAlignment="1">
      <alignment horizontal="center"/>
    </xf>
    <xf numFmtId="170" fontId="189" fillId="22" borderId="0" xfId="42" applyNumberFormat="1" applyFont="1" applyFill="1" applyBorder="1" applyAlignment="1">
      <alignment horizontal="center"/>
    </xf>
    <xf numFmtId="170" fontId="189" fillId="37" borderId="0" xfId="42" applyNumberFormat="1" applyFont="1" applyFill="1" applyBorder="1" applyAlignment="1">
      <alignment horizontal="center"/>
    </xf>
    <xf numFmtId="170" fontId="190" fillId="0" borderId="0" xfId="42" applyNumberFormat="1" applyFont="1" applyFill="1" applyBorder="1"/>
    <xf numFmtId="2" fontId="159" fillId="0" borderId="0" xfId="39" applyNumberFormat="1" applyFont="1" applyAlignment="1">
      <alignment horizontal="center"/>
    </xf>
    <xf numFmtId="2" fontId="159" fillId="0" borderId="40" xfId="39" applyNumberFormat="1" applyFont="1" applyBorder="1" applyAlignment="1">
      <alignment horizontal="center"/>
    </xf>
    <xf numFmtId="2" fontId="159" fillId="0" borderId="24" xfId="39" applyNumberFormat="1" applyFont="1" applyBorder="1" applyAlignment="1">
      <alignment horizontal="center"/>
    </xf>
    <xf numFmtId="217" fontId="177" fillId="0" borderId="0" xfId="28" applyNumberFormat="1" applyFont="1" applyAlignment="1">
      <alignment horizontal="center"/>
    </xf>
    <xf numFmtId="217" fontId="177" fillId="0" borderId="0" xfId="28" applyNumberFormat="1" applyFont="1" applyBorder="1" applyAlignment="1">
      <alignment horizontal="center"/>
    </xf>
    <xf numFmtId="217" fontId="177" fillId="0" borderId="24" xfId="28" applyNumberFormat="1" applyFont="1" applyBorder="1" applyAlignment="1">
      <alignment horizontal="center"/>
    </xf>
    <xf numFmtId="217" fontId="159" fillId="0" borderId="0" xfId="28" applyNumberFormat="1" applyFont="1" applyAlignment="1">
      <alignment horizontal="center"/>
    </xf>
    <xf numFmtId="170" fontId="159" fillId="36" borderId="57" xfId="42" applyNumberFormat="1" applyFont="1" applyFill="1" applyBorder="1" applyAlignment="1">
      <alignment horizontal="center" vertical="center"/>
    </xf>
    <xf numFmtId="175" fontId="177" fillId="0" borderId="0" xfId="28" applyNumberFormat="1" applyFont="1" applyAlignment="1">
      <alignment horizontal="center"/>
    </xf>
    <xf numFmtId="175" fontId="159" fillId="0" borderId="0" xfId="28" applyNumberFormat="1" applyFont="1" applyAlignment="1">
      <alignment horizontal="center"/>
    </xf>
    <xf numFmtId="170" fontId="185" fillId="0" borderId="0" xfId="42" applyNumberFormat="1" applyFont="1" applyFill="1" applyBorder="1" applyAlignment="1">
      <alignment horizontal="center"/>
    </xf>
    <xf numFmtId="209" fontId="161" fillId="0" borderId="0" xfId="39" applyNumberFormat="1" applyFont="1" applyAlignment="1">
      <alignment horizontal="center"/>
    </xf>
    <xf numFmtId="209" fontId="162" fillId="0" borderId="0" xfId="39" applyNumberFormat="1" applyFont="1" applyAlignment="1">
      <alignment horizontal="center"/>
    </xf>
    <xf numFmtId="209" fontId="162" fillId="0" borderId="40" xfId="39" applyNumberFormat="1" applyFont="1" applyBorder="1" applyAlignment="1">
      <alignment horizontal="center"/>
    </xf>
    <xf numFmtId="209" fontId="162" fillId="0" borderId="24" xfId="39" applyNumberFormat="1" applyFont="1" applyBorder="1" applyAlignment="1">
      <alignment horizontal="center"/>
    </xf>
    <xf numFmtId="209" fontId="165" fillId="0" borderId="0" xfId="39" applyNumberFormat="1" applyFont="1" applyAlignment="1">
      <alignment horizontal="center"/>
    </xf>
    <xf numFmtId="209" fontId="159" fillId="0" borderId="0" xfId="39" applyNumberFormat="1" applyFont="1" applyAlignment="1">
      <alignment horizontal="center"/>
    </xf>
    <xf numFmtId="170" fontId="165" fillId="22" borderId="0" xfId="42" applyNumberFormat="1" applyFont="1" applyFill="1" applyBorder="1" applyAlignment="1">
      <alignment horizontal="left"/>
    </xf>
    <xf numFmtId="209" fontId="159" fillId="0" borderId="0" xfId="39" applyNumberFormat="1" applyFont="1"/>
    <xf numFmtId="213" fontId="177" fillId="0" borderId="0" xfId="39" applyNumberFormat="1" applyFont="1" applyAlignment="1">
      <alignment horizontal="center"/>
    </xf>
    <xf numFmtId="213" fontId="159" fillId="0" borderId="0" xfId="39" applyNumberFormat="1" applyFont="1" applyAlignment="1">
      <alignment horizontal="center"/>
    </xf>
    <xf numFmtId="213" fontId="159" fillId="0" borderId="40" xfId="39" applyNumberFormat="1" applyFont="1" applyBorder="1" applyAlignment="1">
      <alignment horizontal="center"/>
    </xf>
    <xf numFmtId="1" fontId="176" fillId="0" borderId="40" xfId="39" applyNumberFormat="1" applyFont="1" applyBorder="1" applyAlignment="1">
      <alignment horizontal="center"/>
    </xf>
    <xf numFmtId="208" fontId="162" fillId="0" borderId="0" xfId="28" applyNumberFormat="1" applyFont="1" applyBorder="1"/>
    <xf numFmtId="208" fontId="177" fillId="0" borderId="40" xfId="28" applyNumberFormat="1" applyFont="1" applyBorder="1" applyAlignment="1">
      <alignment horizontal="center"/>
    </xf>
    <xf numFmtId="208" fontId="177" fillId="0" borderId="0" xfId="28" applyNumberFormat="1" applyFont="1" applyFill="1" applyBorder="1" applyAlignment="1">
      <alignment horizontal="center"/>
    </xf>
    <xf numFmtId="170" fontId="165" fillId="0" borderId="0" xfId="42" applyNumberFormat="1" applyFont="1" applyBorder="1" applyAlignment="1">
      <alignment horizontal="center"/>
    </xf>
    <xf numFmtId="208" fontId="162" fillId="22" borderId="0" xfId="28" applyNumberFormat="1" applyFont="1" applyFill="1" applyBorder="1" applyAlignment="1">
      <alignment horizontal="center"/>
    </xf>
    <xf numFmtId="9" fontId="162" fillId="0" borderId="0" xfId="42" applyFont="1" applyBorder="1"/>
    <xf numFmtId="9" fontId="162" fillId="0" borderId="0" xfId="42" applyFont="1" applyBorder="1" applyAlignment="1">
      <alignment horizontal="center"/>
    </xf>
    <xf numFmtId="9" fontId="159" fillId="0" borderId="24" xfId="42" applyFont="1" applyBorder="1" applyAlignment="1">
      <alignment horizontal="center"/>
    </xf>
    <xf numFmtId="208" fontId="162" fillId="0" borderId="0" xfId="28" applyNumberFormat="1" applyFont="1" applyFill="1" applyBorder="1"/>
    <xf numFmtId="208" fontId="162" fillId="0" borderId="40" xfId="28" applyNumberFormat="1" applyFont="1" applyBorder="1" applyAlignment="1">
      <alignment horizontal="center"/>
    </xf>
    <xf numFmtId="0" fontId="192" fillId="0" borderId="0" xfId="39" applyFont="1"/>
    <xf numFmtId="1" fontId="159" fillId="22" borderId="0" xfId="39" applyNumberFormat="1" applyFont="1" applyFill="1" applyAlignment="1">
      <alignment horizontal="center"/>
    </xf>
    <xf numFmtId="1" fontId="159" fillId="22" borderId="40" xfId="39" applyNumberFormat="1" applyFont="1" applyFill="1" applyBorder="1" applyAlignment="1">
      <alignment horizontal="center"/>
    </xf>
    <xf numFmtId="1" fontId="159" fillId="22" borderId="24" xfId="39" applyNumberFormat="1" applyFont="1" applyFill="1" applyBorder="1" applyAlignment="1">
      <alignment horizontal="center"/>
    </xf>
    <xf numFmtId="170" fontId="159" fillId="22" borderId="0" xfId="42" applyNumberFormat="1" applyFont="1" applyFill="1" applyBorder="1" applyAlignment="1">
      <alignment horizontal="center"/>
    </xf>
    <xf numFmtId="9" fontId="159" fillId="22" borderId="40" xfId="42" applyFont="1" applyFill="1" applyBorder="1" applyAlignment="1">
      <alignment horizontal="center"/>
    </xf>
    <xf numFmtId="169" fontId="159" fillId="22" borderId="0" xfId="39" applyNumberFormat="1" applyFont="1" applyFill="1" applyAlignment="1">
      <alignment horizontal="center"/>
    </xf>
    <xf numFmtId="169" fontId="159" fillId="22" borderId="40" xfId="39" applyNumberFormat="1" applyFont="1" applyFill="1" applyBorder="1" applyAlignment="1">
      <alignment horizontal="center"/>
    </xf>
    <xf numFmtId="169" fontId="159" fillId="22" borderId="24" xfId="39" applyNumberFormat="1" applyFont="1" applyFill="1" applyBorder="1" applyAlignment="1">
      <alignment horizontal="center"/>
    </xf>
    <xf numFmtId="170" fontId="185" fillId="22" borderId="0" xfId="39" applyNumberFormat="1" applyFont="1" applyFill="1" applyAlignment="1">
      <alignment horizontal="center"/>
    </xf>
    <xf numFmtId="170" fontId="185" fillId="22" borderId="40" xfId="39" applyNumberFormat="1" applyFont="1" applyFill="1" applyBorder="1" applyAlignment="1">
      <alignment horizontal="center"/>
    </xf>
    <xf numFmtId="1" fontId="162" fillId="22" borderId="0" xfId="39" applyNumberFormat="1" applyFont="1" applyFill="1" applyAlignment="1">
      <alignment horizontal="center"/>
    </xf>
    <xf numFmtId="1" fontId="162" fillId="22" borderId="40" xfId="39" applyNumberFormat="1" applyFont="1" applyFill="1" applyBorder="1" applyAlignment="1">
      <alignment horizontal="center"/>
    </xf>
    <xf numFmtId="9" fontId="159" fillId="22" borderId="0" xfId="39" applyNumberFormat="1" applyFont="1" applyFill="1" applyAlignment="1">
      <alignment horizontal="center"/>
    </xf>
    <xf numFmtId="9" fontId="185" fillId="22" borderId="0" xfId="39" applyNumberFormat="1" applyFont="1" applyFill="1" applyAlignment="1">
      <alignment horizontal="center"/>
    </xf>
    <xf numFmtId="9" fontId="185" fillId="22" borderId="40" xfId="39" applyNumberFormat="1" applyFont="1" applyFill="1" applyBorder="1" applyAlignment="1">
      <alignment horizontal="center"/>
    </xf>
    <xf numFmtId="0" fontId="159" fillId="22" borderId="0" xfId="39" applyFont="1" applyFill="1" applyAlignment="1">
      <alignment horizontal="center"/>
    </xf>
    <xf numFmtId="0" fontId="159" fillId="22" borderId="40" xfId="39" applyFont="1" applyFill="1" applyBorder="1" applyAlignment="1">
      <alignment horizontal="center"/>
    </xf>
    <xf numFmtId="1" fontId="185" fillId="22" borderId="0" xfId="39" applyNumberFormat="1" applyFont="1" applyFill="1" applyAlignment="1">
      <alignment horizontal="center"/>
    </xf>
    <xf numFmtId="1" fontId="185" fillId="22" borderId="40" xfId="39" applyNumberFormat="1" applyFont="1" applyFill="1" applyBorder="1" applyAlignment="1">
      <alignment horizontal="center"/>
    </xf>
    <xf numFmtId="1" fontId="162" fillId="22" borderId="24" xfId="39" applyNumberFormat="1" applyFont="1" applyFill="1" applyBorder="1" applyAlignment="1">
      <alignment horizontal="center"/>
    </xf>
    <xf numFmtId="0" fontId="162" fillId="41" borderId="0" xfId="39" applyFont="1" applyFill="1"/>
    <xf numFmtId="169" fontId="162" fillId="41" borderId="0" xfId="39" applyNumberFormat="1" applyFont="1" applyFill="1" applyAlignment="1">
      <alignment horizontal="center"/>
    </xf>
    <xf numFmtId="0" fontId="162" fillId="41" borderId="0" xfId="39" applyFont="1" applyFill="1" applyAlignment="1">
      <alignment horizontal="center"/>
    </xf>
    <xf numFmtId="169" fontId="162" fillId="41" borderId="40" xfId="39" applyNumberFormat="1" applyFont="1" applyFill="1" applyBorder="1" applyAlignment="1">
      <alignment horizontal="center"/>
    </xf>
    <xf numFmtId="170" fontId="162" fillId="41" borderId="0" xfId="42" applyNumberFormat="1" applyFont="1" applyFill="1" applyBorder="1" applyAlignment="1">
      <alignment horizontal="center"/>
    </xf>
    <xf numFmtId="1" fontId="162" fillId="41" borderId="0" xfId="39" applyNumberFormat="1" applyFont="1" applyFill="1" applyAlignment="1">
      <alignment horizontal="center"/>
    </xf>
    <xf numFmtId="38" fontId="159" fillId="0" borderId="40" xfId="39" applyNumberFormat="1" applyFont="1" applyBorder="1" applyAlignment="1">
      <alignment horizontal="center"/>
    </xf>
    <xf numFmtId="38" fontId="159" fillId="0" borderId="24" xfId="39" applyNumberFormat="1" applyFont="1" applyBorder="1" applyAlignment="1">
      <alignment horizontal="center"/>
    </xf>
    <xf numFmtId="211" fontId="177" fillId="0" borderId="40" xfId="39" applyNumberFormat="1" applyFont="1" applyBorder="1" applyAlignment="1">
      <alignment horizontal="center"/>
    </xf>
    <xf numFmtId="211" fontId="177" fillId="0" borderId="24" xfId="39" applyNumberFormat="1" applyFont="1" applyBorder="1" applyAlignment="1">
      <alignment horizontal="center"/>
    </xf>
    <xf numFmtId="175" fontId="162" fillId="21" borderId="0" xfId="39" applyNumberFormat="1" applyFont="1" applyFill="1"/>
    <xf numFmtId="175" fontId="162" fillId="21" borderId="0" xfId="39" applyNumberFormat="1" applyFont="1" applyFill="1" applyAlignment="1">
      <alignment horizontal="center"/>
    </xf>
    <xf numFmtId="175" fontId="162" fillId="21" borderId="40" xfId="39" applyNumberFormat="1" applyFont="1" applyFill="1" applyBorder="1" applyAlignment="1">
      <alignment horizontal="center"/>
    </xf>
    <xf numFmtId="175" fontId="162" fillId="21" borderId="24" xfId="39" applyNumberFormat="1" applyFont="1" applyFill="1" applyBorder="1" applyAlignment="1">
      <alignment horizontal="center"/>
    </xf>
    <xf numFmtId="175" fontId="162" fillId="22" borderId="0" xfId="39" applyNumberFormat="1" applyFont="1" applyFill="1" applyAlignment="1">
      <alignment horizontal="center"/>
    </xf>
    <xf numFmtId="175" fontId="162" fillId="37" borderId="0" xfId="39" applyNumberFormat="1" applyFont="1" applyFill="1" applyAlignment="1">
      <alignment horizontal="center"/>
    </xf>
    <xf numFmtId="175" fontId="159" fillId="0" borderId="0" xfId="39" applyNumberFormat="1" applyFont="1"/>
    <xf numFmtId="175" fontId="162" fillId="0" borderId="0" xfId="39" applyNumberFormat="1" applyFont="1"/>
    <xf numFmtId="175" fontId="161" fillId="0" borderId="0" xfId="39" applyNumberFormat="1" applyFont="1" applyAlignment="1">
      <alignment horizontal="center"/>
    </xf>
    <xf numFmtId="175" fontId="162" fillId="0" borderId="0" xfId="39" applyNumberFormat="1" applyFont="1" applyAlignment="1">
      <alignment horizontal="center"/>
    </xf>
    <xf numFmtId="175" fontId="162" fillId="0" borderId="40" xfId="39" applyNumberFormat="1" applyFont="1" applyBorder="1" applyAlignment="1">
      <alignment horizontal="center"/>
    </xf>
    <xf numFmtId="170" fontId="162" fillId="0" borderId="0" xfId="39" quotePrefix="1" applyNumberFormat="1" applyFont="1"/>
    <xf numFmtId="9" fontId="159" fillId="0" borderId="0" xfId="39" quotePrefix="1" applyNumberFormat="1" applyFont="1" applyAlignment="1">
      <alignment horizontal="left" indent="1"/>
    </xf>
    <xf numFmtId="170" fontId="159" fillId="37" borderId="0" xfId="39" applyNumberFormat="1" applyFont="1" applyFill="1" applyAlignment="1">
      <alignment horizontal="center"/>
    </xf>
    <xf numFmtId="170" fontId="185" fillId="0" borderId="24" xfId="39" applyNumberFormat="1" applyFont="1" applyBorder="1" applyAlignment="1">
      <alignment horizontal="center"/>
    </xf>
    <xf numFmtId="170" fontId="165" fillId="44" borderId="0" xfId="39" applyNumberFormat="1" applyFont="1" applyFill="1" applyAlignment="1">
      <alignment horizontal="center"/>
    </xf>
    <xf numFmtId="170" fontId="159" fillId="44" borderId="0" xfId="39" applyNumberFormat="1" applyFont="1" applyFill="1" applyAlignment="1">
      <alignment horizontal="center"/>
    </xf>
    <xf numFmtId="170" fontId="177" fillId="44" borderId="0" xfId="39" applyNumberFormat="1" applyFont="1" applyFill="1" applyAlignment="1">
      <alignment horizontal="center"/>
    </xf>
    <xf numFmtId="210" fontId="177" fillId="44" borderId="0" xfId="39" applyNumberFormat="1" applyFont="1" applyFill="1" applyAlignment="1">
      <alignment horizontal="center"/>
    </xf>
    <xf numFmtId="10" fontId="185" fillId="44" borderId="40" xfId="39" applyNumberFormat="1" applyFont="1" applyFill="1" applyBorder="1" applyAlignment="1">
      <alignment horizontal="center"/>
    </xf>
    <xf numFmtId="170" fontId="185" fillId="44" borderId="0" xfId="39" applyNumberFormat="1" applyFont="1" applyFill="1" applyAlignment="1">
      <alignment horizontal="center"/>
    </xf>
    <xf numFmtId="208" fontId="159" fillId="0" borderId="0" xfId="28" applyNumberFormat="1" applyFont="1" applyFill="1" applyBorder="1" applyAlignment="1"/>
    <xf numFmtId="204" fontId="159" fillId="0" borderId="0" xfId="28" applyNumberFormat="1" applyFont="1" applyFill="1" applyBorder="1" applyAlignment="1"/>
    <xf numFmtId="204" fontId="159" fillId="0" borderId="40" xfId="28" applyNumberFormat="1" applyFont="1" applyFill="1" applyBorder="1" applyAlignment="1"/>
    <xf numFmtId="204" fontId="159" fillId="0" borderId="24" xfId="28" applyNumberFormat="1" applyFont="1" applyFill="1" applyBorder="1" applyAlignment="1"/>
    <xf numFmtId="208" fontId="162" fillId="22" borderId="0" xfId="28" applyNumberFormat="1" applyFont="1" applyFill="1" applyBorder="1" applyAlignment="1"/>
    <xf numFmtId="214" fontId="165" fillId="0" borderId="40" xfId="39" applyNumberFormat="1" applyFont="1" applyBorder="1" applyAlignment="1">
      <alignment horizontal="center"/>
    </xf>
    <xf numFmtId="172" fontId="159" fillId="0" borderId="24" xfId="39" applyNumberFormat="1" applyFont="1" applyBorder="1" applyAlignment="1">
      <alignment horizontal="center"/>
    </xf>
    <xf numFmtId="212" fontId="185" fillId="0" borderId="0" xfId="39" applyNumberFormat="1" applyFont="1" applyAlignment="1">
      <alignment horizontal="center"/>
    </xf>
    <xf numFmtId="212" fontId="185" fillId="0" borderId="40" xfId="39" applyNumberFormat="1" applyFont="1" applyBorder="1" applyAlignment="1">
      <alignment horizontal="center"/>
    </xf>
    <xf numFmtId="170" fontId="177" fillId="43" borderId="0" xfId="42" applyNumberFormat="1" applyFont="1" applyFill="1" applyBorder="1" applyAlignment="1">
      <alignment horizontal="center"/>
    </xf>
    <xf numFmtId="211" fontId="177" fillId="43" borderId="0" xfId="39" applyNumberFormat="1" applyFont="1" applyFill="1" applyAlignment="1">
      <alignment horizontal="center"/>
    </xf>
    <xf numFmtId="170" fontId="165" fillId="22" borderId="0" xfId="39" applyNumberFormat="1" applyFont="1" applyFill="1" applyAlignment="1">
      <alignment horizontal="left"/>
    </xf>
    <xf numFmtId="1" fontId="186" fillId="0" borderId="0" xfId="39" applyNumberFormat="1" applyFont="1" applyAlignment="1">
      <alignment horizontal="center"/>
    </xf>
    <xf numFmtId="1" fontId="186" fillId="0" borderId="40" xfId="39" applyNumberFormat="1" applyFont="1" applyBorder="1" applyAlignment="1">
      <alignment horizontal="center"/>
    </xf>
    <xf numFmtId="1" fontId="186" fillId="0" borderId="24" xfId="39" applyNumberFormat="1" applyFont="1" applyBorder="1" applyAlignment="1">
      <alignment horizontal="center"/>
    </xf>
    <xf numFmtId="178" fontId="162" fillId="0" borderId="24" xfId="39" applyNumberFormat="1" applyFont="1" applyBorder="1" applyAlignment="1">
      <alignment horizontal="center"/>
    </xf>
    <xf numFmtId="169" fontId="159" fillId="0" borderId="0" xfId="42" applyNumberFormat="1" applyFont="1" applyFill="1" applyBorder="1" applyAlignment="1">
      <alignment horizontal="center"/>
    </xf>
    <xf numFmtId="169" fontId="159" fillId="44" borderId="0" xfId="39" applyNumberFormat="1" applyFont="1" applyFill="1" applyAlignment="1">
      <alignment horizontal="center"/>
    </xf>
    <xf numFmtId="169" fontId="159" fillId="0" borderId="40" xfId="42" applyNumberFormat="1" applyFont="1" applyFill="1" applyBorder="1" applyAlignment="1">
      <alignment horizontal="center"/>
    </xf>
    <xf numFmtId="170" fontId="159" fillId="44" borderId="0" xfId="42" applyNumberFormat="1" applyFont="1" applyFill="1" applyBorder="1" applyAlignment="1">
      <alignment horizontal="center"/>
    </xf>
    <xf numFmtId="170" fontId="177" fillId="0" borderId="40" xfId="42" applyNumberFormat="1" applyFont="1" applyFill="1" applyBorder="1" applyAlignment="1">
      <alignment horizontal="center"/>
    </xf>
    <xf numFmtId="0" fontId="162" fillId="42" borderId="0" xfId="39" applyFont="1" applyFill="1" applyAlignment="1">
      <alignment horizontal="left"/>
    </xf>
    <xf numFmtId="0" fontId="159" fillId="42" borderId="0" xfId="39" applyFont="1" applyFill="1" applyAlignment="1">
      <alignment horizontal="center"/>
    </xf>
    <xf numFmtId="0" fontId="159" fillId="42" borderId="40" xfId="39" applyFont="1" applyFill="1" applyBorder="1" applyAlignment="1">
      <alignment horizontal="center"/>
    </xf>
    <xf numFmtId="0" fontId="159" fillId="42" borderId="24" xfId="39" applyFont="1" applyFill="1" applyBorder="1" applyAlignment="1">
      <alignment horizontal="center"/>
    </xf>
    <xf numFmtId="0" fontId="193" fillId="43" borderId="0" xfId="39" applyFont="1" applyFill="1" applyAlignment="1">
      <alignment horizontal="center"/>
    </xf>
    <xf numFmtId="169" fontId="176" fillId="43" borderId="0" xfId="39" applyNumberFormat="1" applyFont="1" applyFill="1" applyAlignment="1">
      <alignment horizontal="center"/>
    </xf>
    <xf numFmtId="169" fontId="162" fillId="43" borderId="0" xfId="39" applyNumberFormat="1" applyFont="1" applyFill="1" applyAlignment="1">
      <alignment horizontal="center"/>
    </xf>
    <xf numFmtId="0" fontId="162" fillId="43" borderId="0" xfId="39" applyFont="1" applyFill="1" applyAlignment="1">
      <alignment horizontal="center"/>
    </xf>
    <xf numFmtId="0" fontId="162" fillId="43" borderId="40" xfId="39" applyFont="1" applyFill="1" applyBorder="1" applyAlignment="1">
      <alignment horizontal="center"/>
    </xf>
    <xf numFmtId="0" fontId="165" fillId="0" borderId="0" xfId="39" applyFont="1" applyAlignment="1">
      <alignment horizontal="center"/>
    </xf>
    <xf numFmtId="169" fontId="159" fillId="21" borderId="0" xfId="39" applyNumberFormat="1" applyFont="1" applyFill="1" applyAlignment="1">
      <alignment horizontal="center"/>
    </xf>
    <xf numFmtId="169" fontId="159" fillId="21" borderId="40" xfId="39" applyNumberFormat="1" applyFont="1" applyFill="1" applyBorder="1" applyAlignment="1">
      <alignment horizontal="center"/>
    </xf>
    <xf numFmtId="169" fontId="159" fillId="21" borderId="24" xfId="39" applyNumberFormat="1" applyFont="1" applyFill="1" applyBorder="1" applyAlignment="1">
      <alignment horizontal="center"/>
    </xf>
    <xf numFmtId="9" fontId="159" fillId="21" borderId="0" xfId="42" applyFont="1" applyFill="1" applyBorder="1" applyAlignment="1">
      <alignment horizontal="center"/>
    </xf>
    <xf numFmtId="9" fontId="159" fillId="21" borderId="40" xfId="42" applyFont="1" applyFill="1" applyBorder="1" applyAlignment="1">
      <alignment horizontal="center"/>
    </xf>
    <xf numFmtId="9" fontId="159" fillId="21" borderId="24" xfId="42" applyFont="1" applyFill="1" applyBorder="1" applyAlignment="1">
      <alignment horizontal="center"/>
    </xf>
    <xf numFmtId="169" fontId="162" fillId="21" borderId="24" xfId="39" applyNumberFormat="1" applyFont="1" applyFill="1" applyBorder="1" applyAlignment="1">
      <alignment horizontal="center"/>
    </xf>
    <xf numFmtId="1" fontId="159" fillId="21" borderId="0" xfId="39" applyNumberFormat="1" applyFont="1" applyFill="1" applyAlignment="1">
      <alignment horizontal="center"/>
    </xf>
    <xf numFmtId="1" fontId="159" fillId="21" borderId="40" xfId="39" applyNumberFormat="1" applyFont="1" applyFill="1" applyBorder="1" applyAlignment="1">
      <alignment horizontal="center"/>
    </xf>
    <xf numFmtId="1" fontId="159" fillId="21" borderId="24" xfId="39" applyNumberFormat="1" applyFont="1" applyFill="1" applyBorder="1" applyAlignment="1">
      <alignment horizontal="center"/>
    </xf>
    <xf numFmtId="0" fontId="162" fillId="58" borderId="0" xfId="39" applyFont="1" applyFill="1" applyAlignment="1">
      <alignment horizontal="left"/>
    </xf>
    <xf numFmtId="169" fontId="159" fillId="58" borderId="0" xfId="42" applyNumberFormat="1" applyFont="1" applyFill="1" applyBorder="1" applyAlignment="1">
      <alignment horizontal="center"/>
    </xf>
    <xf numFmtId="169" fontId="159" fillId="58" borderId="40" xfId="42" applyNumberFormat="1" applyFont="1" applyFill="1" applyBorder="1" applyAlignment="1">
      <alignment horizontal="center"/>
    </xf>
    <xf numFmtId="169" fontId="159" fillId="58" borderId="24" xfId="42" applyNumberFormat="1" applyFont="1" applyFill="1" applyBorder="1" applyAlignment="1">
      <alignment horizontal="center"/>
    </xf>
    <xf numFmtId="175" fontId="176" fillId="0" borderId="0" xfId="39" applyNumberFormat="1" applyFont="1" applyAlignment="1">
      <alignment horizontal="center"/>
    </xf>
    <xf numFmtId="3" fontId="159" fillId="0" borderId="0" xfId="39" applyNumberFormat="1" applyFont="1" applyAlignment="1">
      <alignment horizontal="center"/>
    </xf>
    <xf numFmtId="0" fontId="162" fillId="42" borderId="0" xfId="39" applyFont="1" applyFill="1"/>
    <xf numFmtId="169" fontId="162" fillId="42" borderId="0" xfId="39" applyNumberFormat="1" applyFont="1" applyFill="1" applyAlignment="1">
      <alignment horizontal="center"/>
    </xf>
    <xf numFmtId="3" fontId="162" fillId="42" borderId="0" xfId="39" applyNumberFormat="1" applyFont="1" applyFill="1" applyAlignment="1">
      <alignment horizontal="center"/>
    </xf>
    <xf numFmtId="169" fontId="162" fillId="42" borderId="40" xfId="39" applyNumberFormat="1" applyFont="1" applyFill="1" applyBorder="1" applyAlignment="1">
      <alignment horizontal="center"/>
    </xf>
    <xf numFmtId="211" fontId="176" fillId="0" borderId="0" xfId="42" applyNumberFormat="1" applyFont="1" applyBorder="1" applyAlignment="1">
      <alignment horizontal="center"/>
    </xf>
    <xf numFmtId="170" fontId="162" fillId="0" borderId="0" xfId="42" applyNumberFormat="1" applyFont="1" applyAlignment="1">
      <alignment horizontal="center"/>
    </xf>
    <xf numFmtId="170" fontId="161" fillId="0" borderId="0" xfId="39" applyNumberFormat="1" applyFont="1" applyAlignment="1">
      <alignment horizontal="center"/>
    </xf>
    <xf numFmtId="170" fontId="176" fillId="0" borderId="0" xfId="42" applyNumberFormat="1" applyFont="1" applyBorder="1" applyAlignment="1">
      <alignment horizontal="center"/>
    </xf>
    <xf numFmtId="170" fontId="176" fillId="0" borderId="40" xfId="42" applyNumberFormat="1" applyFont="1" applyBorder="1" applyAlignment="1">
      <alignment horizontal="center"/>
    </xf>
    <xf numFmtId="170" fontId="176" fillId="0" borderId="24" xfId="42" applyNumberFormat="1" applyFont="1" applyBorder="1" applyAlignment="1">
      <alignment horizontal="center"/>
    </xf>
    <xf numFmtId="0" fontId="159" fillId="37" borderId="0" xfId="39" applyFont="1" applyFill="1" applyAlignment="1">
      <alignment horizontal="center"/>
    </xf>
    <xf numFmtId="170" fontId="165" fillId="0" borderId="24" xfId="42" applyNumberFormat="1" applyFont="1" applyBorder="1" applyAlignment="1">
      <alignment horizontal="center"/>
    </xf>
    <xf numFmtId="170" fontId="185" fillId="0" borderId="0" xfId="42" applyNumberFormat="1" applyFont="1" applyBorder="1" applyAlignment="1">
      <alignment horizontal="center"/>
    </xf>
    <xf numFmtId="204" fontId="164" fillId="0" borderId="0" xfId="28" applyNumberFormat="1" applyFont="1" applyFill="1" applyBorder="1" applyAlignment="1">
      <alignment horizontal="center"/>
    </xf>
    <xf numFmtId="0" fontId="190" fillId="22" borderId="0" xfId="39" applyFont="1" applyFill="1" applyAlignment="1">
      <alignment horizontal="center"/>
    </xf>
    <xf numFmtId="0" fontId="190" fillId="37" borderId="0" xfId="39" applyFont="1" applyFill="1" applyAlignment="1">
      <alignment horizontal="center"/>
    </xf>
    <xf numFmtId="0" fontId="190" fillId="0" borderId="0" xfId="39" applyFont="1"/>
    <xf numFmtId="40" fontId="162" fillId="0" borderId="0" xfId="28" applyFont="1" applyBorder="1" applyAlignment="1">
      <alignment horizontal="center"/>
    </xf>
    <xf numFmtId="170" fontId="186" fillId="0" borderId="0" xfId="42" applyNumberFormat="1" applyFont="1" applyBorder="1" applyAlignment="1">
      <alignment horizontal="center"/>
    </xf>
    <xf numFmtId="170" fontId="186" fillId="0" borderId="40" xfId="42" applyNumberFormat="1" applyFont="1" applyFill="1" applyBorder="1" applyAlignment="1">
      <alignment horizontal="center"/>
    </xf>
    <xf numFmtId="40" fontId="186" fillId="0" borderId="0" xfId="28" applyFont="1" applyFill="1" applyBorder="1" applyAlignment="1">
      <alignment horizontal="center"/>
    </xf>
    <xf numFmtId="217" fontId="186" fillId="0" borderId="0" xfId="28" applyNumberFormat="1" applyFont="1" applyFill="1" applyBorder="1" applyAlignment="1">
      <alignment horizontal="center"/>
    </xf>
    <xf numFmtId="208" fontId="159" fillId="22" borderId="0" xfId="28" applyNumberFormat="1" applyFont="1" applyFill="1" applyBorder="1" applyAlignment="1">
      <alignment horizontal="left"/>
    </xf>
    <xf numFmtId="208" fontId="159" fillId="37" borderId="0" xfId="28" applyNumberFormat="1" applyFont="1" applyFill="1" applyBorder="1" applyAlignment="1">
      <alignment horizontal="center"/>
    </xf>
    <xf numFmtId="9" fontId="177" fillId="0" borderId="40" xfId="42" applyFont="1" applyBorder="1" applyAlignment="1">
      <alignment horizontal="center"/>
    </xf>
    <xf numFmtId="9" fontId="162" fillId="0" borderId="0" xfId="42" applyFont="1" applyAlignment="1">
      <alignment horizontal="center"/>
    </xf>
    <xf numFmtId="9" fontId="177" fillId="0" borderId="0" xfId="42" applyFont="1" applyFill="1" applyBorder="1" applyAlignment="1">
      <alignment horizontal="center"/>
    </xf>
    <xf numFmtId="9" fontId="177" fillId="0" borderId="24" xfId="42" applyFont="1" applyBorder="1" applyAlignment="1">
      <alignment horizontal="center"/>
    </xf>
    <xf numFmtId="9" fontId="165" fillId="0" borderId="0" xfId="42" applyFont="1" applyBorder="1" applyAlignment="1">
      <alignment horizontal="center"/>
    </xf>
    <xf numFmtId="169" fontId="159" fillId="0" borderId="0" xfId="42" applyNumberFormat="1" applyFont="1" applyBorder="1" applyAlignment="1">
      <alignment horizontal="center"/>
    </xf>
    <xf numFmtId="169" fontId="159" fillId="0" borderId="40" xfId="42" applyNumberFormat="1" applyFont="1" applyBorder="1" applyAlignment="1">
      <alignment horizontal="center"/>
    </xf>
    <xf numFmtId="169" fontId="159" fillId="0" borderId="24" xfId="42" applyNumberFormat="1" applyFont="1" applyBorder="1" applyAlignment="1">
      <alignment horizontal="center"/>
    </xf>
    <xf numFmtId="208" fontId="186" fillId="0" borderId="0" xfId="28" applyNumberFormat="1" applyFont="1" applyBorder="1" applyAlignment="1">
      <alignment horizontal="center"/>
    </xf>
    <xf numFmtId="175" fontId="162" fillId="0" borderId="24" xfId="39" applyNumberFormat="1" applyFont="1" applyBorder="1" applyAlignment="1">
      <alignment horizontal="center"/>
    </xf>
    <xf numFmtId="170" fontId="164" fillId="0" borderId="0" xfId="39" applyNumberFormat="1" applyFont="1" applyAlignment="1">
      <alignment horizontal="center"/>
    </xf>
    <xf numFmtId="170" fontId="164" fillId="0" borderId="40" xfId="39" applyNumberFormat="1" applyFont="1" applyBorder="1" applyAlignment="1">
      <alignment horizontal="center"/>
    </xf>
    <xf numFmtId="2" fontId="159" fillId="0" borderId="0" xfId="42" applyNumberFormat="1" applyFont="1" applyBorder="1" applyAlignment="1">
      <alignment horizontal="center"/>
    </xf>
    <xf numFmtId="2" fontId="159" fillId="0" borderId="0" xfId="42" applyNumberFormat="1" applyFont="1" applyFill="1" applyBorder="1" applyAlignment="1">
      <alignment horizontal="center"/>
    </xf>
    <xf numFmtId="169" fontId="159" fillId="0" borderId="24" xfId="42" applyNumberFormat="1" applyFont="1" applyFill="1" applyBorder="1" applyAlignment="1">
      <alignment horizontal="center"/>
    </xf>
    <xf numFmtId="210" fontId="159" fillId="0" borderId="0" xfId="42" applyNumberFormat="1" applyFont="1" applyBorder="1" applyAlignment="1">
      <alignment horizontal="center"/>
    </xf>
    <xf numFmtId="179" fontId="159" fillId="0" borderId="0" xfId="39" applyNumberFormat="1" applyFont="1" applyAlignment="1">
      <alignment horizontal="center"/>
    </xf>
    <xf numFmtId="0" fontId="173" fillId="58" borderId="0" xfId="39" applyFont="1" applyFill="1"/>
    <xf numFmtId="9" fontId="159" fillId="58" borderId="0" xfId="39" applyNumberFormat="1" applyFont="1" applyFill="1" applyAlignment="1">
      <alignment horizontal="center"/>
    </xf>
    <xf numFmtId="9" fontId="159" fillId="58" borderId="40" xfId="39" applyNumberFormat="1" applyFont="1" applyFill="1" applyBorder="1" applyAlignment="1">
      <alignment horizontal="center"/>
    </xf>
    <xf numFmtId="10" fontId="159" fillId="58" borderId="0" xfId="39" applyNumberFormat="1" applyFont="1" applyFill="1" applyAlignment="1">
      <alignment horizontal="center"/>
    </xf>
    <xf numFmtId="0" fontId="173" fillId="0" borderId="0" xfId="39" applyFont="1"/>
    <xf numFmtId="0" fontId="159" fillId="0" borderId="0" xfId="39" applyFont="1" applyAlignment="1">
      <alignment horizontal="left" indent="1"/>
    </xf>
    <xf numFmtId="0" fontId="177" fillId="0" borderId="0" xfId="39" applyFont="1" applyAlignment="1">
      <alignment horizontal="center"/>
    </xf>
    <xf numFmtId="0" fontId="159" fillId="0" borderId="0" xfId="42" applyNumberFormat="1" applyFont="1" applyBorder="1" applyAlignment="1">
      <alignment horizontal="center"/>
    </xf>
    <xf numFmtId="169" fontId="4" fillId="0" borderId="0" xfId="28" applyNumberFormat="1" applyFont="1"/>
    <xf numFmtId="169" fontId="4" fillId="0" borderId="0" xfId="28" applyNumberFormat="1" applyFont="1" applyBorder="1"/>
    <xf numFmtId="169" fontId="4" fillId="0" borderId="24" xfId="0" applyNumberFormat="1" applyFont="1" applyBorder="1"/>
    <xf numFmtId="169" fontId="165" fillId="0" borderId="40" xfId="39" applyNumberFormat="1" applyFont="1" applyBorder="1" applyAlignment="1">
      <alignment horizontal="center"/>
    </xf>
    <xf numFmtId="172" fontId="166" fillId="0" borderId="0" xfId="426" applyNumberFormat="1" applyFont="1" applyAlignment="1">
      <alignment horizontal="left"/>
    </xf>
    <xf numFmtId="0" fontId="11" fillId="0" borderId="60" xfId="0" applyFont="1" applyBorder="1"/>
    <xf numFmtId="170" fontId="4" fillId="0" borderId="0" xfId="42" applyNumberFormat="1" applyFont="1" applyFill="1"/>
    <xf numFmtId="170" fontId="168" fillId="0" borderId="0" xfId="39" applyNumberFormat="1" applyFont="1" applyAlignment="1">
      <alignment horizontal="center"/>
    </xf>
    <xf numFmtId="170" fontId="118" fillId="43" borderId="0" xfId="39" applyNumberFormat="1" applyFont="1" applyFill="1" applyAlignment="1">
      <alignment horizontal="right"/>
    </xf>
    <xf numFmtId="170" fontId="118" fillId="0" borderId="0" xfId="39" applyNumberFormat="1" applyFont="1" applyAlignment="1">
      <alignment horizontal="right"/>
    </xf>
    <xf numFmtId="169" fontId="146" fillId="0" borderId="40" xfId="39" applyNumberFormat="1" applyFont="1" applyBorder="1" applyAlignment="1">
      <alignment horizontal="right"/>
    </xf>
    <xf numFmtId="224" fontId="118" fillId="43" borderId="0" xfId="0" applyNumberFormat="1" applyFont="1" applyFill="1" applyAlignment="1">
      <alignment horizontal="right"/>
    </xf>
    <xf numFmtId="9" fontId="118" fillId="43" borderId="0" xfId="42" applyFont="1" applyFill="1" applyBorder="1" applyAlignment="1">
      <alignment horizontal="right"/>
    </xf>
    <xf numFmtId="9" fontId="4" fillId="0" borderId="0" xfId="42" applyFont="1" applyAlignment="1">
      <alignment horizontal="right"/>
    </xf>
    <xf numFmtId="9" fontId="4" fillId="0" borderId="40" xfId="42" applyFont="1" applyBorder="1" applyAlignment="1">
      <alignment horizontal="right"/>
    </xf>
    <xf numFmtId="169" fontId="11" fillId="58" borderId="0" xfId="0" applyNumberFormat="1" applyFont="1" applyFill="1" applyAlignment="1">
      <alignment horizontal="right"/>
    </xf>
    <xf numFmtId="169" fontId="11" fillId="58" borderId="40" xfId="0" applyNumberFormat="1" applyFont="1" applyFill="1" applyBorder="1" applyAlignment="1">
      <alignment horizontal="right"/>
    </xf>
    <xf numFmtId="40" fontId="11" fillId="0" borderId="0" xfId="28" applyFont="1" applyBorder="1"/>
    <xf numFmtId="40" fontId="11" fillId="0" borderId="0" xfId="28" applyFont="1" applyBorder="1" applyAlignment="1">
      <alignment horizontal="right"/>
    </xf>
    <xf numFmtId="40" fontId="145" fillId="0" borderId="0" xfId="28" applyFont="1" applyBorder="1" applyAlignment="1">
      <alignment horizontal="right"/>
    </xf>
    <xf numFmtId="170" fontId="118" fillId="0" borderId="0" xfId="39" applyNumberFormat="1" applyFont="1"/>
    <xf numFmtId="169" fontId="163" fillId="0" borderId="0" xfId="39" applyNumberFormat="1" applyFont="1"/>
    <xf numFmtId="38" fontId="164" fillId="0" borderId="0" xfId="424" applyNumberFormat="1" applyFont="1"/>
    <xf numFmtId="234" fontId="164" fillId="0" borderId="0" xfId="424" applyNumberFormat="1" applyFont="1"/>
    <xf numFmtId="9" fontId="164" fillId="0" borderId="0" xfId="427" applyFont="1" applyFill="1" applyAlignment="1">
      <alignment horizontal="right"/>
    </xf>
    <xf numFmtId="0" fontId="4" fillId="58" borderId="0" xfId="0" applyFont="1" applyFill="1" applyAlignment="1">
      <alignment horizontal="right"/>
    </xf>
    <xf numFmtId="0" fontId="4" fillId="58" borderId="40" xfId="0" applyFont="1" applyFill="1" applyBorder="1" applyAlignment="1">
      <alignment horizontal="right"/>
    </xf>
    <xf numFmtId="169" fontId="164" fillId="0" borderId="0" xfId="0" applyNumberFormat="1" applyFont="1"/>
    <xf numFmtId="209" fontId="164" fillId="0" borderId="0" xfId="0" applyNumberFormat="1" applyFont="1"/>
    <xf numFmtId="1" fontId="4" fillId="0" borderId="0" xfId="0" applyNumberFormat="1" applyFont="1" applyAlignment="1">
      <alignment horizontal="right"/>
    </xf>
    <xf numFmtId="0" fontId="166" fillId="56" borderId="12" xfId="0" applyFont="1" applyFill="1" applyBorder="1"/>
    <xf numFmtId="170" fontId="166" fillId="56" borderId="12" xfId="42" applyNumberFormat="1" applyFont="1" applyFill="1" applyBorder="1"/>
    <xf numFmtId="40" fontId="145" fillId="0" borderId="40" xfId="28" applyFont="1" applyBorder="1" applyAlignment="1">
      <alignment horizontal="right"/>
    </xf>
    <xf numFmtId="170" fontId="164" fillId="0" borderId="0" xfId="42" applyNumberFormat="1" applyFont="1" applyFill="1" applyBorder="1"/>
    <xf numFmtId="0" fontId="164" fillId="0" borderId="60" xfId="424" applyFont="1" applyBorder="1"/>
    <xf numFmtId="0" fontId="181" fillId="0" borderId="60" xfId="424" applyFont="1" applyBorder="1"/>
    <xf numFmtId="170" fontId="4" fillId="0" borderId="24" xfId="0" applyNumberFormat="1" applyFont="1" applyBorder="1"/>
    <xf numFmtId="0" fontId="178" fillId="51" borderId="0" xfId="0" quotePrefix="1" applyFont="1" applyFill="1" applyAlignment="1">
      <alignment horizontal="left"/>
    </xf>
    <xf numFmtId="0" fontId="178" fillId="36" borderId="0" xfId="0" quotePrefix="1" applyFont="1" applyFill="1" applyAlignment="1">
      <alignment horizontal="left"/>
    </xf>
    <xf numFmtId="0" fontId="159" fillId="36" borderId="0" xfId="416" applyFont="1" applyFill="1"/>
    <xf numFmtId="0" fontId="162" fillId="36" borderId="0" xfId="416" applyFont="1" applyFill="1" applyAlignment="1">
      <alignment horizontal="left"/>
    </xf>
    <xf numFmtId="0" fontId="162" fillId="22" borderId="12" xfId="0" applyFont="1" applyFill="1" applyBorder="1"/>
    <xf numFmtId="237" fontId="162" fillId="22" borderId="12" xfId="0" applyNumberFormat="1" applyFont="1" applyFill="1" applyBorder="1"/>
    <xf numFmtId="0" fontId="162" fillId="58" borderId="0" xfId="0" applyFont="1" applyFill="1" applyAlignment="1">
      <alignment horizontal="right"/>
    </xf>
    <xf numFmtId="1" fontId="159" fillId="36" borderId="0" xfId="0" applyNumberFormat="1" applyFont="1" applyFill="1"/>
    <xf numFmtId="0" fontId="162" fillId="36" borderId="0" xfId="0" quotePrefix="1" applyFont="1" applyFill="1" applyAlignment="1">
      <alignment horizontal="left"/>
    </xf>
    <xf numFmtId="1" fontId="162" fillId="36" borderId="0" xfId="0" applyNumberFormat="1" applyFont="1" applyFill="1"/>
    <xf numFmtId="38" fontId="159" fillId="36" borderId="0" xfId="0" applyNumberFormat="1" applyFont="1" applyFill="1"/>
    <xf numFmtId="3" fontId="159" fillId="36" borderId="0" xfId="416" applyNumberFormat="1" applyFont="1" applyFill="1"/>
    <xf numFmtId="169" fontId="162" fillId="36" borderId="0" xfId="0" applyNumberFormat="1" applyFont="1" applyFill="1"/>
    <xf numFmtId="7" fontId="159" fillId="36" borderId="0" xfId="0" applyNumberFormat="1" applyFont="1" applyFill="1"/>
    <xf numFmtId="0" fontId="174" fillId="51" borderId="24" xfId="0" applyFont="1" applyFill="1" applyBorder="1" applyAlignment="1">
      <alignment horizontal="center"/>
    </xf>
    <xf numFmtId="170" fontId="187" fillId="0" borderId="24" xfId="42" applyNumberFormat="1" applyFont="1" applyBorder="1" applyAlignment="1">
      <alignment horizontal="center"/>
    </xf>
    <xf numFmtId="38" fontId="159" fillId="0" borderId="24" xfId="28" applyNumberFormat="1" applyFont="1" applyBorder="1" applyAlignment="1">
      <alignment horizontal="center"/>
    </xf>
    <xf numFmtId="169" fontId="185" fillId="0" borderId="24" xfId="39" applyNumberFormat="1" applyFont="1" applyBorder="1" applyAlignment="1">
      <alignment horizontal="center"/>
    </xf>
    <xf numFmtId="1" fontId="185" fillId="0" borderId="24" xfId="39" applyNumberFormat="1" applyFont="1" applyBorder="1" applyAlignment="1">
      <alignment horizontal="center"/>
    </xf>
    <xf numFmtId="9" fontId="159" fillId="22" borderId="24" xfId="42" applyFont="1" applyFill="1" applyBorder="1" applyAlignment="1">
      <alignment horizontal="center"/>
    </xf>
    <xf numFmtId="170" fontId="185" fillId="22" borderId="24" xfId="39" applyNumberFormat="1" applyFont="1" applyFill="1" applyBorder="1" applyAlignment="1">
      <alignment horizontal="center"/>
    </xf>
    <xf numFmtId="9" fontId="185" fillId="22" borderId="24" xfId="39" applyNumberFormat="1" applyFont="1" applyFill="1" applyBorder="1" applyAlignment="1">
      <alignment horizontal="center"/>
    </xf>
    <xf numFmtId="0" fontId="159" fillId="22" borderId="24" xfId="39" applyFont="1" applyFill="1" applyBorder="1" applyAlignment="1">
      <alignment horizontal="center"/>
    </xf>
    <xf numFmtId="1" fontId="185" fillId="22" borderId="24" xfId="39" applyNumberFormat="1" applyFont="1" applyFill="1" applyBorder="1" applyAlignment="1">
      <alignment horizontal="center"/>
    </xf>
    <xf numFmtId="0" fontId="162" fillId="41" borderId="24" xfId="39" applyFont="1" applyFill="1" applyBorder="1" applyAlignment="1">
      <alignment horizontal="center"/>
    </xf>
    <xf numFmtId="170" fontId="185" fillId="44" borderId="24" xfId="39" applyNumberFormat="1" applyFont="1" applyFill="1" applyBorder="1" applyAlignment="1">
      <alignment horizontal="center"/>
    </xf>
    <xf numFmtId="211" fontId="177" fillId="43" borderId="24" xfId="39" applyNumberFormat="1" applyFont="1" applyFill="1" applyBorder="1" applyAlignment="1">
      <alignment horizontal="center"/>
    </xf>
    <xf numFmtId="0" fontId="162" fillId="43" borderId="24" xfId="39" applyFont="1" applyFill="1" applyBorder="1" applyAlignment="1">
      <alignment horizontal="center"/>
    </xf>
    <xf numFmtId="169" fontId="162" fillId="42" borderId="24" xfId="39" applyNumberFormat="1" applyFont="1" applyFill="1" applyBorder="1" applyAlignment="1">
      <alignment horizontal="center"/>
    </xf>
    <xf numFmtId="170" fontId="186" fillId="0" borderId="24" xfId="42" applyNumberFormat="1" applyFont="1" applyFill="1" applyBorder="1" applyAlignment="1">
      <alignment horizontal="center"/>
    </xf>
    <xf numFmtId="170" fontId="164" fillId="0" borderId="24" xfId="39" applyNumberFormat="1" applyFont="1" applyBorder="1" applyAlignment="1">
      <alignment horizontal="center"/>
    </xf>
    <xf numFmtId="9" fontId="159" fillId="58" borderId="24" xfId="39" applyNumberFormat="1" applyFont="1" applyFill="1" applyBorder="1" applyAlignment="1">
      <alignment horizontal="center"/>
    </xf>
    <xf numFmtId="9" fontId="4" fillId="0" borderId="0" xfId="42" applyFont="1" applyBorder="1" applyAlignment="1">
      <alignment horizontal="right"/>
    </xf>
    <xf numFmtId="9" fontId="151" fillId="0" borderId="0" xfId="42" applyFont="1" applyFill="1" applyBorder="1" applyAlignment="1">
      <alignment horizontal="right"/>
    </xf>
    <xf numFmtId="10" fontId="185" fillId="0" borderId="24" xfId="39" applyNumberFormat="1" applyFont="1" applyBorder="1" applyAlignment="1">
      <alignment horizontal="center"/>
    </xf>
    <xf numFmtId="10" fontId="159" fillId="0" borderId="24" xfId="42" applyNumberFormat="1" applyFont="1" applyFill="1" applyBorder="1" applyAlignment="1">
      <alignment horizontal="center"/>
    </xf>
    <xf numFmtId="208" fontId="176" fillId="0" borderId="24" xfId="28" applyNumberFormat="1" applyFont="1" applyFill="1" applyBorder="1" applyAlignment="1">
      <alignment horizontal="center"/>
    </xf>
    <xf numFmtId="208" fontId="177" fillId="0" borderId="24" xfId="28" applyNumberFormat="1" applyFont="1" applyFill="1" applyBorder="1" applyAlignment="1">
      <alignment horizontal="center"/>
    </xf>
    <xf numFmtId="0" fontId="177" fillId="0" borderId="24" xfId="39" applyFont="1" applyBorder="1" applyAlignment="1">
      <alignment horizontal="center"/>
    </xf>
    <xf numFmtId="217" fontId="11" fillId="0" borderId="0" xfId="28" applyNumberFormat="1" applyFont="1" applyBorder="1"/>
    <xf numFmtId="217" fontId="145" fillId="0" borderId="0" xfId="28" applyNumberFormat="1" applyFont="1" applyBorder="1"/>
    <xf numFmtId="0" fontId="11" fillId="0" borderId="56" xfId="0" applyFont="1" applyBorder="1"/>
    <xf numFmtId="0" fontId="11" fillId="0" borderId="24" xfId="0" applyFont="1" applyBorder="1"/>
    <xf numFmtId="9" fontId="4" fillId="0" borderId="24" xfId="42" applyFont="1" applyBorder="1"/>
    <xf numFmtId="175" fontId="11" fillId="58" borderId="24" xfId="39" applyNumberFormat="1" applyFont="1" applyFill="1" applyBorder="1" applyAlignment="1">
      <alignment horizontal="center"/>
    </xf>
    <xf numFmtId="208" fontId="4" fillId="0" borderId="24" xfId="28" applyNumberFormat="1" applyFont="1" applyFill="1" applyBorder="1"/>
    <xf numFmtId="175" fontId="146" fillId="0" borderId="24" xfId="28" applyNumberFormat="1" applyFont="1" applyFill="1" applyBorder="1"/>
    <xf numFmtId="170" fontId="167" fillId="0" borderId="0" xfId="42" applyNumberFormat="1" applyFont="1" applyFill="1" applyBorder="1" applyAlignment="1">
      <alignment horizontal="left" indent="2"/>
    </xf>
    <xf numFmtId="169" fontId="11" fillId="0" borderId="0" xfId="39" applyNumberFormat="1" applyFont="1" applyAlignment="1">
      <alignment horizontal="right"/>
    </xf>
    <xf numFmtId="170" fontId="11" fillId="0" borderId="0" xfId="42" applyNumberFormat="1" applyFont="1" applyBorder="1" applyAlignment="1">
      <alignment horizontal="right"/>
    </xf>
    <xf numFmtId="238" fontId="147" fillId="0" borderId="0" xfId="0" applyNumberFormat="1" applyFont="1" applyAlignment="1">
      <alignment horizontal="right"/>
    </xf>
    <xf numFmtId="9" fontId="153" fillId="0" borderId="0" xfId="42" applyFont="1" applyAlignment="1">
      <alignment horizontal="right"/>
    </xf>
    <xf numFmtId="9" fontId="175" fillId="0" borderId="0" xfId="39" applyNumberFormat="1" applyFont="1" applyAlignment="1">
      <alignment horizontal="center"/>
    </xf>
    <xf numFmtId="38" fontId="4" fillId="0" borderId="0" xfId="28" applyNumberFormat="1" applyFont="1" applyAlignment="1">
      <alignment horizontal="right"/>
    </xf>
    <xf numFmtId="239" fontId="164" fillId="0" borderId="0" xfId="424" applyNumberFormat="1" applyFont="1"/>
    <xf numFmtId="239" fontId="166" fillId="0" borderId="0" xfId="424" applyNumberFormat="1" applyFont="1"/>
    <xf numFmtId="0" fontId="121" fillId="50" borderId="0" xfId="419" quotePrefix="1" applyFont="1" applyFill="1" applyAlignment="1">
      <alignment horizontal="left" vertical="center"/>
    </xf>
    <xf numFmtId="0" fontId="160" fillId="51" borderId="0" xfId="0" applyFont="1" applyFill="1" applyAlignment="1">
      <alignment horizontal="center"/>
    </xf>
    <xf numFmtId="0" fontId="162" fillId="58" borderId="0" xfId="416" applyFont="1" applyFill="1" applyAlignment="1">
      <alignment horizontal="left" vertical="center"/>
    </xf>
    <xf numFmtId="0" fontId="124" fillId="50" borderId="46" xfId="0" applyFont="1" applyFill="1" applyBorder="1" applyAlignment="1">
      <alignment horizontal="center"/>
    </xf>
    <xf numFmtId="2" fontId="124" fillId="50" borderId="46" xfId="0" applyNumberFormat="1" applyFont="1" applyFill="1" applyBorder="1" applyAlignment="1">
      <alignment horizontal="center"/>
    </xf>
    <xf numFmtId="2" fontId="124" fillId="50" borderId="47" xfId="0" applyNumberFormat="1" applyFont="1" applyFill="1" applyBorder="1" applyAlignment="1">
      <alignment horizontal="center"/>
    </xf>
    <xf numFmtId="0" fontId="124" fillId="51" borderId="22" xfId="0" applyFont="1" applyFill="1" applyBorder="1" applyAlignment="1">
      <alignment horizontal="left"/>
    </xf>
    <xf numFmtId="0" fontId="124" fillId="51" borderId="33" xfId="0" applyFont="1" applyFill="1" applyBorder="1" applyAlignment="1">
      <alignment horizontal="left"/>
    </xf>
    <xf numFmtId="2" fontId="124" fillId="52" borderId="30" xfId="0" applyNumberFormat="1" applyFont="1" applyFill="1" applyBorder="1" applyAlignment="1">
      <alignment horizontal="center"/>
    </xf>
    <xf numFmtId="2" fontId="124" fillId="52" borderId="23" xfId="0" applyNumberFormat="1" applyFont="1" applyFill="1" applyBorder="1" applyAlignment="1">
      <alignment horizontal="center"/>
    </xf>
    <xf numFmtId="2" fontId="124" fillId="52" borderId="0" xfId="0" applyNumberFormat="1" applyFont="1" applyFill="1" applyAlignment="1">
      <alignment horizontal="center"/>
    </xf>
    <xf numFmtId="2" fontId="124" fillId="52" borderId="24" xfId="0" applyNumberFormat="1" applyFont="1" applyFill="1" applyBorder="1" applyAlignment="1">
      <alignment horizontal="center"/>
    </xf>
    <xf numFmtId="0" fontId="124" fillId="51" borderId="32" xfId="0" applyFont="1" applyFill="1" applyBorder="1" applyAlignment="1">
      <alignment horizontal="center"/>
    </xf>
    <xf numFmtId="0" fontId="124" fillId="51" borderId="31" xfId="0" applyFont="1" applyFill="1" applyBorder="1" applyAlignment="1">
      <alignment horizontal="center"/>
    </xf>
    <xf numFmtId="0" fontId="124" fillId="47" borderId="0" xfId="0" applyFont="1" applyFill="1" applyAlignment="1">
      <alignment horizontal="center"/>
    </xf>
    <xf numFmtId="0" fontId="125" fillId="5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38" fillId="51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10" fontId="169" fillId="0" borderId="0" xfId="42" applyNumberFormat="1" applyFont="1" applyFill="1" applyBorder="1" applyAlignment="1">
      <alignment horizontal="center"/>
    </xf>
    <xf numFmtId="166" fontId="159" fillId="0" borderId="0" xfId="0" applyNumberFormat="1" applyFont="1" applyFill="1"/>
    <xf numFmtId="38" fontId="159" fillId="0" borderId="0" xfId="0" applyNumberFormat="1" applyFont="1" applyFill="1"/>
    <xf numFmtId="0" fontId="162" fillId="0" borderId="0" xfId="0" applyFont="1" applyFill="1"/>
    <xf numFmtId="0" fontId="159" fillId="0" borderId="0" xfId="0" applyFont="1" applyFill="1"/>
    <xf numFmtId="0" fontId="159" fillId="0" borderId="0" xfId="0" applyFont="1" applyFill="1" applyBorder="1"/>
  </cellXfs>
  <cellStyles count="445">
    <cellStyle name="_%(SignOnly)" xfId="51" xr:uid="{00000000-0005-0000-0000-000000000000}"/>
    <cellStyle name="_%(SignSpaceOnly)" xfId="52" xr:uid="{00000000-0005-0000-0000-000001000000}"/>
    <cellStyle name="_Comma" xfId="53" xr:uid="{00000000-0005-0000-0000-000002000000}"/>
    <cellStyle name="_Comma_01 adj for merger plan" xfId="54" xr:uid="{00000000-0005-0000-0000-000003000000}"/>
    <cellStyle name="_Comma_Ability to Pay Analysis" xfId="55" xr:uid="{00000000-0005-0000-0000-000004000000}"/>
    <cellStyle name="_Comma_AFL" xfId="56" xr:uid="{00000000-0005-0000-0000-000005000000}"/>
    <cellStyle name="_Comma_AIZ" xfId="57" xr:uid="{00000000-0005-0000-0000-000006000000}"/>
    <cellStyle name="_Comma_AIZ04-Quantum2" xfId="58" xr:uid="{00000000-0005-0000-0000-000007000000}"/>
    <cellStyle name="_Comma_AMP" xfId="59" xr:uid="{00000000-0005-0000-0000-000008000000}"/>
    <cellStyle name="_Comma_Book1" xfId="60" xr:uid="{00000000-0005-0000-0000-000009000000}"/>
    <cellStyle name="_Comma_Book3" xfId="61" xr:uid="{00000000-0005-0000-0000-00000A000000}"/>
    <cellStyle name="_Comma_CNO" xfId="62" xr:uid="{00000000-0005-0000-0000-00000B000000}"/>
    <cellStyle name="_Comma_CNO04" xfId="63" xr:uid="{00000000-0005-0000-0000-00000C000000}"/>
    <cellStyle name="_Comma_DCF Alexander Forbes" xfId="64" xr:uid="{00000000-0005-0000-0000-00000D000000}"/>
    <cellStyle name="_Comma_fmbi counties" xfId="65" xr:uid="{00000000-0005-0000-0000-00000E000000}"/>
    <cellStyle name="_Comma_FMBI MBHI Graphs" xfId="66" xr:uid="{00000000-0005-0000-0000-00000F000000}"/>
    <cellStyle name="_Comma_FMBI MBHI Graphs 07102001" xfId="67" xr:uid="{00000000-0005-0000-0000-000010000000}"/>
    <cellStyle name="_Comma_FMBI MBHI Graphs_7601" xfId="68" xr:uid="{00000000-0005-0000-0000-000011000000}"/>
    <cellStyle name="_Comma_genworth model" xfId="69" xr:uid="{00000000-0005-0000-0000-000012000000}"/>
    <cellStyle name="_Comma_Insurance Brokerage CSC_1Q2002" xfId="70" xr:uid="{00000000-0005-0000-0000-000013000000}"/>
    <cellStyle name="_Comma_JP_LNC_spread_monitor (2)" xfId="71" xr:uid="{00000000-0005-0000-0000-000014000000}"/>
    <cellStyle name="_Comma_NFP" xfId="72" xr:uid="{00000000-0005-0000-0000-000015000000}"/>
    <cellStyle name="_Comma_NFS" xfId="73" xr:uid="{00000000-0005-0000-0000-000016000000}"/>
    <cellStyle name="_Comma_Overview3" xfId="74" xr:uid="{00000000-0005-0000-0000-000017000000}"/>
    <cellStyle name="_Comma_phil data" xfId="75" xr:uid="{00000000-0005-0000-0000-000018000000}"/>
    <cellStyle name="_Comma_Price Performance Charts" xfId="76" xr:uid="{00000000-0005-0000-0000-000019000000}"/>
    <cellStyle name="_Comma_Quarterly Review by Company" xfId="77" xr:uid="{00000000-0005-0000-0000-00001A000000}"/>
    <cellStyle name="_Comma_SFG Data File" xfId="78" xr:uid="{00000000-0005-0000-0000-00001B000000}"/>
    <cellStyle name="_Comma_Sheet1" xfId="79" xr:uid="{00000000-0005-0000-0000-00001C000000}"/>
    <cellStyle name="_Comma_Stock-QTR1 FDS" xfId="80" xr:uid="{00000000-0005-0000-0000-00001D000000}"/>
    <cellStyle name="_Comma_Updated Valuation Changes" xfId="81" xr:uid="{00000000-0005-0000-0000-00001E000000}"/>
    <cellStyle name="_Comma_Valuation Graphs" xfId="82" xr:uid="{00000000-0005-0000-0000-00001F000000}"/>
    <cellStyle name="_Comma_xratio - historical mkt val" xfId="83" xr:uid="{00000000-0005-0000-0000-000020000000}"/>
    <cellStyle name="_Currency" xfId="84" xr:uid="{00000000-0005-0000-0000-000021000000}"/>
    <cellStyle name="_Currency_01 adj for merger plan" xfId="85" xr:uid="{00000000-0005-0000-0000-000022000000}"/>
    <cellStyle name="_Currency_Ability to Pay Analysis" xfId="86" xr:uid="{00000000-0005-0000-0000-000023000000}"/>
    <cellStyle name="_Currency_AFL" xfId="87" xr:uid="{00000000-0005-0000-0000-000024000000}"/>
    <cellStyle name="_Currency_AIZ" xfId="88" xr:uid="{00000000-0005-0000-0000-000025000000}"/>
    <cellStyle name="_Currency_AMP" xfId="89" xr:uid="{00000000-0005-0000-0000-000026000000}"/>
    <cellStyle name="_Currency_Balance Sheet" xfId="90" xr:uid="{00000000-0005-0000-0000-000027000000}"/>
    <cellStyle name="_Currency_Book1" xfId="91" xr:uid="{00000000-0005-0000-0000-000028000000}"/>
    <cellStyle name="_Currency_Book29" xfId="92" xr:uid="{00000000-0005-0000-0000-000029000000}"/>
    <cellStyle name="_Currency_Book3" xfId="93" xr:uid="{00000000-0005-0000-0000-00002A000000}"/>
    <cellStyle name="_Currency_Book3_1" xfId="94" xr:uid="{00000000-0005-0000-0000-00002B000000}"/>
    <cellStyle name="_Currency_CNO" xfId="95" xr:uid="{00000000-0005-0000-0000-00002C000000}"/>
    <cellStyle name="_Currency_DCF Alexander Forbes" xfId="96" xr:uid="{00000000-0005-0000-0000-00002D000000}"/>
    <cellStyle name="_Currency_fmbi counties" xfId="97" xr:uid="{00000000-0005-0000-0000-00002E000000}"/>
    <cellStyle name="_Currency_FMBI MBHI Graphs" xfId="98" xr:uid="{00000000-0005-0000-0000-00002F000000}"/>
    <cellStyle name="_Currency_FMBI MBHI Graphs 07102001" xfId="99" xr:uid="{00000000-0005-0000-0000-000030000000}"/>
    <cellStyle name="_Currency_FMBI MBHI Graphs_7601" xfId="100" xr:uid="{00000000-0005-0000-0000-000031000000}"/>
    <cellStyle name="_Currency_GNW" xfId="101" xr:uid="{00000000-0005-0000-0000-000032000000}"/>
    <cellStyle name="_Currency_Insurance Brokerage CSC_1Q2002" xfId="102" xr:uid="{00000000-0005-0000-0000-000033000000}"/>
    <cellStyle name="_Currency_JP" xfId="103" xr:uid="{00000000-0005-0000-0000-000034000000}"/>
    <cellStyle name="_Currency_LNC" xfId="104" xr:uid="{00000000-0005-0000-0000-000035000000}"/>
    <cellStyle name="_Currency_MET" xfId="105" xr:uid="{00000000-0005-0000-0000-000036000000}"/>
    <cellStyle name="_Currency_MET04" xfId="106" xr:uid="{00000000-0005-0000-0000-000037000000}"/>
    <cellStyle name="_Currency_NFS" xfId="107" xr:uid="{00000000-0005-0000-0000-000038000000}"/>
    <cellStyle name="_Currency_Overview3" xfId="108" xr:uid="{00000000-0005-0000-0000-000039000000}"/>
    <cellStyle name="_Currency_phil data" xfId="109" xr:uid="{00000000-0005-0000-0000-00003A000000}"/>
    <cellStyle name="_Currency_Price Performance Charts" xfId="110" xr:uid="{00000000-0005-0000-0000-00003B000000}"/>
    <cellStyle name="_Currency_PRU" xfId="111" xr:uid="{00000000-0005-0000-0000-00003C000000}"/>
    <cellStyle name="_Currency_PRU04" xfId="112" xr:uid="{00000000-0005-0000-0000-00003D000000}"/>
    <cellStyle name="_Currency_RiskReward" xfId="113" xr:uid="{00000000-0005-0000-0000-00003E000000}"/>
    <cellStyle name="_Currency_SFG" xfId="114" xr:uid="{00000000-0005-0000-0000-00003F000000}"/>
    <cellStyle name="_Currency_Sheet1" xfId="115" xr:uid="{00000000-0005-0000-0000-000040000000}"/>
    <cellStyle name="_Currency_Stock-QTR1 FDS" xfId="116" xr:uid="{00000000-0005-0000-0000-000041000000}"/>
    <cellStyle name="_Currency_TMK" xfId="117" xr:uid="{00000000-0005-0000-0000-000042000000}"/>
    <cellStyle name="_Currency_Updated Valuation Changes" xfId="118" xr:uid="{00000000-0005-0000-0000-000043000000}"/>
    <cellStyle name="_Currency_Valuation Graphs" xfId="119" xr:uid="{00000000-0005-0000-0000-000044000000}"/>
    <cellStyle name="_Currency_xratio - historical mkt val" xfId="120" xr:uid="{00000000-0005-0000-0000-000045000000}"/>
    <cellStyle name="_CurrencySpace" xfId="121" xr:uid="{00000000-0005-0000-0000-000046000000}"/>
    <cellStyle name="_CurrencySpace_01 adj for merger plan" xfId="122" xr:uid="{00000000-0005-0000-0000-000047000000}"/>
    <cellStyle name="_CurrencySpace_Ability to Pay Analysis" xfId="123" xr:uid="{00000000-0005-0000-0000-000048000000}"/>
    <cellStyle name="_CurrencySpace_AFL" xfId="124" xr:uid="{00000000-0005-0000-0000-000049000000}"/>
    <cellStyle name="_CurrencySpace_AIZ" xfId="125" xr:uid="{00000000-0005-0000-0000-00004A000000}"/>
    <cellStyle name="_CurrencySpace_AMP" xfId="126" xr:uid="{00000000-0005-0000-0000-00004B000000}"/>
    <cellStyle name="_CurrencySpace_Balance Sheet" xfId="127" xr:uid="{00000000-0005-0000-0000-00004C000000}"/>
    <cellStyle name="_CurrencySpace_Book1" xfId="128" xr:uid="{00000000-0005-0000-0000-00004D000000}"/>
    <cellStyle name="_CurrencySpace_Book29" xfId="129" xr:uid="{00000000-0005-0000-0000-00004E000000}"/>
    <cellStyle name="_CurrencySpace_Book3" xfId="130" xr:uid="{00000000-0005-0000-0000-00004F000000}"/>
    <cellStyle name="_CurrencySpace_Book3_1" xfId="131" xr:uid="{00000000-0005-0000-0000-000050000000}"/>
    <cellStyle name="_CurrencySpace_CNO" xfId="132" xr:uid="{00000000-0005-0000-0000-000051000000}"/>
    <cellStyle name="_CurrencySpace_DCF Alexander Forbes" xfId="133" xr:uid="{00000000-0005-0000-0000-000052000000}"/>
    <cellStyle name="_CurrencySpace_fmbi counties" xfId="134" xr:uid="{00000000-0005-0000-0000-000053000000}"/>
    <cellStyle name="_CurrencySpace_FMBI MBHI Graphs" xfId="135" xr:uid="{00000000-0005-0000-0000-000054000000}"/>
    <cellStyle name="_CurrencySpace_FMBI MBHI Graphs 07102001" xfId="136" xr:uid="{00000000-0005-0000-0000-000055000000}"/>
    <cellStyle name="_CurrencySpace_FMBI MBHI Graphs_7601" xfId="137" xr:uid="{00000000-0005-0000-0000-000056000000}"/>
    <cellStyle name="_CurrencySpace_GNW" xfId="138" xr:uid="{00000000-0005-0000-0000-000057000000}"/>
    <cellStyle name="_CurrencySpace_Insurance Brokerage CSC_1Q2002" xfId="139" xr:uid="{00000000-0005-0000-0000-000058000000}"/>
    <cellStyle name="_CurrencySpace_JP" xfId="140" xr:uid="{00000000-0005-0000-0000-000059000000}"/>
    <cellStyle name="_CurrencySpace_LNC" xfId="141" xr:uid="{00000000-0005-0000-0000-00005A000000}"/>
    <cellStyle name="_CurrencySpace_MET" xfId="142" xr:uid="{00000000-0005-0000-0000-00005B000000}"/>
    <cellStyle name="_CurrencySpace_MET04" xfId="143" xr:uid="{00000000-0005-0000-0000-00005C000000}"/>
    <cellStyle name="_CurrencySpace_NFS" xfId="144" xr:uid="{00000000-0005-0000-0000-00005D000000}"/>
    <cellStyle name="_CurrencySpace_Overview3" xfId="145" xr:uid="{00000000-0005-0000-0000-00005E000000}"/>
    <cellStyle name="_CurrencySpace_phil data" xfId="146" xr:uid="{00000000-0005-0000-0000-00005F000000}"/>
    <cellStyle name="_CurrencySpace_Price Performance Charts" xfId="147" xr:uid="{00000000-0005-0000-0000-000060000000}"/>
    <cellStyle name="_CurrencySpace_PRU" xfId="148" xr:uid="{00000000-0005-0000-0000-000061000000}"/>
    <cellStyle name="_CurrencySpace_PRU04" xfId="149" xr:uid="{00000000-0005-0000-0000-000062000000}"/>
    <cellStyle name="_CurrencySpace_RiskReward" xfId="150" xr:uid="{00000000-0005-0000-0000-000063000000}"/>
    <cellStyle name="_CurrencySpace_SFG" xfId="151" xr:uid="{00000000-0005-0000-0000-000064000000}"/>
    <cellStyle name="_CurrencySpace_Sheet1" xfId="152" xr:uid="{00000000-0005-0000-0000-000065000000}"/>
    <cellStyle name="_CurrencySpace_Stock-QTR1 FDS" xfId="153" xr:uid="{00000000-0005-0000-0000-000066000000}"/>
    <cellStyle name="_CurrencySpace_TMK" xfId="154" xr:uid="{00000000-0005-0000-0000-000067000000}"/>
    <cellStyle name="_CurrencySpace_Updated Valuation Changes" xfId="155" xr:uid="{00000000-0005-0000-0000-000068000000}"/>
    <cellStyle name="_CurrencySpace_Valuation Graphs" xfId="156" xr:uid="{00000000-0005-0000-0000-000069000000}"/>
    <cellStyle name="_CurrencySpace_xratio - historical mkt val" xfId="157" xr:uid="{00000000-0005-0000-0000-00006A000000}"/>
    <cellStyle name="_Dollar" xfId="158" xr:uid="{00000000-0005-0000-0000-00006B000000}"/>
    <cellStyle name="_Euro" xfId="159" xr:uid="{00000000-0005-0000-0000-00006C000000}"/>
    <cellStyle name="_Heading" xfId="160" xr:uid="{00000000-0005-0000-0000-00006D000000}"/>
    <cellStyle name="_Heading_prestemp" xfId="161" xr:uid="{00000000-0005-0000-0000-00006E000000}"/>
    <cellStyle name="_Highlight" xfId="162" xr:uid="{00000000-0005-0000-0000-00006F000000}"/>
    <cellStyle name="_Multiple" xfId="163" xr:uid="{00000000-0005-0000-0000-000070000000}"/>
    <cellStyle name="_Multiple_01 adj for merger plan" xfId="164" xr:uid="{00000000-0005-0000-0000-000071000000}"/>
    <cellStyle name="_Multiple_Ability to Pay Analysis" xfId="165" xr:uid="{00000000-0005-0000-0000-000072000000}"/>
    <cellStyle name="_Multiple_AFL" xfId="166" xr:uid="{00000000-0005-0000-0000-000073000000}"/>
    <cellStyle name="_Multiple_AIZ" xfId="167" xr:uid="{00000000-0005-0000-0000-000074000000}"/>
    <cellStyle name="_Multiple_AMP" xfId="168" xr:uid="{00000000-0005-0000-0000-000075000000}"/>
    <cellStyle name="_Multiple_Balance Sheet" xfId="169" xr:uid="{00000000-0005-0000-0000-000076000000}"/>
    <cellStyle name="_Multiple_Book1" xfId="170" xr:uid="{00000000-0005-0000-0000-000077000000}"/>
    <cellStyle name="_Multiple_Book29" xfId="171" xr:uid="{00000000-0005-0000-0000-000078000000}"/>
    <cellStyle name="_Multiple_Book3" xfId="172" xr:uid="{00000000-0005-0000-0000-000079000000}"/>
    <cellStyle name="_Multiple_Book3_1" xfId="173" xr:uid="{00000000-0005-0000-0000-00007A000000}"/>
    <cellStyle name="_Multiple_CNO" xfId="174" xr:uid="{00000000-0005-0000-0000-00007B000000}"/>
    <cellStyle name="_Multiple_DCF Alexander Forbes" xfId="175" xr:uid="{00000000-0005-0000-0000-00007C000000}"/>
    <cellStyle name="_Multiple_fmbi counties" xfId="176" xr:uid="{00000000-0005-0000-0000-00007D000000}"/>
    <cellStyle name="_Multiple_FMBI MBHI Graphs" xfId="177" xr:uid="{00000000-0005-0000-0000-00007E000000}"/>
    <cellStyle name="_Multiple_FMBI MBHI Graphs 07102001" xfId="178" xr:uid="{00000000-0005-0000-0000-00007F000000}"/>
    <cellStyle name="_Multiple_FMBI MBHI Graphs_7601" xfId="179" xr:uid="{00000000-0005-0000-0000-000080000000}"/>
    <cellStyle name="_Multiple_GNW" xfId="180" xr:uid="{00000000-0005-0000-0000-000081000000}"/>
    <cellStyle name="_Multiple_Insurance Brokerage CSC_1Q2002" xfId="181" xr:uid="{00000000-0005-0000-0000-000082000000}"/>
    <cellStyle name="_Multiple_JP" xfId="182" xr:uid="{00000000-0005-0000-0000-000083000000}"/>
    <cellStyle name="_Multiple_LNC" xfId="183" xr:uid="{00000000-0005-0000-0000-000084000000}"/>
    <cellStyle name="_Multiple_MET" xfId="184" xr:uid="{00000000-0005-0000-0000-000085000000}"/>
    <cellStyle name="_Multiple_MET04" xfId="185" xr:uid="{00000000-0005-0000-0000-000086000000}"/>
    <cellStyle name="_Multiple_NFS" xfId="186" xr:uid="{00000000-0005-0000-0000-000087000000}"/>
    <cellStyle name="_Multiple_Overview3" xfId="187" xr:uid="{00000000-0005-0000-0000-000088000000}"/>
    <cellStyle name="_Multiple_phil data" xfId="188" xr:uid="{00000000-0005-0000-0000-000089000000}"/>
    <cellStyle name="_Multiple_Price Performance Charts" xfId="189" xr:uid="{00000000-0005-0000-0000-00008A000000}"/>
    <cellStyle name="_Multiple_PRU" xfId="190" xr:uid="{00000000-0005-0000-0000-00008B000000}"/>
    <cellStyle name="_Multiple_PRU04" xfId="191" xr:uid="{00000000-0005-0000-0000-00008C000000}"/>
    <cellStyle name="_Multiple_RiskReward" xfId="192" xr:uid="{00000000-0005-0000-0000-00008D000000}"/>
    <cellStyle name="_Multiple_SFG" xfId="193" xr:uid="{00000000-0005-0000-0000-00008E000000}"/>
    <cellStyle name="_Multiple_Sheet1" xfId="194" xr:uid="{00000000-0005-0000-0000-00008F000000}"/>
    <cellStyle name="_Multiple_Stock-QTR1 FDS" xfId="195" xr:uid="{00000000-0005-0000-0000-000090000000}"/>
    <cellStyle name="_Multiple_TMK" xfId="196" xr:uid="{00000000-0005-0000-0000-000091000000}"/>
    <cellStyle name="_Multiple_Updated Valuation Changes" xfId="197" xr:uid="{00000000-0005-0000-0000-000092000000}"/>
    <cellStyle name="_Multiple_Valuation Graphs" xfId="198" xr:uid="{00000000-0005-0000-0000-000093000000}"/>
    <cellStyle name="_Multiple_xratio - historical mkt val" xfId="199" xr:uid="{00000000-0005-0000-0000-000094000000}"/>
    <cellStyle name="_MultipleSpace" xfId="200" xr:uid="{00000000-0005-0000-0000-000095000000}"/>
    <cellStyle name="_MultipleSpace_01 adj for merger plan" xfId="201" xr:uid="{00000000-0005-0000-0000-000096000000}"/>
    <cellStyle name="_MultipleSpace_Ability to Pay Analysis" xfId="202" xr:uid="{00000000-0005-0000-0000-000097000000}"/>
    <cellStyle name="_MultipleSpace_AFL" xfId="203" xr:uid="{00000000-0005-0000-0000-000098000000}"/>
    <cellStyle name="_MultipleSpace_AIZ" xfId="204" xr:uid="{00000000-0005-0000-0000-000099000000}"/>
    <cellStyle name="_MultipleSpace_AMP" xfId="205" xr:uid="{00000000-0005-0000-0000-00009A000000}"/>
    <cellStyle name="_MultipleSpace_Balance Sheet" xfId="206" xr:uid="{00000000-0005-0000-0000-00009B000000}"/>
    <cellStyle name="_MultipleSpace_Book1" xfId="207" xr:uid="{00000000-0005-0000-0000-00009C000000}"/>
    <cellStyle name="_MultipleSpace_Book29" xfId="208" xr:uid="{00000000-0005-0000-0000-00009D000000}"/>
    <cellStyle name="_MultipleSpace_Book3" xfId="209" xr:uid="{00000000-0005-0000-0000-00009E000000}"/>
    <cellStyle name="_MultipleSpace_Book3_1" xfId="210" xr:uid="{00000000-0005-0000-0000-00009F000000}"/>
    <cellStyle name="_MultipleSpace_CNO" xfId="211" xr:uid="{00000000-0005-0000-0000-0000A0000000}"/>
    <cellStyle name="_MultipleSpace_DCF Alexander Forbes" xfId="212" xr:uid="{00000000-0005-0000-0000-0000A1000000}"/>
    <cellStyle name="_MultipleSpace_fmbi counties" xfId="213" xr:uid="{00000000-0005-0000-0000-0000A2000000}"/>
    <cellStyle name="_MultipleSpace_FMBI MBHI Graphs" xfId="214" xr:uid="{00000000-0005-0000-0000-0000A3000000}"/>
    <cellStyle name="_MultipleSpace_FMBI MBHI Graphs 07102001" xfId="215" xr:uid="{00000000-0005-0000-0000-0000A4000000}"/>
    <cellStyle name="_MultipleSpace_FMBI MBHI Graphs_7601" xfId="216" xr:uid="{00000000-0005-0000-0000-0000A5000000}"/>
    <cellStyle name="_MultipleSpace_GNW" xfId="217" xr:uid="{00000000-0005-0000-0000-0000A6000000}"/>
    <cellStyle name="_MultipleSpace_Insurance Brokerage CSC_1Q2002" xfId="218" xr:uid="{00000000-0005-0000-0000-0000A7000000}"/>
    <cellStyle name="_MultipleSpace_JP" xfId="219" xr:uid="{00000000-0005-0000-0000-0000A8000000}"/>
    <cellStyle name="_MultipleSpace_LNC" xfId="220" xr:uid="{00000000-0005-0000-0000-0000A9000000}"/>
    <cellStyle name="_MultipleSpace_MET" xfId="221" xr:uid="{00000000-0005-0000-0000-0000AA000000}"/>
    <cellStyle name="_MultipleSpace_MET04" xfId="222" xr:uid="{00000000-0005-0000-0000-0000AB000000}"/>
    <cellStyle name="_MultipleSpace_NFS" xfId="223" xr:uid="{00000000-0005-0000-0000-0000AC000000}"/>
    <cellStyle name="_MultipleSpace_Overview3" xfId="224" xr:uid="{00000000-0005-0000-0000-0000AD000000}"/>
    <cellStyle name="_MultipleSpace_phil data" xfId="225" xr:uid="{00000000-0005-0000-0000-0000AE000000}"/>
    <cellStyle name="_MultipleSpace_Price Performance Charts" xfId="226" xr:uid="{00000000-0005-0000-0000-0000AF000000}"/>
    <cellStyle name="_MultipleSpace_PRU" xfId="227" xr:uid="{00000000-0005-0000-0000-0000B0000000}"/>
    <cellStyle name="_MultipleSpace_PRU04" xfId="228" xr:uid="{00000000-0005-0000-0000-0000B1000000}"/>
    <cellStyle name="_MultipleSpace_RiskReward" xfId="229" xr:uid="{00000000-0005-0000-0000-0000B2000000}"/>
    <cellStyle name="_MultipleSpace_SFG" xfId="230" xr:uid="{00000000-0005-0000-0000-0000B3000000}"/>
    <cellStyle name="_MultipleSpace_Sheet1" xfId="231" xr:uid="{00000000-0005-0000-0000-0000B4000000}"/>
    <cellStyle name="_MultipleSpace_Stock-QTR1 FDS" xfId="232" xr:uid="{00000000-0005-0000-0000-0000B5000000}"/>
    <cellStyle name="_MultipleSpace_TMK" xfId="233" xr:uid="{00000000-0005-0000-0000-0000B6000000}"/>
    <cellStyle name="_MultipleSpace_Updated Valuation Changes" xfId="234" xr:uid="{00000000-0005-0000-0000-0000B7000000}"/>
    <cellStyle name="_MultipleSpace_Valuation Graphs" xfId="235" xr:uid="{00000000-0005-0000-0000-0000B8000000}"/>
    <cellStyle name="_MultipleSpace_xratio - historical mkt val" xfId="236" xr:uid="{00000000-0005-0000-0000-0000B9000000}"/>
    <cellStyle name="_Percent" xfId="237" xr:uid="{00000000-0005-0000-0000-0000BA000000}"/>
    <cellStyle name="_Percent_DCF Alexander Forbes" xfId="238" xr:uid="{00000000-0005-0000-0000-0000BB000000}"/>
    <cellStyle name="_Percent_FMBI MBHI Graphs" xfId="239" xr:uid="{00000000-0005-0000-0000-0000BC000000}"/>
    <cellStyle name="_Percent_FMBI MBHI Graphs 07102001" xfId="240" xr:uid="{00000000-0005-0000-0000-0000BD000000}"/>
    <cellStyle name="_Percent_FMBI MBHI Graphs_7601" xfId="241" xr:uid="{00000000-0005-0000-0000-0000BE000000}"/>
    <cellStyle name="_PercentSpace" xfId="242" xr:uid="{00000000-0005-0000-0000-0000BF000000}"/>
    <cellStyle name="_PercentSpace_01 adj for merger plan" xfId="243" xr:uid="{00000000-0005-0000-0000-0000C0000000}"/>
    <cellStyle name="_PercentSpace_DCF Alexander Forbes" xfId="244" xr:uid="{00000000-0005-0000-0000-0000C1000000}"/>
    <cellStyle name="_PercentSpace_FMBI MBHI Graphs" xfId="245" xr:uid="{00000000-0005-0000-0000-0000C2000000}"/>
    <cellStyle name="_PercentSpace_FMBI MBHI Graphs 07102001" xfId="246" xr:uid="{00000000-0005-0000-0000-0000C3000000}"/>
    <cellStyle name="_PercentSpace_FMBI MBHI Graphs_7601" xfId="247" xr:uid="{00000000-0005-0000-0000-0000C4000000}"/>
    <cellStyle name="_SubHeading" xfId="248" xr:uid="{00000000-0005-0000-0000-0000C5000000}"/>
    <cellStyle name="_SubHeading_Ability to Pay Analysis" xfId="249" xr:uid="{00000000-0005-0000-0000-0000C6000000}"/>
    <cellStyle name="_SubHeading_BankUnited Model" xfId="250" xr:uid="{00000000-0005-0000-0000-0000C7000000}"/>
    <cellStyle name="_SubHeading_fmbi counties" xfId="251" xr:uid="{00000000-0005-0000-0000-0000C8000000}"/>
    <cellStyle name="_SubHeading_FMBI MBHI Graphs" xfId="252" xr:uid="{00000000-0005-0000-0000-0000C9000000}"/>
    <cellStyle name="_SubHeading_FMBI MBHI Graphs 07102001" xfId="253" xr:uid="{00000000-0005-0000-0000-0000CA000000}"/>
    <cellStyle name="_SubHeading_FMBI MBHI Graphs_7601" xfId="254" xr:uid="{00000000-0005-0000-0000-0000CB000000}"/>
    <cellStyle name="_SubHeading_prestemp" xfId="255" xr:uid="{00000000-0005-0000-0000-0000CC000000}"/>
    <cellStyle name="_SubHeading_prestemp_Insurance Brokerage CSC_1Q2002" xfId="256" xr:uid="{00000000-0005-0000-0000-0000CD000000}"/>
    <cellStyle name="_SubHeading_prestemp_Overview3" xfId="257" xr:uid="{00000000-0005-0000-0000-0000CE000000}"/>
    <cellStyle name="_SubHeading_prestemp_Updated Valuation Changes" xfId="258" xr:uid="{00000000-0005-0000-0000-0000CF000000}"/>
    <cellStyle name="_SubHeading_xratio - historical mkt val" xfId="259" xr:uid="{00000000-0005-0000-0000-0000D0000000}"/>
    <cellStyle name="_Table" xfId="260" xr:uid="{00000000-0005-0000-0000-0000D1000000}"/>
    <cellStyle name="_Table_Ability to Pay Analysis" xfId="261" xr:uid="{00000000-0005-0000-0000-0000D2000000}"/>
    <cellStyle name="_Table_BankUnited Model" xfId="262" xr:uid="{00000000-0005-0000-0000-0000D3000000}"/>
    <cellStyle name="_Table_fmbi counties" xfId="263" xr:uid="{00000000-0005-0000-0000-0000D4000000}"/>
    <cellStyle name="_Table_xratio - historical mkt val" xfId="264" xr:uid="{00000000-0005-0000-0000-0000D5000000}"/>
    <cellStyle name="_TableHead" xfId="265" xr:uid="{00000000-0005-0000-0000-0000D6000000}"/>
    <cellStyle name="_TableRowHead" xfId="266" xr:uid="{00000000-0005-0000-0000-0000D7000000}"/>
    <cellStyle name="_TableSuperHead" xfId="267" xr:uid="{00000000-0005-0000-0000-0000D8000000}"/>
    <cellStyle name="_TableSuperHead_Ability to Pay Analysis" xfId="268" xr:uid="{00000000-0005-0000-0000-0000D9000000}"/>
    <cellStyle name="_TableSuperHead_BankUnited Model" xfId="269" xr:uid="{00000000-0005-0000-0000-0000DA000000}"/>
    <cellStyle name="_TableSuperHead_fmbi counties" xfId="270" xr:uid="{00000000-0005-0000-0000-0000DB000000}"/>
    <cellStyle name="_TableSuperHead_xratio - historical mkt val" xfId="271" xr:uid="{00000000-0005-0000-0000-0000DC000000}"/>
    <cellStyle name="20% - Accent1" xfId="1" builtinId="30" customBuiltin="1"/>
    <cellStyle name="20% - Accent1 2" xfId="368" xr:uid="{00000000-0005-0000-0000-0000DE000000}"/>
    <cellStyle name="20% - Accent2" xfId="2" builtinId="34" customBuiltin="1"/>
    <cellStyle name="20% - Accent2 2" xfId="369" xr:uid="{00000000-0005-0000-0000-0000E0000000}"/>
    <cellStyle name="20% - Accent3" xfId="3" builtinId="38" customBuiltin="1"/>
    <cellStyle name="20% - Accent3 2" xfId="370" xr:uid="{00000000-0005-0000-0000-0000E2000000}"/>
    <cellStyle name="20% - Accent4" xfId="4" builtinId="42" customBuiltin="1"/>
    <cellStyle name="20% - Accent4 2" xfId="371" xr:uid="{00000000-0005-0000-0000-0000E4000000}"/>
    <cellStyle name="20% - Accent5" xfId="5" builtinId="46" customBuiltin="1"/>
    <cellStyle name="20% - Accent5 2" xfId="372" xr:uid="{00000000-0005-0000-0000-0000E6000000}"/>
    <cellStyle name="20% - Accent6" xfId="6" builtinId="50" customBuiltin="1"/>
    <cellStyle name="20% - Accent6 2" xfId="373" xr:uid="{00000000-0005-0000-0000-0000E8000000}"/>
    <cellStyle name="40% - Accent1" xfId="7" builtinId="31" customBuiltin="1"/>
    <cellStyle name="40% - Accent1 2" xfId="374" xr:uid="{00000000-0005-0000-0000-0000EA000000}"/>
    <cellStyle name="40% - Accent2" xfId="8" builtinId="35" customBuiltin="1"/>
    <cellStyle name="40% - Accent2 2" xfId="375" xr:uid="{00000000-0005-0000-0000-0000EC000000}"/>
    <cellStyle name="40% - Accent3" xfId="9" builtinId="39" customBuiltin="1"/>
    <cellStyle name="40% - Accent3 2" xfId="376" xr:uid="{00000000-0005-0000-0000-0000EE000000}"/>
    <cellStyle name="40% - Accent4" xfId="10" builtinId="43" customBuiltin="1"/>
    <cellStyle name="40% - Accent4 2" xfId="377" xr:uid="{00000000-0005-0000-0000-0000F0000000}"/>
    <cellStyle name="40% - Accent5" xfId="11" builtinId="47" customBuiltin="1"/>
    <cellStyle name="40% - Accent5 2" xfId="378" xr:uid="{00000000-0005-0000-0000-0000F2000000}"/>
    <cellStyle name="40% - Accent6" xfId="12" builtinId="51" customBuiltin="1"/>
    <cellStyle name="40% - Accent6 2" xfId="379" xr:uid="{00000000-0005-0000-0000-0000F4000000}"/>
    <cellStyle name="60% - Accent1" xfId="13" builtinId="32" customBuiltin="1"/>
    <cellStyle name="60% - Accent1 2" xfId="380" xr:uid="{00000000-0005-0000-0000-0000F6000000}"/>
    <cellStyle name="60% - Accent2" xfId="14" builtinId="36" customBuiltin="1"/>
    <cellStyle name="60% - Accent2 2" xfId="381" xr:uid="{00000000-0005-0000-0000-0000F8000000}"/>
    <cellStyle name="60% - Accent3" xfId="15" builtinId="40" customBuiltin="1"/>
    <cellStyle name="60% - Accent3 2" xfId="382" xr:uid="{00000000-0005-0000-0000-0000FA000000}"/>
    <cellStyle name="60% - Accent4" xfId="16" builtinId="44" customBuiltin="1"/>
    <cellStyle name="60% - Accent4 2" xfId="383" xr:uid="{00000000-0005-0000-0000-0000FC000000}"/>
    <cellStyle name="60% - Accent5" xfId="17" builtinId="48" customBuiltin="1"/>
    <cellStyle name="60% - Accent5 2" xfId="384" xr:uid="{00000000-0005-0000-0000-0000FE000000}"/>
    <cellStyle name="60% - Accent6" xfId="18" builtinId="52" customBuiltin="1"/>
    <cellStyle name="60% - Accent6 2" xfId="385" xr:uid="{00000000-0005-0000-0000-000000010000}"/>
    <cellStyle name="Accent1" xfId="19" builtinId="29" customBuiltin="1"/>
    <cellStyle name="Accent1 2" xfId="386" xr:uid="{00000000-0005-0000-0000-000002010000}"/>
    <cellStyle name="Accent2" xfId="20" builtinId="33" customBuiltin="1"/>
    <cellStyle name="Accent2 2" xfId="387" xr:uid="{00000000-0005-0000-0000-000004010000}"/>
    <cellStyle name="Accent3" xfId="21" builtinId="37" customBuiltin="1"/>
    <cellStyle name="Accent3 2" xfId="388" xr:uid="{00000000-0005-0000-0000-000006010000}"/>
    <cellStyle name="Accent4" xfId="22" builtinId="41" customBuiltin="1"/>
    <cellStyle name="Accent4 2" xfId="389" xr:uid="{00000000-0005-0000-0000-000008010000}"/>
    <cellStyle name="Accent5" xfId="23" builtinId="45" customBuiltin="1"/>
    <cellStyle name="Accent5 2" xfId="390" xr:uid="{00000000-0005-0000-0000-00000A010000}"/>
    <cellStyle name="Accent6" xfId="24" builtinId="49" customBuiltin="1"/>
    <cellStyle name="Accent6 2" xfId="391" xr:uid="{00000000-0005-0000-0000-00000C010000}"/>
    <cellStyle name="Actual data" xfId="272" xr:uid="{00000000-0005-0000-0000-00000D010000}"/>
    <cellStyle name="Actual year" xfId="273" xr:uid="{00000000-0005-0000-0000-00000E010000}"/>
    <cellStyle name="Actuals Cells" xfId="274" xr:uid="{00000000-0005-0000-0000-00000F010000}"/>
    <cellStyle name="AFE" xfId="275" xr:uid="{00000000-0005-0000-0000-000010010000}"/>
    <cellStyle name="afl" xfId="276" xr:uid="{00000000-0005-0000-0000-000011010000}"/>
    <cellStyle name="Andre's Title" xfId="277" xr:uid="{00000000-0005-0000-0000-000012010000}"/>
    <cellStyle name="Bad" xfId="25" builtinId="27" customBuiltin="1"/>
    <cellStyle name="Bad 2" xfId="49" xr:uid="{00000000-0005-0000-0000-000014010000}"/>
    <cellStyle name="Bad 3" xfId="392" xr:uid="{00000000-0005-0000-0000-000015010000}"/>
    <cellStyle name="Blank" xfId="278" xr:uid="{00000000-0005-0000-0000-000016010000}"/>
    <cellStyle name="Blue" xfId="279" xr:uid="{00000000-0005-0000-0000-000017010000}"/>
    <cellStyle name="Blue Title" xfId="280" xr:uid="{00000000-0005-0000-0000-000018010000}"/>
    <cellStyle name="Calc Cells" xfId="281" xr:uid="{00000000-0005-0000-0000-000019010000}"/>
    <cellStyle name="Calculation" xfId="26" builtinId="22" customBuiltin="1"/>
    <cellStyle name="Calculation 2" xfId="393" xr:uid="{00000000-0005-0000-0000-00001B010000}"/>
    <cellStyle name="Case" xfId="282" xr:uid="{00000000-0005-0000-0000-00001C010000}"/>
    <cellStyle name="Check Cell" xfId="27" builtinId="23" customBuiltin="1"/>
    <cellStyle name="Check Cell 2" xfId="394" xr:uid="{00000000-0005-0000-0000-00001E010000}"/>
    <cellStyle name="Co. Names" xfId="283" xr:uid="{00000000-0005-0000-0000-00001F010000}"/>
    <cellStyle name="Co. Names - Bold" xfId="284" xr:uid="{00000000-0005-0000-0000-000020010000}"/>
    <cellStyle name="Co. Names_Blend" xfId="285" xr:uid="{00000000-0005-0000-0000-000021010000}"/>
    <cellStyle name="Col Head" xfId="286" xr:uid="{00000000-0005-0000-0000-000022010000}"/>
    <cellStyle name="Comma" xfId="28" builtinId="3"/>
    <cellStyle name="Comma [0] 2" xfId="436" xr:uid="{4521B3B9-680D-4525-BDD0-2C3418344EDC}"/>
    <cellStyle name="Comma 2" xfId="395" xr:uid="{00000000-0005-0000-0000-000024010000}"/>
    <cellStyle name="Comma 3" xfId="435" xr:uid="{899E4923-CF29-428A-B0A3-D2E2B8982450}"/>
    <cellStyle name="Comma 4" xfId="440" xr:uid="{A235BB52-4F9D-4BAC-B2CB-FC1C7213B659}"/>
    <cellStyle name="Comma 5" xfId="442" xr:uid="{A79A0E55-AA99-4320-A1F0-6128268E6A55}"/>
    <cellStyle name="Comma 6" xfId="444" xr:uid="{14234411-E6CE-4009-9885-FD28DF4B8FE8}"/>
    <cellStyle name="Comma0" xfId="287" xr:uid="{00000000-0005-0000-0000-000025010000}"/>
    <cellStyle name="Company name" xfId="288" xr:uid="{00000000-0005-0000-0000-000026010000}"/>
    <cellStyle name="CompanyTitle" xfId="289" xr:uid="{00000000-0005-0000-0000-000027010000}"/>
    <cellStyle name="Currency" xfId="414" builtinId="4"/>
    <cellStyle name="Currency [0] 2" xfId="434" xr:uid="{8EF58D78-EDD8-40C2-B07E-BCE95532DF35}"/>
    <cellStyle name="Currency [2]" xfId="290" xr:uid="{00000000-0005-0000-0000-000029010000}"/>
    <cellStyle name="Currency 2" xfId="433" xr:uid="{4D2B7E2C-9499-44A8-9C5C-F05539E233ED}"/>
    <cellStyle name="Currency 3" xfId="438" xr:uid="{1694DBFB-F79D-4683-A3E9-945E96D6F143}"/>
    <cellStyle name="Currency 4" xfId="441" xr:uid="{8BD9F9E3-3FF4-466D-86A5-87E41D32DC2C}"/>
    <cellStyle name="Currency 5" xfId="443" xr:uid="{5CE90585-2E8C-4CBA-BD03-F7C99150A79D}"/>
    <cellStyle name="Currency0" xfId="291" xr:uid="{00000000-0005-0000-0000-00002A010000}"/>
    <cellStyle name="date" xfId="292" xr:uid="{00000000-0005-0000-0000-00002B010000}"/>
    <cellStyle name="default" xfId="293" xr:uid="{00000000-0005-0000-0000-00002C010000}"/>
    <cellStyle name="Dollar" xfId="294" xr:uid="{00000000-0005-0000-0000-00002D010000}"/>
    <cellStyle name="emp" xfId="295" xr:uid="{00000000-0005-0000-0000-00002E010000}"/>
    <cellStyle name="Explanatory Text" xfId="29" builtinId="53" customBuiltin="1"/>
    <cellStyle name="Explanatory Text 2" xfId="396" xr:uid="{00000000-0005-0000-0000-000030010000}"/>
    <cellStyle name="External File Cells" xfId="296" xr:uid="{00000000-0005-0000-0000-000031010000}"/>
    <cellStyle name="Fit" xfId="297" xr:uid="{00000000-0005-0000-0000-000032010000}"/>
    <cellStyle name="Fixed" xfId="298" xr:uid="{00000000-0005-0000-0000-000033010000}"/>
    <cellStyle name="Footnotes" xfId="299" xr:uid="{00000000-0005-0000-0000-000034010000}"/>
    <cellStyle name="Forecast Cells" xfId="300" xr:uid="{00000000-0005-0000-0000-000035010000}"/>
    <cellStyle name="G1_1999 figures" xfId="301" xr:uid="{00000000-0005-0000-0000-000036010000}"/>
    <cellStyle name="Good" xfId="30" builtinId="26" customBuiltin="1"/>
    <cellStyle name="Good 2" xfId="47" xr:uid="{00000000-0005-0000-0000-000038010000}"/>
    <cellStyle name="Good 3" xfId="397" xr:uid="{00000000-0005-0000-0000-000039010000}"/>
    <cellStyle name="H_1998_col_head" xfId="302" xr:uid="{00000000-0005-0000-0000-00003A010000}"/>
    <cellStyle name="H_1999_col_head" xfId="303" xr:uid="{00000000-0005-0000-0000-00003B010000}"/>
    <cellStyle name="H1_1998 figures" xfId="304" xr:uid="{00000000-0005-0000-0000-00003C010000}"/>
    <cellStyle name="Heading" xfId="305" xr:uid="{00000000-0005-0000-0000-00003D010000}"/>
    <cellStyle name="Heading - Model" xfId="31" xr:uid="{00000000-0005-0000-0000-00003E010000}"/>
    <cellStyle name="Heading - Model 2" xfId="398" xr:uid="{00000000-0005-0000-0000-00003F010000}"/>
    <cellStyle name="Heading 1" xfId="32" builtinId="16" customBuiltin="1"/>
    <cellStyle name="Heading 1 2" xfId="399" xr:uid="{00000000-0005-0000-0000-000041010000}"/>
    <cellStyle name="Heading 2" xfId="33" builtinId="17" customBuiltin="1"/>
    <cellStyle name="Heading 2 2" xfId="400" xr:uid="{00000000-0005-0000-0000-000043010000}"/>
    <cellStyle name="Heading 3" xfId="34" builtinId="18" customBuiltin="1"/>
    <cellStyle name="Heading 3 2" xfId="401" xr:uid="{00000000-0005-0000-0000-000045010000}"/>
    <cellStyle name="Heading 4" xfId="35" builtinId="19" customBuiltin="1"/>
    <cellStyle name="Heading 4 2" xfId="402" xr:uid="{00000000-0005-0000-0000-000047010000}"/>
    <cellStyle name="Heading1" xfId="306" xr:uid="{00000000-0005-0000-0000-000048010000}"/>
    <cellStyle name="Input" xfId="36" builtinId="20" customBuiltin="1"/>
    <cellStyle name="Input 2" xfId="403" xr:uid="{00000000-0005-0000-0000-00004A010000}"/>
    <cellStyle name="Input Cells" xfId="307" xr:uid="{00000000-0005-0000-0000-00004B010000}"/>
    <cellStyle name="Item Descriptions" xfId="308" xr:uid="{00000000-0005-0000-0000-00004C010000}"/>
    <cellStyle name="Line" xfId="309" xr:uid="{00000000-0005-0000-0000-00004D010000}"/>
    <cellStyle name="Linked Cell" xfId="37" builtinId="24" customBuiltin="1"/>
    <cellStyle name="Linked Cell 2" xfId="404" xr:uid="{00000000-0005-0000-0000-00004F010000}"/>
    <cellStyle name="Mainhead" xfId="310" xr:uid="{00000000-0005-0000-0000-000050010000}"/>
    <cellStyle name="Merrill" xfId="311" xr:uid="{00000000-0005-0000-0000-000051010000}"/>
    <cellStyle name="Mix" xfId="312" xr:uid="{00000000-0005-0000-0000-000052010000}"/>
    <cellStyle name="Monitor" xfId="313" xr:uid="{00000000-0005-0000-0000-000053010000}"/>
    <cellStyle name="Multiple" xfId="314" xr:uid="{00000000-0005-0000-0000-000054010000}"/>
    <cellStyle name="Neutral" xfId="38" builtinId="28" customBuiltin="1"/>
    <cellStyle name="Neutral 2" xfId="48" xr:uid="{00000000-0005-0000-0000-000056010000}"/>
    <cellStyle name="Neutral 3" xfId="405" xr:uid="{00000000-0005-0000-0000-000057010000}"/>
    <cellStyle name="Normal" xfId="0" builtinId="0"/>
    <cellStyle name="Normal - Style1" xfId="315" xr:uid="{00000000-0005-0000-0000-000059010000}"/>
    <cellStyle name="Normal 10" xfId="437" xr:uid="{9C41A9CC-0436-4A97-A2EB-CD0156D57812}"/>
    <cellStyle name="Normal 11" xfId="439" xr:uid="{8B00E244-C0B5-4E9D-AD6E-013F07B7D03E}"/>
    <cellStyle name="Normal 2" xfId="46" xr:uid="{00000000-0005-0000-0000-00005A010000}"/>
    <cellStyle name="Normal 2 2" xfId="412" xr:uid="{00000000-0005-0000-0000-00005B010000}"/>
    <cellStyle name="Normal 29" xfId="428" xr:uid="{5A4BC9F7-F001-4871-9C52-BF5639B87124}"/>
    <cellStyle name="Normal 3" xfId="316" xr:uid="{00000000-0005-0000-0000-00005C010000}"/>
    <cellStyle name="Normal 3 2" xfId="413" xr:uid="{00000000-0005-0000-0000-00005D010000}"/>
    <cellStyle name="Normal 3 3" xfId="424" xr:uid="{CDF336D3-5246-4CAB-B426-974E5DED0459}"/>
    <cellStyle name="Normal 4" xfId="367" xr:uid="{00000000-0005-0000-0000-00005E010000}"/>
    <cellStyle name="Normal 5" xfId="365" xr:uid="{00000000-0005-0000-0000-00005F010000}"/>
    <cellStyle name="Normal 6" xfId="417" xr:uid="{00000000-0005-0000-0000-000060010000}"/>
    <cellStyle name="Normal 6 2" xfId="418" xr:uid="{00000000-0005-0000-0000-000061010000}"/>
    <cellStyle name="Normal 7" xfId="425" xr:uid="{62C35090-1D97-40CF-9806-741E5DF53C08}"/>
    <cellStyle name="Normal 8" xfId="431" xr:uid="{A4EEC7B6-DB0D-48C9-B07F-DA6188EE5610}"/>
    <cellStyle name="Normal 8 3" xfId="420" xr:uid="{00000000-0005-0000-0000-000062010000}"/>
    <cellStyle name="Normal 9" xfId="432" xr:uid="{3CE19B81-EC97-4938-B1F7-479335B7135A}"/>
    <cellStyle name="Normal Cells" xfId="317" xr:uid="{00000000-0005-0000-0000-000063010000}"/>
    <cellStyle name="Normal_EPS_revision table_WES" xfId="421" xr:uid="{FE240A02-E90A-46EF-9868-ED2ED65613E1}"/>
    <cellStyle name="Normal_MKTVAL" xfId="416" xr:uid="{00000000-0005-0000-0000-000064010000}"/>
    <cellStyle name="Normal_ORLReport" xfId="39" xr:uid="{00000000-0005-0000-0000-000065010000}"/>
    <cellStyle name="Normal_PBLMODEL" xfId="426" xr:uid="{B82161A7-EB30-4C83-9BF8-817A59C3CAF8}"/>
    <cellStyle name="Normal_pmeREVN" xfId="423" xr:uid="{679F44F3-3FDD-47E7-A207-725611E2A70E}"/>
    <cellStyle name="Normal_sbcestimate" xfId="429" xr:uid="{07FE8E3A-DAB6-4016-A5D5-F766ABC1FFDB}"/>
    <cellStyle name="Normal_Sector_Summary_Pack_Eur" xfId="419" xr:uid="{00000000-0005-0000-0000-000066010000}"/>
    <cellStyle name="Normal_VALUE2" xfId="415" xr:uid="{00000000-0005-0000-0000-000067010000}"/>
    <cellStyle name="Note" xfId="40" builtinId="10" customBuiltin="1"/>
    <cellStyle name="Note 2" xfId="406" xr:uid="{00000000-0005-0000-0000-000069010000}"/>
    <cellStyle name="Number" xfId="318" xr:uid="{00000000-0005-0000-0000-00006A010000}"/>
    <cellStyle name="Numbers" xfId="319" xr:uid="{00000000-0005-0000-0000-00006B010000}"/>
    <cellStyle name="Numbers - Bold" xfId="320" xr:uid="{00000000-0005-0000-0000-00006C010000}"/>
    <cellStyle name="Numbers - Bold - Italic" xfId="321" xr:uid="{00000000-0005-0000-0000-00006D010000}"/>
    <cellStyle name="Numbers - Bold_Blend" xfId="322" xr:uid="{00000000-0005-0000-0000-00006E010000}"/>
    <cellStyle name="Numbers - Large" xfId="323" xr:uid="{00000000-0005-0000-0000-00006F010000}"/>
    <cellStyle name="Numbers_Comps" xfId="324" xr:uid="{00000000-0005-0000-0000-000070010000}"/>
    <cellStyle name="OSW_ColumnLabels" xfId="325" xr:uid="{00000000-0005-0000-0000-000071010000}"/>
    <cellStyle name="Output" xfId="41" builtinId="21" customBuiltin="1"/>
    <cellStyle name="Output 2" xfId="50" xr:uid="{00000000-0005-0000-0000-000073010000}"/>
    <cellStyle name="Output 3" xfId="407" xr:uid="{00000000-0005-0000-0000-000074010000}"/>
    <cellStyle name="Page" xfId="326" xr:uid="{00000000-0005-0000-0000-000075010000}"/>
    <cellStyle name="Page header" xfId="327" xr:uid="{00000000-0005-0000-0000-000076010000}"/>
    <cellStyle name="Percent" xfId="42" builtinId="5"/>
    <cellStyle name="Percent 2" xfId="408" xr:uid="{00000000-0005-0000-0000-000078010000}"/>
    <cellStyle name="Percent 2 2" xfId="422" xr:uid="{3FF0341B-F2F9-4449-8E05-AF3D602A64DB}"/>
    <cellStyle name="Percent 3" xfId="366" xr:uid="{00000000-0005-0000-0000-000079010000}"/>
    <cellStyle name="Percent 3 2" xfId="427" xr:uid="{02E647D8-43AB-4D01-A534-8EC24A098909}"/>
    <cellStyle name="Percent 4" xfId="430" xr:uid="{2AEA8D64-0795-47A7-B97C-9F5745698A68}"/>
    <cellStyle name="Percentage" xfId="328" xr:uid="{00000000-0005-0000-0000-00007A010000}"/>
    <cellStyle name="Price" xfId="329" xr:uid="{00000000-0005-0000-0000-00007B010000}"/>
    <cellStyle name="prot" xfId="330" xr:uid="{00000000-0005-0000-0000-00007C010000}"/>
    <cellStyle name="Punto" xfId="331" xr:uid="{00000000-0005-0000-0000-00007D010000}"/>
    <cellStyle name="r" xfId="332" xr:uid="{00000000-0005-0000-0000-00007E010000}"/>
    <cellStyle name="Reuters Cells" xfId="333" xr:uid="{00000000-0005-0000-0000-00007F010000}"/>
    <cellStyle name="s" xfId="334" xr:uid="{00000000-0005-0000-0000-000080010000}"/>
    <cellStyle name="ShadedCells_Database" xfId="335" xr:uid="{00000000-0005-0000-0000-000081010000}"/>
    <cellStyle name="Sheet Title" xfId="336" xr:uid="{00000000-0005-0000-0000-000082010000}"/>
    <cellStyle name="ShOut" xfId="337" xr:uid="{00000000-0005-0000-0000-000083010000}"/>
    <cellStyle name="Style 1" xfId="338" xr:uid="{00000000-0005-0000-0000-000084010000}"/>
    <cellStyle name="Style 2" xfId="339" xr:uid="{00000000-0005-0000-0000-000085010000}"/>
    <cellStyle name="Style 3" xfId="340" xr:uid="{00000000-0005-0000-0000-000086010000}"/>
    <cellStyle name="Style D green" xfId="341" xr:uid="{00000000-0005-0000-0000-000087010000}"/>
    <cellStyle name="Style E" xfId="342" xr:uid="{00000000-0005-0000-0000-000088010000}"/>
    <cellStyle name="Style H" xfId="343" xr:uid="{00000000-0005-0000-0000-000089010000}"/>
    <cellStyle name="Sub total" xfId="344" xr:uid="{00000000-0005-0000-0000-00008A010000}"/>
    <cellStyle name="Sum" xfId="345" xr:uid="{00000000-0005-0000-0000-00008B010000}"/>
    <cellStyle name="Swiss" xfId="346" xr:uid="{00000000-0005-0000-0000-00008C010000}"/>
    <cellStyle name="t" xfId="347" xr:uid="{00000000-0005-0000-0000-00008D010000}"/>
    <cellStyle name="Table end" xfId="348" xr:uid="{00000000-0005-0000-0000-00008E010000}"/>
    <cellStyle name="Table head" xfId="349" xr:uid="{00000000-0005-0000-0000-00008F010000}"/>
    <cellStyle name="table text bold" xfId="350" xr:uid="{00000000-0005-0000-0000-000090010000}"/>
    <cellStyle name="table text bold green" xfId="351" xr:uid="{00000000-0005-0000-0000-000091010000}"/>
    <cellStyle name="table text light" xfId="352" xr:uid="{00000000-0005-0000-0000-000092010000}"/>
    <cellStyle name="Table Title" xfId="353" xr:uid="{00000000-0005-0000-0000-000093010000}"/>
    <cellStyle name="Table Units" xfId="354" xr:uid="{00000000-0005-0000-0000-000094010000}"/>
    <cellStyle name="Time" xfId="355" xr:uid="{00000000-0005-0000-0000-000095010000}"/>
    <cellStyle name="Title" xfId="43" builtinId="15" customBuiltin="1"/>
    <cellStyle name="Title - PROJECT" xfId="356" xr:uid="{00000000-0005-0000-0000-000097010000}"/>
    <cellStyle name="Title - Underline" xfId="357" xr:uid="{00000000-0005-0000-0000-000098010000}"/>
    <cellStyle name="Title 2" xfId="409" xr:uid="{00000000-0005-0000-0000-000099010000}"/>
    <cellStyle name="Title1" xfId="358" xr:uid="{00000000-0005-0000-0000-00009A010000}"/>
    <cellStyle name="Title2" xfId="359" xr:uid="{00000000-0005-0000-0000-00009B010000}"/>
    <cellStyle name="Titles - Col. Headings" xfId="360" xr:uid="{00000000-0005-0000-0000-00009C010000}"/>
    <cellStyle name="Titles - Other" xfId="361" xr:uid="{00000000-0005-0000-0000-00009D010000}"/>
    <cellStyle name="Total" xfId="44" builtinId="25" customBuiltin="1"/>
    <cellStyle name="Total 2" xfId="410" xr:uid="{00000000-0005-0000-0000-00009F010000}"/>
    <cellStyle name="unm" xfId="362" xr:uid="{00000000-0005-0000-0000-0000A0010000}"/>
    <cellStyle name="Warning Text" xfId="45" builtinId="11" customBuiltin="1"/>
    <cellStyle name="Warning Text 2" xfId="411" xr:uid="{00000000-0005-0000-0000-0000A2010000}"/>
    <cellStyle name="Year" xfId="363" xr:uid="{00000000-0005-0000-0000-0000A3010000}"/>
    <cellStyle name="Years" xfId="364" xr:uid="{00000000-0005-0000-0000-0000A4010000}"/>
  </cellStyles>
  <dxfs count="672"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7"/>
      </font>
    </dxf>
    <dxf>
      <fill>
        <patternFill patternType="gray125">
          <fgColor rgb="FF92D050"/>
        </patternFill>
      </fill>
      <border>
        <left style="thin">
          <color rgb="FF00B050"/>
        </left>
        <right style="thin">
          <color rgb="FF00B050"/>
        </right>
        <vertical/>
        <horizontal/>
      </border>
    </dxf>
    <dxf>
      <fill>
        <patternFill patternType="gray125">
          <fgColor rgb="FF92D050"/>
        </patternFill>
      </fill>
      <border>
        <left style="thin">
          <color rgb="FF00B050"/>
        </left>
        <right style="thin">
          <color rgb="FF00B050"/>
        </right>
        <vertical/>
        <horizontal/>
      </border>
    </dxf>
    <dxf>
      <fill>
        <patternFill patternType="gray125">
          <fgColor rgb="FF92D050"/>
        </patternFill>
      </fill>
      <border>
        <left style="thin">
          <color rgb="FF00B050"/>
        </left>
        <right style="thin">
          <color rgb="FF00B050"/>
        </right>
        <vertical/>
        <horizontal/>
      </border>
    </dxf>
    <dxf>
      <fill>
        <patternFill patternType="gray125">
          <fgColor rgb="FF92D050"/>
        </patternFill>
      </fill>
      <border>
        <left style="thin">
          <color rgb="FF00B050"/>
        </left>
        <right style="thin">
          <color rgb="FF00B050"/>
        </right>
        <vertical/>
        <horizontal/>
      </border>
    </dxf>
  </dxfs>
  <tableStyles count="1" defaultTableStyle="TableStyleMedium9" defaultPivotStyle="PivotStyleLight16">
    <tableStyle name="Invisible" pivot="0" table="0" count="0" xr9:uid="{076E4BBC-A34A-4682-BEBC-11FD00AF86F7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5E76AA"/>
      <rgbColor rgb="00CFD6E6"/>
      <rgbColor rgb="009EADCC"/>
      <rgbColor rgb="00EFF1F6"/>
      <rgbColor rgb="00BFC8DD"/>
      <rgbColor rgb="008E9FC4"/>
      <rgbColor rgb="00DFE4EE"/>
      <rgbColor rgb="00AEBAD5"/>
      <rgbColor rgb="00000000"/>
      <rgbColor rgb="00AAAAAA"/>
      <rgbColor rgb="00444444"/>
      <rgbColor rgb="00CCCCCC"/>
      <rgbColor rgb="00888888"/>
      <rgbColor rgb="00666666"/>
      <rgbColor rgb="00EEEEEE"/>
      <rgbColor rgb="00222222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FFFFCC"/>
      <color rgb="FFFF33CC"/>
      <color rgb="FFF2F2F2"/>
      <color rgb="FFFDE5D4"/>
      <color rgb="FF00FFFF"/>
      <color rgb="FFCCFFFF"/>
      <color rgb="FF00FFCC"/>
      <color rgb="FFDFE4EE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MODEL!$B$11</c:f>
              <c:strCache>
                <c:ptCount val="1"/>
                <c:pt idx="0">
                  <c:v>Gross profit margin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MODEL!$E$3:$AF$3</c:f>
              <c:strCache>
                <c:ptCount val="10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  <c:pt idx="6">
                  <c:v>FY23</c:v>
                </c:pt>
                <c:pt idx="7">
                  <c:v>FY24</c:v>
                </c:pt>
                <c:pt idx="8">
                  <c:v>FY25</c:v>
                </c:pt>
                <c:pt idx="9">
                  <c:v>FY26e</c:v>
                </c:pt>
              </c:strCache>
            </c:strRef>
          </c:cat>
          <c:val>
            <c:numRef>
              <c:f>MODEL!$C$11:$AF$11</c:f>
              <c:numCache>
                <c:formatCode>0.0%</c:formatCode>
                <c:ptCount val="10"/>
                <c:pt idx="0">
                  <c:v>0.44638764490391669</c:v>
                </c:pt>
                <c:pt idx="1">
                  <c:v>0.44930750077808901</c:v>
                </c:pt>
                <c:pt idx="2">
                  <c:v>0.45149638802889569</c:v>
                </c:pt>
                <c:pt idx="3">
                  <c:v>0.44960005662914981</c:v>
                </c:pt>
                <c:pt idx="4">
                  <c:v>0.47954012336740898</c:v>
                </c:pt>
                <c:pt idx="5">
                  <c:v>0.46767107856941709</c:v>
                </c:pt>
                <c:pt idx="6">
                  <c:v>0.46226464710213527</c:v>
                </c:pt>
                <c:pt idx="7">
                  <c:v>0.46314515298238385</c:v>
                </c:pt>
                <c:pt idx="8">
                  <c:v>0.4569928096395004</c:v>
                </c:pt>
                <c:pt idx="9">
                  <c:v>0.45760938357939818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B45-4C92-96BE-38CCAF8192FD}"/>
            </c:ext>
          </c:extLst>
        </c:ser>
        <c:ser>
          <c:idx val="1"/>
          <c:order val="1"/>
          <c:tx>
            <c:strRef>
              <c:f>MODEL!$B$33</c:f>
              <c:strCache>
                <c:ptCount val="1"/>
                <c:pt idx="0">
                  <c:v>EBIT margin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MODEL!$E$3:$AF$3</c:f>
              <c:strCache>
                <c:ptCount val="10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  <c:pt idx="6">
                  <c:v>FY23</c:v>
                </c:pt>
                <c:pt idx="7">
                  <c:v>FY24</c:v>
                </c:pt>
                <c:pt idx="8">
                  <c:v>FY25</c:v>
                </c:pt>
                <c:pt idx="9">
                  <c:v>FY26e</c:v>
                </c:pt>
              </c:strCache>
            </c:strRef>
          </c:cat>
          <c:val>
            <c:numRef>
              <c:f>MODEL!$C$33:$AF$33</c:f>
              <c:numCache>
                <c:formatCode>0.0%</c:formatCode>
                <c:ptCount val="10"/>
                <c:pt idx="0">
                  <c:v>8.4088394791484514E-2</c:v>
                </c:pt>
                <c:pt idx="1">
                  <c:v>8.5434173669467775E-2</c:v>
                </c:pt>
                <c:pt idx="2">
                  <c:v>8.4070470293380509E-2</c:v>
                </c:pt>
                <c:pt idx="3">
                  <c:v>9.3792029447157935E-2</c:v>
                </c:pt>
                <c:pt idx="4">
                  <c:v>0.1380788277200197</c:v>
                </c:pt>
                <c:pt idx="5">
                  <c:v>0.11168684877499296</c:v>
                </c:pt>
                <c:pt idx="6">
                  <c:v>0.11407384032817923</c:v>
                </c:pt>
                <c:pt idx="7">
                  <c:v>0.10100958071494796</c:v>
                </c:pt>
                <c:pt idx="8">
                  <c:v>9.7278460821124443E-2</c:v>
                </c:pt>
                <c:pt idx="9">
                  <c:v>9.3752905390825494E-2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B45-4C92-96BE-38CCAF819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224224"/>
        <c:axId val="473092192"/>
      </c:lineChart>
      <c:catAx>
        <c:axId val="1142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2192"/>
        <c:crosses val="autoZero"/>
        <c:auto val="1"/>
        <c:lblAlgn val="ctr"/>
        <c:lblOffset val="100"/>
        <c:noMultiLvlLbl val="0"/>
      </c:catAx>
      <c:valAx>
        <c:axId val="47309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2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0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Leisure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Divisionals!$C$3:$AO$3</c:f>
              <c:strCache>
                <c:ptCount val="13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  <c:pt idx="6">
                  <c:v>FY23</c:v>
                </c:pt>
                <c:pt idx="7">
                  <c:v>FY24</c:v>
                </c:pt>
                <c:pt idx="8">
                  <c:v>FY25</c:v>
                </c:pt>
                <c:pt idx="9">
                  <c:v>FY26e</c:v>
                </c:pt>
                <c:pt idx="10">
                  <c:v>FY27e</c:v>
                </c:pt>
                <c:pt idx="11">
                  <c:v>FY28e</c:v>
                </c:pt>
                <c:pt idx="12">
                  <c:v>FY29e</c:v>
                </c:pt>
              </c:strCache>
            </c:strRef>
          </c:cat>
          <c:val>
            <c:numRef>
              <c:f>Divisionals!$C$289:$AO$289</c:f>
            </c:numRef>
          </c:val>
          <c:smooth val="0"/>
          <c:extLst>
            <c:ext xmlns:c16="http://schemas.microsoft.com/office/drawing/2014/chart" uri="{C3380CC4-5D6E-409C-BE32-E72D297353CC}">
              <c16:uniqueId val="{00000000-A73F-4031-AA44-96FB5E19E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462816"/>
        <c:axId val="729453248"/>
      </c:lineChart>
      <c:catAx>
        <c:axId val="72946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53248"/>
        <c:crosses val="autoZero"/>
        <c:auto val="1"/>
        <c:lblAlgn val="ctr"/>
        <c:lblOffset val="100"/>
        <c:noMultiLvlLbl val="0"/>
      </c:catAx>
      <c:valAx>
        <c:axId val="72945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6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Divisionals!$B$7</c:f>
              <c:strCache>
                <c:ptCount val="1"/>
                <c:pt idx="0">
                  <c:v>Auto &amp; Cycle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Divisionals!$K$3:$AF$3</c:f>
              <c:strCache>
                <c:ptCount val="8"/>
                <c:pt idx="0">
                  <c:v>FY19</c:v>
                </c:pt>
                <c:pt idx="1">
                  <c:v>FY20</c:v>
                </c:pt>
                <c:pt idx="2">
                  <c:v>FY21</c:v>
                </c:pt>
                <c:pt idx="3">
                  <c:v>FY22</c:v>
                </c:pt>
                <c:pt idx="4">
                  <c:v>FY23</c:v>
                </c:pt>
                <c:pt idx="5">
                  <c:v>FY24</c:v>
                </c:pt>
                <c:pt idx="6">
                  <c:v>FY25</c:v>
                </c:pt>
                <c:pt idx="7">
                  <c:v>FY26e</c:v>
                </c:pt>
              </c:strCache>
            </c:strRef>
          </c:cat>
          <c:val>
            <c:numRef>
              <c:f>Divisionals!$K$7:$AF$7</c:f>
              <c:numCache>
                <c:formatCode>0.0</c:formatCode>
                <c:ptCount val="8"/>
                <c:pt idx="0">
                  <c:v>1040.5999999999999</c:v>
                </c:pt>
                <c:pt idx="1">
                  <c:v>1119.7</c:v>
                </c:pt>
                <c:pt idx="2">
                  <c:v>1308.8</c:v>
                </c:pt>
                <c:pt idx="3">
                  <c:v>1339.8</c:v>
                </c:pt>
                <c:pt idx="4">
                  <c:v>1448.2</c:v>
                </c:pt>
                <c:pt idx="5">
                  <c:v>1498.4</c:v>
                </c:pt>
                <c:pt idx="6">
                  <c:v>1534.3</c:v>
                </c:pt>
                <c:pt idx="7">
                  <c:v>1617.736280113636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1-450E-9D60-D98BE1594841}"/>
            </c:ext>
          </c:extLst>
        </c:ser>
        <c:ser>
          <c:idx val="1"/>
          <c:order val="1"/>
          <c:tx>
            <c:strRef>
              <c:f>Divisionals!$B$8</c:f>
              <c:strCache>
                <c:ptCount val="1"/>
                <c:pt idx="0">
                  <c:v>BCF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Divisionals!$K$3:$AF$3</c:f>
              <c:strCache>
                <c:ptCount val="8"/>
                <c:pt idx="0">
                  <c:v>FY19</c:v>
                </c:pt>
                <c:pt idx="1">
                  <c:v>FY20</c:v>
                </c:pt>
                <c:pt idx="2">
                  <c:v>FY21</c:v>
                </c:pt>
                <c:pt idx="3">
                  <c:v>FY22</c:v>
                </c:pt>
                <c:pt idx="4">
                  <c:v>FY23</c:v>
                </c:pt>
                <c:pt idx="5">
                  <c:v>FY24</c:v>
                </c:pt>
                <c:pt idx="6">
                  <c:v>FY25</c:v>
                </c:pt>
                <c:pt idx="7">
                  <c:v>FY26e</c:v>
                </c:pt>
              </c:strCache>
            </c:strRef>
          </c:cat>
          <c:val>
            <c:numRef>
              <c:f>Divisionals!$K$8:$AF$8</c:f>
              <c:numCache>
                <c:formatCode>0.0</c:formatCode>
                <c:ptCount val="8"/>
                <c:pt idx="0">
                  <c:v>514.6</c:v>
                </c:pt>
                <c:pt idx="1">
                  <c:v>535</c:v>
                </c:pt>
                <c:pt idx="2">
                  <c:v>797.7</c:v>
                </c:pt>
                <c:pt idx="3">
                  <c:v>829.7</c:v>
                </c:pt>
                <c:pt idx="4">
                  <c:v>839.9</c:v>
                </c:pt>
                <c:pt idx="5">
                  <c:v>879.1</c:v>
                </c:pt>
                <c:pt idx="6">
                  <c:v>952.3</c:v>
                </c:pt>
                <c:pt idx="7">
                  <c:v>982.43680032110058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01-450E-9D60-D98BE1594841}"/>
            </c:ext>
          </c:extLst>
        </c:ser>
        <c:ser>
          <c:idx val="2"/>
          <c:order val="2"/>
          <c:tx>
            <c:strRef>
              <c:f>Divisionals!$B$9</c:f>
              <c:strCache>
                <c:ptCount val="1"/>
                <c:pt idx="0">
                  <c:v>Macpac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Divisionals!$K$3:$AF$3</c:f>
              <c:strCache>
                <c:ptCount val="8"/>
                <c:pt idx="0">
                  <c:v>FY19</c:v>
                </c:pt>
                <c:pt idx="1">
                  <c:v>FY20</c:v>
                </c:pt>
                <c:pt idx="2">
                  <c:v>FY21</c:v>
                </c:pt>
                <c:pt idx="3">
                  <c:v>FY22</c:v>
                </c:pt>
                <c:pt idx="4">
                  <c:v>FY23</c:v>
                </c:pt>
                <c:pt idx="5">
                  <c:v>FY24</c:v>
                </c:pt>
                <c:pt idx="6">
                  <c:v>FY25</c:v>
                </c:pt>
                <c:pt idx="7">
                  <c:v>FY26e</c:v>
                </c:pt>
              </c:strCache>
            </c:strRef>
          </c:cat>
          <c:val>
            <c:numRef>
              <c:f>Divisionals!$K$9:$AF$9</c:f>
              <c:numCache>
                <c:formatCode>0.0</c:formatCode>
                <c:ptCount val="8"/>
                <c:pt idx="0">
                  <c:v>138.80000000000001</c:v>
                </c:pt>
                <c:pt idx="1">
                  <c:v>131.9</c:v>
                </c:pt>
                <c:pt idx="2">
                  <c:v>153.4</c:v>
                </c:pt>
                <c:pt idx="3">
                  <c:v>176.8</c:v>
                </c:pt>
                <c:pt idx="4">
                  <c:v>216.6</c:v>
                </c:pt>
                <c:pt idx="5">
                  <c:v>222.9</c:v>
                </c:pt>
                <c:pt idx="6">
                  <c:v>231.6</c:v>
                </c:pt>
                <c:pt idx="7">
                  <c:v>250.61852880000001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01-450E-9D60-D98BE1594841}"/>
            </c:ext>
          </c:extLst>
        </c:ser>
        <c:ser>
          <c:idx val="3"/>
          <c:order val="3"/>
          <c:tx>
            <c:strRef>
              <c:f>Divisionals!$B$10</c:f>
              <c:strCache>
                <c:ptCount val="1"/>
                <c:pt idx="0">
                  <c:v>Sporting Goods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Divisionals!$K$3:$AF$3</c:f>
              <c:strCache>
                <c:ptCount val="8"/>
                <c:pt idx="0">
                  <c:v>FY19</c:v>
                </c:pt>
                <c:pt idx="1">
                  <c:v>FY20</c:v>
                </c:pt>
                <c:pt idx="2">
                  <c:v>FY21</c:v>
                </c:pt>
                <c:pt idx="3">
                  <c:v>FY22</c:v>
                </c:pt>
                <c:pt idx="4">
                  <c:v>FY23</c:v>
                </c:pt>
                <c:pt idx="5">
                  <c:v>FY24</c:v>
                </c:pt>
                <c:pt idx="6">
                  <c:v>FY25</c:v>
                </c:pt>
                <c:pt idx="7">
                  <c:v>FY26e</c:v>
                </c:pt>
              </c:strCache>
            </c:strRef>
          </c:cat>
          <c:val>
            <c:numRef>
              <c:f>Divisionals!$K$10:$AF$10</c:f>
              <c:numCache>
                <c:formatCode>0.0</c:formatCode>
                <c:ptCount val="8"/>
                <c:pt idx="0">
                  <c:v>1016.4</c:v>
                </c:pt>
                <c:pt idx="1">
                  <c:v>1038.5999999999999</c:v>
                </c:pt>
                <c:pt idx="2">
                  <c:v>1197</c:v>
                </c:pt>
                <c:pt idx="3">
                  <c:v>1212.0999999999999</c:v>
                </c:pt>
                <c:pt idx="4">
                  <c:v>1309.3</c:v>
                </c:pt>
                <c:pt idx="5">
                  <c:v>1291.5999999999999</c:v>
                </c:pt>
                <c:pt idx="6">
                  <c:v>1361.8</c:v>
                </c:pt>
                <c:pt idx="7">
                  <c:v>1432.3656760373831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01-450E-9D60-D98BE1594841}"/>
            </c:ext>
          </c:extLst>
        </c:ser>
        <c:ser>
          <c:idx val="4"/>
          <c:order val="4"/>
          <c:tx>
            <c:strRef>
              <c:f>Divisionals!$B$11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Divisionals!$K$3:$AF$3</c:f>
              <c:strCache>
                <c:ptCount val="8"/>
                <c:pt idx="0">
                  <c:v>FY19</c:v>
                </c:pt>
                <c:pt idx="1">
                  <c:v>FY20</c:v>
                </c:pt>
                <c:pt idx="2">
                  <c:v>FY21</c:v>
                </c:pt>
                <c:pt idx="3">
                  <c:v>FY22</c:v>
                </c:pt>
                <c:pt idx="4">
                  <c:v>FY23</c:v>
                </c:pt>
                <c:pt idx="5">
                  <c:v>FY24</c:v>
                </c:pt>
                <c:pt idx="6">
                  <c:v>FY25</c:v>
                </c:pt>
                <c:pt idx="7">
                  <c:v>FY26e</c:v>
                </c:pt>
              </c:strCache>
            </c:strRef>
          </c:cat>
          <c:val>
            <c:numRef>
              <c:f>Divisionals!$K$11:$AF$11</c:f>
              <c:numCache>
                <c:formatCode>0.0</c:formatCode>
                <c:ptCount val="8"/>
                <c:pt idx="0">
                  <c:v>2.8</c:v>
                </c:pt>
                <c:pt idx="1">
                  <c:v>0.2</c:v>
                </c:pt>
                <c:pt idx="2">
                  <c:v>-3.8</c:v>
                </c:pt>
                <c:pt idx="3">
                  <c:v>-7.4</c:v>
                </c:pt>
                <c:pt idx="4">
                  <c:v>-11.2</c:v>
                </c:pt>
                <c:pt idx="5">
                  <c:v>-9.1999999999999993</c:v>
                </c:pt>
                <c:pt idx="6">
                  <c:v>-5.0999999999999996</c:v>
                </c:pt>
                <c:pt idx="7">
                  <c:v>-5.0999999999999996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01-450E-9D60-D98BE1594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436672"/>
        <c:axId val="313293056"/>
      </c:barChart>
      <c:catAx>
        <c:axId val="4704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93056"/>
        <c:crosses val="autoZero"/>
        <c:auto val="1"/>
        <c:lblAlgn val="ctr"/>
        <c:lblOffset val="100"/>
        <c:noMultiLvlLbl val="0"/>
      </c:catAx>
      <c:valAx>
        <c:axId val="31329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43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0"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Divisionals!$B$43</c:f>
              <c:strCache>
                <c:ptCount val="1"/>
                <c:pt idx="0">
                  <c:v>Auto &amp; Cycle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Divisionals!$E$3:$AI$3</c:f>
              <c:strCache>
                <c:ptCount val="11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  <c:pt idx="6">
                  <c:v>FY23</c:v>
                </c:pt>
                <c:pt idx="7">
                  <c:v>FY24</c:v>
                </c:pt>
                <c:pt idx="8">
                  <c:v>FY25</c:v>
                </c:pt>
                <c:pt idx="9">
                  <c:v>FY26e</c:v>
                </c:pt>
                <c:pt idx="10">
                  <c:v>FY27e</c:v>
                </c:pt>
              </c:strCache>
            </c:strRef>
          </c:cat>
          <c:val>
            <c:numRef>
              <c:f>Divisionals!$C$43:$AI$43</c:f>
              <c:numCache>
                <c:formatCode>0.0%</c:formatCode>
                <c:ptCount val="11"/>
                <c:pt idx="0">
                  <c:v>0.11612093315200335</c:v>
                </c:pt>
                <c:pt idx="1">
                  <c:v>0.11565977742448331</c:v>
                </c:pt>
                <c:pt idx="2">
                  <c:v>0.11589467614837594</c:v>
                </c:pt>
                <c:pt idx="3">
                  <c:v>0.12646244529784761</c:v>
                </c:pt>
                <c:pt idx="4">
                  <c:v>0.15602078239608802</c:v>
                </c:pt>
                <c:pt idx="5">
                  <c:v>0.14226003881176294</c:v>
                </c:pt>
                <c:pt idx="6">
                  <c:v>0.15149841182157162</c:v>
                </c:pt>
                <c:pt idx="7">
                  <c:v>0.14802455953016549</c:v>
                </c:pt>
                <c:pt idx="8">
                  <c:v>0.1423450433422408</c:v>
                </c:pt>
                <c:pt idx="9">
                  <c:v>0.14394504334224084</c:v>
                </c:pt>
                <c:pt idx="10">
                  <c:v>0.14554504334224089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F4F-4060-92A2-8F8AC98E3C6F}"/>
            </c:ext>
          </c:extLst>
        </c:ser>
        <c:ser>
          <c:idx val="1"/>
          <c:order val="1"/>
          <c:tx>
            <c:strRef>
              <c:f>Divisionals!$B$44</c:f>
              <c:strCache>
                <c:ptCount val="1"/>
                <c:pt idx="0">
                  <c:v>BCF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Divisionals!$E$3:$AI$3</c:f>
              <c:strCache>
                <c:ptCount val="11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  <c:pt idx="6">
                  <c:v>FY23</c:v>
                </c:pt>
                <c:pt idx="7">
                  <c:v>FY24</c:v>
                </c:pt>
                <c:pt idx="8">
                  <c:v>FY25</c:v>
                </c:pt>
                <c:pt idx="9">
                  <c:v>FY26e</c:v>
                </c:pt>
                <c:pt idx="10">
                  <c:v>FY27e</c:v>
                </c:pt>
              </c:strCache>
            </c:strRef>
          </c:cat>
          <c:val>
            <c:numRef>
              <c:f>Divisionals!$C$44:$AI$44</c:f>
              <c:numCache>
                <c:formatCode>0.0%</c:formatCode>
                <c:ptCount val="11"/>
                <c:pt idx="0">
                  <c:v>6.5000000000000002E-2</c:v>
                </c:pt>
                <c:pt idx="1">
                  <c:v>5.4786273329319686E-2</c:v>
                </c:pt>
                <c:pt idx="2">
                  <c:v>4.0419743490089387E-2</c:v>
                </c:pt>
                <c:pt idx="3">
                  <c:v>4.3738317757009343E-2</c:v>
                </c:pt>
                <c:pt idx="4">
                  <c:v>0.1318791525636204</c:v>
                </c:pt>
                <c:pt idx="5">
                  <c:v>8.3042063396408336E-2</c:v>
                </c:pt>
                <c:pt idx="6">
                  <c:v>7.2627693773068228E-2</c:v>
                </c:pt>
                <c:pt idx="7">
                  <c:v>7.5986804686611301E-2</c:v>
                </c:pt>
                <c:pt idx="8">
                  <c:v>7.9176730022051889E-2</c:v>
                </c:pt>
                <c:pt idx="9">
                  <c:v>7.8476730022051855E-2</c:v>
                </c:pt>
                <c:pt idx="10">
                  <c:v>7.9076730022051886E-2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F4F-4060-92A2-8F8AC98E3C6F}"/>
            </c:ext>
          </c:extLst>
        </c:ser>
        <c:ser>
          <c:idx val="2"/>
          <c:order val="2"/>
          <c:tx>
            <c:strRef>
              <c:f>Divisionals!$B$45</c:f>
              <c:strCache>
                <c:ptCount val="1"/>
                <c:pt idx="0">
                  <c:v>Macpac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Divisionals!$E$3:$AI$3</c:f>
              <c:strCache>
                <c:ptCount val="11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  <c:pt idx="6">
                  <c:v>FY23</c:v>
                </c:pt>
                <c:pt idx="7">
                  <c:v>FY24</c:v>
                </c:pt>
                <c:pt idx="8">
                  <c:v>FY25</c:v>
                </c:pt>
                <c:pt idx="9">
                  <c:v>FY26e</c:v>
                </c:pt>
                <c:pt idx="10">
                  <c:v>FY27e</c:v>
                </c:pt>
              </c:strCache>
            </c:strRef>
          </c:cat>
          <c:val>
            <c:numRef>
              <c:f>Divisionals!$C$45:$AI$45</c:f>
              <c:numCache>
                <c:formatCode>0.0%</c:formatCode>
                <c:ptCount val="11"/>
                <c:pt idx="0">
                  <c:v>3.1463748290013679E-2</c:v>
                </c:pt>
                <c:pt idx="1">
                  <c:v>2.8220858895705518E-2</c:v>
                </c:pt>
                <c:pt idx="2">
                  <c:v>9.3659942363112383E-2</c:v>
                </c:pt>
                <c:pt idx="3">
                  <c:v>5.8377558756633807E-2</c:v>
                </c:pt>
                <c:pt idx="4">
                  <c:v>0.11799217731421122</c:v>
                </c:pt>
                <c:pt idx="5">
                  <c:v>0.11312217194570134</c:v>
                </c:pt>
                <c:pt idx="6">
                  <c:v>0.14035087719298248</c:v>
                </c:pt>
                <c:pt idx="7">
                  <c:v>9.8698968147151206E-2</c:v>
                </c:pt>
                <c:pt idx="8">
                  <c:v>6.1744386873920545E-2</c:v>
                </c:pt>
                <c:pt idx="9">
                  <c:v>6.8960276338514634E-2</c:v>
                </c:pt>
                <c:pt idx="10">
                  <c:v>7.4960276338514611E-2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F4F-4060-92A2-8F8AC98E3C6F}"/>
            </c:ext>
          </c:extLst>
        </c:ser>
        <c:ser>
          <c:idx val="3"/>
          <c:order val="3"/>
          <c:tx>
            <c:strRef>
              <c:f>Divisionals!$B$46</c:f>
              <c:strCache>
                <c:ptCount val="1"/>
                <c:pt idx="0">
                  <c:v>Sporting Goods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Divisionals!$E$3:$AI$3</c:f>
              <c:strCache>
                <c:ptCount val="11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  <c:pt idx="6">
                  <c:v>FY23</c:v>
                </c:pt>
                <c:pt idx="7">
                  <c:v>FY24</c:v>
                </c:pt>
                <c:pt idx="8">
                  <c:v>FY25</c:v>
                </c:pt>
                <c:pt idx="9">
                  <c:v>FY26e</c:v>
                </c:pt>
                <c:pt idx="10">
                  <c:v>FY27e</c:v>
                </c:pt>
              </c:strCache>
            </c:strRef>
          </c:cat>
          <c:val>
            <c:numRef>
              <c:f>Divisionals!$C$46:$AI$46</c:f>
              <c:numCache>
                <c:formatCode>0.0%</c:formatCode>
                <c:ptCount val="11"/>
                <c:pt idx="0">
                  <c:v>9.6186262115465646E-2</c:v>
                </c:pt>
                <c:pt idx="1">
                  <c:v>9.3443627450980393E-2</c:v>
                </c:pt>
                <c:pt idx="2">
                  <c:v>9.2286501377410471E-2</c:v>
                </c:pt>
                <c:pt idx="3">
                  <c:v>0.10648950510302331</c:v>
                </c:pt>
                <c:pt idx="4">
                  <c:v>0.15037593984962402</c:v>
                </c:pt>
                <c:pt idx="5">
                  <c:v>0.12837224651431403</c:v>
                </c:pt>
                <c:pt idx="6">
                  <c:v>0.12357748415183688</c:v>
                </c:pt>
                <c:pt idx="7">
                  <c:v>9.3991947971508213E-2</c:v>
                </c:pt>
                <c:pt idx="8">
                  <c:v>9.0835658687031889E-2</c:v>
                </c:pt>
                <c:pt idx="9">
                  <c:v>9.3435658687031839E-2</c:v>
                </c:pt>
                <c:pt idx="10">
                  <c:v>9.5335658687031824E-2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F4F-4060-92A2-8F8AC98E3C6F}"/>
            </c:ext>
          </c:extLst>
        </c:ser>
        <c:ser>
          <c:idx val="4"/>
          <c:order val="4"/>
          <c:tx>
            <c:strRef>
              <c:f>Divisionals!$B$47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Divisionals!$E$3:$AI$3</c:f>
              <c:strCache>
                <c:ptCount val="11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  <c:pt idx="6">
                  <c:v>FY23</c:v>
                </c:pt>
                <c:pt idx="7">
                  <c:v>FY24</c:v>
                </c:pt>
                <c:pt idx="8">
                  <c:v>FY25</c:v>
                </c:pt>
                <c:pt idx="9">
                  <c:v>FY26e</c:v>
                </c:pt>
                <c:pt idx="10">
                  <c:v>FY27e</c:v>
                </c:pt>
              </c:strCache>
            </c:strRef>
          </c:cat>
          <c:val>
            <c:numRef>
              <c:f>Divisionals!$C$47:$AI$47</c:f>
              <c:numCache>
                <c:formatCode>0.0%</c:formatCode>
                <c:ptCount val="11"/>
                <c:pt idx="0">
                  <c:v>8.4088394791484514E-2</c:v>
                </c:pt>
                <c:pt idx="1">
                  <c:v>8.5434173669467775E-2</c:v>
                </c:pt>
                <c:pt idx="2">
                  <c:v>8.4070470293380509E-2</c:v>
                </c:pt>
                <c:pt idx="3">
                  <c:v>9.3792029447157935E-2</c:v>
                </c:pt>
                <c:pt idx="4">
                  <c:v>0.1380788277200197</c:v>
                </c:pt>
                <c:pt idx="5">
                  <c:v>0.11168684877499296</c:v>
                </c:pt>
                <c:pt idx="6">
                  <c:v>0.11407384032817923</c:v>
                </c:pt>
                <c:pt idx="7">
                  <c:v>0.10100958071494796</c:v>
                </c:pt>
                <c:pt idx="8">
                  <c:v>9.7278460821124443E-2</c:v>
                </c:pt>
                <c:pt idx="9">
                  <c:v>9.3752905390825494E-2</c:v>
                </c:pt>
                <c:pt idx="10">
                  <c:v>0.10164277029888262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2F4F-4060-92A2-8F8AC98E3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4821823"/>
        <c:axId val="454809343"/>
      </c:lineChart>
      <c:catAx>
        <c:axId val="45482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09343"/>
        <c:crosses val="autoZero"/>
        <c:auto val="1"/>
        <c:lblAlgn val="ctr"/>
        <c:lblOffset val="100"/>
        <c:noMultiLvlLbl val="0"/>
      </c:catAx>
      <c:valAx>
        <c:axId val="454809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2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Divisionals!$B$14</c:f>
              <c:strCache>
                <c:ptCount val="1"/>
                <c:pt idx="0">
                  <c:v>Auto &amp; Cycle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Divisionals!$N$3:$AI$3</c:f>
              <c:strCache>
                <c:ptCount val="8"/>
                <c:pt idx="0">
                  <c:v>FY20</c:v>
                </c:pt>
                <c:pt idx="1">
                  <c:v>FY21</c:v>
                </c:pt>
                <c:pt idx="2">
                  <c:v>FY22</c:v>
                </c:pt>
                <c:pt idx="3">
                  <c:v>FY23</c:v>
                </c:pt>
                <c:pt idx="4">
                  <c:v>FY24</c:v>
                </c:pt>
                <c:pt idx="5">
                  <c:v>FY25</c:v>
                </c:pt>
                <c:pt idx="6">
                  <c:v>FY26e</c:v>
                </c:pt>
                <c:pt idx="7">
                  <c:v>FY27e</c:v>
                </c:pt>
              </c:strCache>
            </c:strRef>
          </c:cat>
          <c:val>
            <c:numRef>
              <c:f>Divisionals!$N$14:$AI$14</c:f>
              <c:numCache>
                <c:formatCode>0.0%</c:formatCode>
                <c:ptCount val="8"/>
                <c:pt idx="0">
                  <c:v>7.6013838170286618E-2</c:v>
                </c:pt>
                <c:pt idx="1">
                  <c:v>0.16888452263999287</c:v>
                </c:pt>
                <c:pt idx="2">
                  <c:v>2.3685819070904612E-2</c:v>
                </c:pt>
                <c:pt idx="3">
                  <c:v>8.0907598148977522E-2</c:v>
                </c:pt>
                <c:pt idx="4">
                  <c:v>3.4663720480596627E-2</c:v>
                </c:pt>
                <c:pt idx="5">
                  <c:v>2.395888948211411E-2</c:v>
                </c:pt>
                <c:pt idx="6">
                  <c:v>5.4380681818181564E-2</c:v>
                </c:pt>
                <c:pt idx="7">
                  <c:v>5.1934177215189781E-2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0B9-4405-9DC6-B31BACC95B6F}"/>
            </c:ext>
          </c:extLst>
        </c:ser>
        <c:ser>
          <c:idx val="1"/>
          <c:order val="1"/>
          <c:tx>
            <c:strRef>
              <c:f>Divisionals!$B$15</c:f>
              <c:strCache>
                <c:ptCount val="1"/>
                <c:pt idx="0">
                  <c:v>BCF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Divisionals!$N$3:$AI$3</c:f>
              <c:strCache>
                <c:ptCount val="8"/>
                <c:pt idx="0">
                  <c:v>FY20</c:v>
                </c:pt>
                <c:pt idx="1">
                  <c:v>FY21</c:v>
                </c:pt>
                <c:pt idx="2">
                  <c:v>FY22</c:v>
                </c:pt>
                <c:pt idx="3">
                  <c:v>FY23</c:v>
                </c:pt>
                <c:pt idx="4">
                  <c:v>FY24</c:v>
                </c:pt>
                <c:pt idx="5">
                  <c:v>FY25</c:v>
                </c:pt>
                <c:pt idx="6">
                  <c:v>FY26e</c:v>
                </c:pt>
                <c:pt idx="7">
                  <c:v>FY27e</c:v>
                </c:pt>
              </c:strCache>
            </c:strRef>
          </c:cat>
          <c:val>
            <c:numRef>
              <c:f>Divisionals!$N$15:$AI$15</c:f>
              <c:numCache>
                <c:formatCode>0.0%</c:formatCode>
                <c:ptCount val="8"/>
                <c:pt idx="0">
                  <c:v>3.9642440730664585E-2</c:v>
                </c:pt>
                <c:pt idx="1">
                  <c:v>0.49102803738317768</c:v>
                </c:pt>
                <c:pt idx="2">
                  <c:v>4.0115331578287616E-2</c:v>
                </c:pt>
                <c:pt idx="3">
                  <c:v>1.2293600096420221E-2</c:v>
                </c:pt>
                <c:pt idx="4">
                  <c:v>4.6672222883676673E-2</c:v>
                </c:pt>
                <c:pt idx="5">
                  <c:v>8.3266977590717772E-2</c:v>
                </c:pt>
                <c:pt idx="6">
                  <c:v>3.1646330275229007E-2</c:v>
                </c:pt>
                <c:pt idx="7">
                  <c:v>4.453353293413187E-2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0B9-4405-9DC6-B31BACC95B6F}"/>
            </c:ext>
          </c:extLst>
        </c:ser>
        <c:ser>
          <c:idx val="2"/>
          <c:order val="2"/>
          <c:tx>
            <c:strRef>
              <c:f>Divisionals!$B$16</c:f>
              <c:strCache>
                <c:ptCount val="1"/>
                <c:pt idx="0">
                  <c:v>Macpac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Divisionals!$N$3:$AI$3</c:f>
              <c:strCache>
                <c:ptCount val="8"/>
                <c:pt idx="0">
                  <c:v>FY20</c:v>
                </c:pt>
                <c:pt idx="1">
                  <c:v>FY21</c:v>
                </c:pt>
                <c:pt idx="2">
                  <c:v>FY22</c:v>
                </c:pt>
                <c:pt idx="3">
                  <c:v>FY23</c:v>
                </c:pt>
                <c:pt idx="4">
                  <c:v>FY24</c:v>
                </c:pt>
                <c:pt idx="5">
                  <c:v>FY25</c:v>
                </c:pt>
                <c:pt idx="6">
                  <c:v>FY26e</c:v>
                </c:pt>
                <c:pt idx="7">
                  <c:v>FY27e</c:v>
                </c:pt>
              </c:strCache>
            </c:strRef>
          </c:cat>
          <c:val>
            <c:numRef>
              <c:f>Divisionals!$N$16:$AI$16</c:f>
              <c:numCache>
                <c:formatCode>0.0%</c:formatCode>
                <c:ptCount val="8"/>
                <c:pt idx="0">
                  <c:v>-4.9711815561959694E-2</c:v>
                </c:pt>
                <c:pt idx="1">
                  <c:v>0.16300227445034121</c:v>
                </c:pt>
                <c:pt idx="2">
                  <c:v>0.15254237288135597</c:v>
                </c:pt>
                <c:pt idx="3">
                  <c:v>0.22511312217194557</c:v>
                </c:pt>
                <c:pt idx="4">
                  <c:v>2.9085872576177341E-2</c:v>
                </c:pt>
                <c:pt idx="5">
                  <c:v>3.9030955585464211E-2</c:v>
                </c:pt>
                <c:pt idx="6">
                  <c:v>8.2118000000000135E-2</c:v>
                </c:pt>
                <c:pt idx="7">
                  <c:v>4.5199999999999907E-2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0B9-4405-9DC6-B31BACC95B6F}"/>
            </c:ext>
          </c:extLst>
        </c:ser>
        <c:ser>
          <c:idx val="3"/>
          <c:order val="3"/>
          <c:tx>
            <c:strRef>
              <c:f>Divisionals!$B$17</c:f>
              <c:strCache>
                <c:ptCount val="1"/>
                <c:pt idx="0">
                  <c:v>Sporting Goods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Divisionals!$N$3:$AI$3</c:f>
              <c:strCache>
                <c:ptCount val="8"/>
                <c:pt idx="0">
                  <c:v>FY20</c:v>
                </c:pt>
                <c:pt idx="1">
                  <c:v>FY21</c:v>
                </c:pt>
                <c:pt idx="2">
                  <c:v>FY22</c:v>
                </c:pt>
                <c:pt idx="3">
                  <c:v>FY23</c:v>
                </c:pt>
                <c:pt idx="4">
                  <c:v>FY24</c:v>
                </c:pt>
                <c:pt idx="5">
                  <c:v>FY25</c:v>
                </c:pt>
                <c:pt idx="6">
                  <c:v>FY26e</c:v>
                </c:pt>
                <c:pt idx="7">
                  <c:v>FY27e</c:v>
                </c:pt>
              </c:strCache>
            </c:strRef>
          </c:cat>
          <c:val>
            <c:numRef>
              <c:f>Divisionals!$N$17:$AI$17</c:f>
              <c:numCache>
                <c:formatCode>0.0%</c:formatCode>
                <c:ptCount val="8"/>
                <c:pt idx="0">
                  <c:v>2.1841794569067208E-2</c:v>
                </c:pt>
                <c:pt idx="1">
                  <c:v>0.15251299826689779</c:v>
                </c:pt>
                <c:pt idx="2">
                  <c:v>1.261487050960719E-2</c:v>
                </c:pt>
                <c:pt idx="3">
                  <c:v>8.0191403349558765E-2</c:v>
                </c:pt>
                <c:pt idx="4">
                  <c:v>-1.3518674100664541E-2</c:v>
                </c:pt>
                <c:pt idx="5">
                  <c:v>5.4351192319603614E-2</c:v>
                </c:pt>
                <c:pt idx="6">
                  <c:v>5.1817943925233534E-2</c:v>
                </c:pt>
                <c:pt idx="7">
                  <c:v>5.520015151515123E-2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0B9-4405-9DC6-B31BACC95B6F}"/>
            </c:ext>
          </c:extLst>
        </c:ser>
        <c:ser>
          <c:idx val="4"/>
          <c:order val="4"/>
          <c:tx>
            <c:strRef>
              <c:f>Divisionals!$B$18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Divisionals!$N$3:$AI$3</c:f>
              <c:strCache>
                <c:ptCount val="8"/>
                <c:pt idx="0">
                  <c:v>FY20</c:v>
                </c:pt>
                <c:pt idx="1">
                  <c:v>FY21</c:v>
                </c:pt>
                <c:pt idx="2">
                  <c:v>FY22</c:v>
                </c:pt>
                <c:pt idx="3">
                  <c:v>FY23</c:v>
                </c:pt>
                <c:pt idx="4">
                  <c:v>FY24</c:v>
                </c:pt>
                <c:pt idx="5">
                  <c:v>FY25</c:v>
                </c:pt>
                <c:pt idx="6">
                  <c:v>FY26e</c:v>
                </c:pt>
                <c:pt idx="7">
                  <c:v>FY27e</c:v>
                </c:pt>
              </c:strCache>
            </c:strRef>
          </c:cat>
          <c:val>
            <c:numRef>
              <c:f>Divisionals!$N$18:$AI$18</c:f>
              <c:numCache>
                <c:formatCode>0.0%</c:formatCode>
                <c:ptCount val="8"/>
                <c:pt idx="0">
                  <c:v>4.1353383458646586E-2</c:v>
                </c:pt>
                <c:pt idx="1">
                  <c:v>0.22216323352445677</c:v>
                </c:pt>
                <c:pt idx="2">
                  <c:v>2.8351336480264111E-2</c:v>
                </c:pt>
                <c:pt idx="3">
                  <c:v>7.0909602928752591E-2</c:v>
                </c:pt>
                <c:pt idx="4">
                  <c:v>2.103713053539491E-2</c:v>
                </c:pt>
                <c:pt idx="5">
                  <c:v>4.9474605954465734E-2</c:v>
                </c:pt>
                <c:pt idx="6">
                  <c:v>4.9855771987562747E-2</c:v>
                </c:pt>
                <c:pt idx="7">
                  <c:v>5.0995564004448601E-2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A64-43C2-ACDF-52A5C4067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436672"/>
        <c:axId val="313293056"/>
      </c:lineChart>
      <c:catAx>
        <c:axId val="4704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93056"/>
        <c:crosses val="autoZero"/>
        <c:auto val="1"/>
        <c:lblAlgn val="ctr"/>
        <c:lblOffset val="100"/>
        <c:noMultiLvlLbl val="0"/>
      </c:catAx>
      <c:valAx>
        <c:axId val="3132930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43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0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4"/>
          <c:order val="0"/>
          <c:tx>
            <c:strRef>
              <c:f>Divisionals!$B$47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Divisionals!$N$3:$AI$3</c:f>
              <c:strCache>
                <c:ptCount val="8"/>
                <c:pt idx="0">
                  <c:v>FY20</c:v>
                </c:pt>
                <c:pt idx="1">
                  <c:v>FY21</c:v>
                </c:pt>
                <c:pt idx="2">
                  <c:v>FY22</c:v>
                </c:pt>
                <c:pt idx="3">
                  <c:v>FY23</c:v>
                </c:pt>
                <c:pt idx="4">
                  <c:v>FY24</c:v>
                </c:pt>
                <c:pt idx="5">
                  <c:v>FY25</c:v>
                </c:pt>
                <c:pt idx="6">
                  <c:v>FY26e</c:v>
                </c:pt>
                <c:pt idx="7">
                  <c:v>FY27e</c:v>
                </c:pt>
              </c:strCache>
            </c:strRef>
          </c:cat>
          <c:val>
            <c:numRef>
              <c:f>Divisionals!$N$29:$AI$29</c:f>
              <c:numCache>
                <c:formatCode>0.0%</c:formatCode>
                <c:ptCount val="8"/>
                <c:pt idx="0">
                  <c:v>0.44960005662914981</c:v>
                </c:pt>
                <c:pt idx="1">
                  <c:v>0.47954012336740898</c:v>
                </c:pt>
                <c:pt idx="2">
                  <c:v>0.46767107856941709</c:v>
                </c:pt>
                <c:pt idx="3">
                  <c:v>0.46226464710213527</c:v>
                </c:pt>
                <c:pt idx="4">
                  <c:v>0.46314515298238385</c:v>
                </c:pt>
                <c:pt idx="5">
                  <c:v>0.4569928096395004</c:v>
                </c:pt>
                <c:pt idx="6">
                  <c:v>0.45760938357939818</c:v>
                </c:pt>
                <c:pt idx="7">
                  <c:v>0.45791358192736953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7C2-461C-92DF-32023234B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4821823"/>
        <c:axId val="454809343"/>
      </c:lineChart>
      <c:catAx>
        <c:axId val="45482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09343"/>
        <c:crosses val="autoZero"/>
        <c:auto val="1"/>
        <c:lblAlgn val="ctr"/>
        <c:lblOffset val="100"/>
        <c:noMultiLvlLbl val="0"/>
      </c:catAx>
      <c:valAx>
        <c:axId val="454809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21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Divisionals!$B$42</c:f>
              <c:strCache>
                <c:ptCount val="1"/>
                <c:pt idx="0">
                  <c:v>EBIT Margins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Divisionals!$N$3:$AL$3</c:f>
              <c:strCache>
                <c:ptCount val="9"/>
                <c:pt idx="0">
                  <c:v>FY20</c:v>
                </c:pt>
                <c:pt idx="1">
                  <c:v>FY21</c:v>
                </c:pt>
                <c:pt idx="2">
                  <c:v>FY22</c:v>
                </c:pt>
                <c:pt idx="3">
                  <c:v>FY23</c:v>
                </c:pt>
                <c:pt idx="4">
                  <c:v>FY24</c:v>
                </c:pt>
                <c:pt idx="5">
                  <c:v>FY25</c:v>
                </c:pt>
                <c:pt idx="6">
                  <c:v>FY26e</c:v>
                </c:pt>
                <c:pt idx="7">
                  <c:v>FY27e</c:v>
                </c:pt>
                <c:pt idx="8">
                  <c:v>FY28e</c:v>
                </c:pt>
              </c:strCache>
            </c:strRef>
          </c:cat>
          <c:val>
            <c:numRef>
              <c:f>Divisionals!$N$47:$AL$47</c:f>
              <c:numCache>
                <c:formatCode>0.0%</c:formatCode>
                <c:ptCount val="9"/>
                <c:pt idx="0">
                  <c:v>9.3792029447157935E-2</c:v>
                </c:pt>
                <c:pt idx="1">
                  <c:v>0.1380788277200197</c:v>
                </c:pt>
                <c:pt idx="2">
                  <c:v>0.11168684877499296</c:v>
                </c:pt>
                <c:pt idx="3">
                  <c:v>0.11407384032817923</c:v>
                </c:pt>
                <c:pt idx="4">
                  <c:v>0.10100958071494796</c:v>
                </c:pt>
                <c:pt idx="5">
                  <c:v>9.7278460821124443E-2</c:v>
                </c:pt>
                <c:pt idx="6">
                  <c:v>9.3752905390825494E-2</c:v>
                </c:pt>
                <c:pt idx="7">
                  <c:v>0.10164277029888262</c:v>
                </c:pt>
                <c:pt idx="8">
                  <c:v>0.10321978636799994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75-418F-8A9D-9610EED321D1}"/>
            </c:ext>
          </c:extLst>
        </c:ser>
        <c:ser>
          <c:idx val="4"/>
          <c:order val="1"/>
          <c:tx>
            <c:v>Gross Profit Margin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Divisionals!$N$3:$AL$3</c:f>
              <c:strCache>
                <c:ptCount val="9"/>
                <c:pt idx="0">
                  <c:v>FY20</c:v>
                </c:pt>
                <c:pt idx="1">
                  <c:v>FY21</c:v>
                </c:pt>
                <c:pt idx="2">
                  <c:v>FY22</c:v>
                </c:pt>
                <c:pt idx="3">
                  <c:v>FY23</c:v>
                </c:pt>
                <c:pt idx="4">
                  <c:v>FY24</c:v>
                </c:pt>
                <c:pt idx="5">
                  <c:v>FY25</c:v>
                </c:pt>
                <c:pt idx="6">
                  <c:v>FY26e</c:v>
                </c:pt>
                <c:pt idx="7">
                  <c:v>FY27e</c:v>
                </c:pt>
                <c:pt idx="8">
                  <c:v>FY28e</c:v>
                </c:pt>
              </c:strCache>
            </c:strRef>
          </c:cat>
          <c:val>
            <c:numRef>
              <c:f>Divisionals!$N$29:$AL$29</c:f>
              <c:numCache>
                <c:formatCode>0.0%</c:formatCode>
                <c:ptCount val="9"/>
                <c:pt idx="0">
                  <c:v>0.44960005662914981</c:v>
                </c:pt>
                <c:pt idx="1">
                  <c:v>0.47954012336740898</c:v>
                </c:pt>
                <c:pt idx="2">
                  <c:v>0.46767107856941709</c:v>
                </c:pt>
                <c:pt idx="3">
                  <c:v>0.46226464710213527</c:v>
                </c:pt>
                <c:pt idx="4">
                  <c:v>0.46314515298238385</c:v>
                </c:pt>
                <c:pt idx="5">
                  <c:v>0.4569928096395004</c:v>
                </c:pt>
                <c:pt idx="6">
                  <c:v>0.45760938357939818</c:v>
                </c:pt>
                <c:pt idx="7">
                  <c:v>0.45791358192736953</c:v>
                </c:pt>
                <c:pt idx="8">
                  <c:v>0.45818774012782404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C75-418F-8A9D-9610EED32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4821823"/>
        <c:axId val="454809343"/>
      </c:lineChart>
      <c:catAx>
        <c:axId val="454821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09343"/>
        <c:crosses val="autoZero"/>
        <c:auto val="1"/>
        <c:lblAlgn val="ctr"/>
        <c:lblOffset val="100"/>
        <c:noMultiLvlLbl val="0"/>
      </c:catAx>
      <c:valAx>
        <c:axId val="454809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21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'COVID19 assumptions'!$A$55</c:f>
              <c:strCache>
                <c:ptCount val="1"/>
                <c:pt idx="0">
                  <c:v>Supercheap Auto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'COVID19 assumptions'!$C$54:$G$54</c:f>
              <c:strCache>
                <c:ptCount val="5"/>
                <c:pt idx="0">
                  <c:v>29 Dec to 15 Feb</c:v>
                </c:pt>
                <c:pt idx="1">
                  <c:v>16 Feb to 21 Mar</c:v>
                </c:pt>
                <c:pt idx="2">
                  <c:v>22 Mar to 23 May</c:v>
                </c:pt>
                <c:pt idx="3">
                  <c:v>24 May to 27 Jun</c:v>
                </c:pt>
                <c:pt idx="4">
                  <c:v>28 Jun to 15 Aug</c:v>
                </c:pt>
              </c:strCache>
            </c:strRef>
          </c:cat>
          <c:val>
            <c:numRef>
              <c:f>'COVID19 assumptions'!$C$55:$G$55</c:f>
              <c:numCache>
                <c:formatCode>0.00%</c:formatCode>
                <c:ptCount val="5"/>
                <c:pt idx="0">
                  <c:v>3.1E-2</c:v>
                </c:pt>
                <c:pt idx="1">
                  <c:v>7.4999999999999997E-2</c:v>
                </c:pt>
                <c:pt idx="2">
                  <c:v>3.6999999999999998E-2</c:v>
                </c:pt>
                <c:pt idx="3">
                  <c:v>0.39400000000000002</c:v>
                </c:pt>
                <c:pt idx="4" formatCode="0%">
                  <c:v>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3-4D3E-A732-B45E68681952}"/>
            </c:ext>
          </c:extLst>
        </c:ser>
        <c:ser>
          <c:idx val="1"/>
          <c:order val="1"/>
          <c:tx>
            <c:strRef>
              <c:f>'COVID19 assumptions'!$A$56</c:f>
              <c:strCache>
                <c:ptCount val="1"/>
                <c:pt idx="0">
                  <c:v>Rebel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'COVID19 assumptions'!$C$54:$G$54</c:f>
              <c:strCache>
                <c:ptCount val="5"/>
                <c:pt idx="0">
                  <c:v>29 Dec to 15 Feb</c:v>
                </c:pt>
                <c:pt idx="1">
                  <c:v>16 Feb to 21 Mar</c:v>
                </c:pt>
                <c:pt idx="2">
                  <c:v>22 Mar to 23 May</c:v>
                </c:pt>
                <c:pt idx="3">
                  <c:v>24 May to 27 Jun</c:v>
                </c:pt>
                <c:pt idx="4">
                  <c:v>28 Jun to 15 Aug</c:v>
                </c:pt>
              </c:strCache>
            </c:strRef>
          </c:cat>
          <c:val>
            <c:numRef>
              <c:f>'COVID19 assumptions'!$C$56:$G$56</c:f>
              <c:numCache>
                <c:formatCode>0.00%</c:formatCode>
                <c:ptCount val="5"/>
                <c:pt idx="0">
                  <c:v>5.8000000000000003E-2</c:v>
                </c:pt>
                <c:pt idx="1">
                  <c:v>1.6E-2</c:v>
                </c:pt>
                <c:pt idx="2">
                  <c:v>-2.3E-2</c:v>
                </c:pt>
                <c:pt idx="3">
                  <c:v>5.5E-2</c:v>
                </c:pt>
                <c:pt idx="4" formatCode="0%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43-4D3E-A732-B45E68681952}"/>
            </c:ext>
          </c:extLst>
        </c:ser>
        <c:ser>
          <c:idx val="2"/>
          <c:order val="2"/>
          <c:tx>
            <c:strRef>
              <c:f>'COVID19 assumptions'!$A$57</c:f>
              <c:strCache>
                <c:ptCount val="1"/>
                <c:pt idx="0">
                  <c:v>BCF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'COVID19 assumptions'!$C$54:$G$54</c:f>
              <c:strCache>
                <c:ptCount val="5"/>
                <c:pt idx="0">
                  <c:v>29 Dec to 15 Feb</c:v>
                </c:pt>
                <c:pt idx="1">
                  <c:v>16 Feb to 21 Mar</c:v>
                </c:pt>
                <c:pt idx="2">
                  <c:v>22 Mar to 23 May</c:v>
                </c:pt>
                <c:pt idx="3">
                  <c:v>24 May to 27 Jun</c:v>
                </c:pt>
                <c:pt idx="4">
                  <c:v>28 Jun to 15 Aug</c:v>
                </c:pt>
              </c:strCache>
            </c:strRef>
          </c:cat>
          <c:val>
            <c:numRef>
              <c:f>'COVID19 assumptions'!$C$57:$G$57</c:f>
              <c:numCache>
                <c:formatCode>0.00%</c:formatCode>
                <c:ptCount val="5"/>
                <c:pt idx="0">
                  <c:v>-0.08</c:v>
                </c:pt>
                <c:pt idx="1">
                  <c:v>-0.03</c:v>
                </c:pt>
                <c:pt idx="2">
                  <c:v>-7.0000000000000001E-3</c:v>
                </c:pt>
                <c:pt idx="3">
                  <c:v>0.68600000000000005</c:v>
                </c:pt>
                <c:pt idx="4" formatCode="0%">
                  <c:v>0.72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43-4D3E-A732-B45E68681952}"/>
            </c:ext>
          </c:extLst>
        </c:ser>
        <c:ser>
          <c:idx val="3"/>
          <c:order val="3"/>
          <c:tx>
            <c:strRef>
              <c:f>'COVID19 assumptions'!$A$58</c:f>
              <c:strCache>
                <c:ptCount val="1"/>
                <c:pt idx="0">
                  <c:v>Macpac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'COVID19 assumptions'!$C$54:$G$54</c:f>
              <c:strCache>
                <c:ptCount val="5"/>
                <c:pt idx="0">
                  <c:v>29 Dec to 15 Feb</c:v>
                </c:pt>
                <c:pt idx="1">
                  <c:v>16 Feb to 21 Mar</c:v>
                </c:pt>
                <c:pt idx="2">
                  <c:v>22 Mar to 23 May</c:v>
                </c:pt>
                <c:pt idx="3">
                  <c:v>24 May to 27 Jun</c:v>
                </c:pt>
                <c:pt idx="4">
                  <c:v>28 Jun to 15 Aug</c:v>
                </c:pt>
              </c:strCache>
            </c:strRef>
          </c:cat>
          <c:val>
            <c:numRef>
              <c:f>'COVID19 assumptions'!$C$58:$G$58</c:f>
              <c:numCache>
                <c:formatCode>0.00%</c:formatCode>
                <c:ptCount val="5"/>
                <c:pt idx="0">
                  <c:v>-4.0000000000000001E-3</c:v>
                </c:pt>
                <c:pt idx="1">
                  <c:v>0.05</c:v>
                </c:pt>
                <c:pt idx="2">
                  <c:v>-0.38800000000000001</c:v>
                </c:pt>
                <c:pt idx="3">
                  <c:v>0.26</c:v>
                </c:pt>
                <c:pt idx="4" formatCode="0%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43-4D3E-A732-B45E68681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309215"/>
        <c:axId val="708323359"/>
      </c:lineChart>
      <c:catAx>
        <c:axId val="708309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323359"/>
        <c:crosses val="autoZero"/>
        <c:auto val="1"/>
        <c:lblAlgn val="ctr"/>
        <c:lblOffset val="100"/>
        <c:noMultiLvlLbl val="0"/>
      </c:catAx>
      <c:valAx>
        <c:axId val="70832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309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0"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'COVID19 assumptions'!$A$108</c:f>
              <c:strCache>
                <c:ptCount val="1"/>
                <c:pt idx="0">
                  <c:v>Supercheap Auto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assumptions'!$B$92:$K$94</c:f>
              <c:multiLvlStrCache>
                <c:ptCount val="10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5 weeks</c:v>
                  </c:pt>
                  <c:pt idx="5">
                    <c:v>9 weeks</c:v>
                  </c:pt>
                  <c:pt idx="6">
                    <c:v>5 weeks</c:v>
                  </c:pt>
                  <c:pt idx="7">
                    <c:v>7 weeks</c:v>
                  </c:pt>
                  <c:pt idx="8">
                    <c:v>10 weeks</c:v>
                  </c:pt>
                  <c:pt idx="9">
                    <c:v>9 weeks</c:v>
                  </c:pt>
                </c:lvl>
                <c:lvl>
                  <c:pt idx="0">
                    <c:v>Jun-19</c:v>
                  </c:pt>
                  <c:pt idx="1">
                    <c:v>Aug-19</c:v>
                  </c:pt>
                  <c:pt idx="2">
                    <c:v>Oct-19</c:v>
                  </c:pt>
                  <c:pt idx="3">
                    <c:v>Dec-19</c:v>
                  </c:pt>
                  <c:pt idx="4">
                    <c:v>Feb-20</c:v>
                  </c:pt>
                  <c:pt idx="5">
                    <c:v>Mar-20</c:v>
                  </c:pt>
                  <c:pt idx="6">
                    <c:v>May-20</c:v>
                  </c:pt>
                  <c:pt idx="7">
                    <c:v>Jun-20</c:v>
                  </c:pt>
                  <c:pt idx="8">
                    <c:v>Aug-20</c:v>
                  </c:pt>
                  <c:pt idx="9">
                    <c:v>Oct-20</c:v>
                  </c:pt>
                </c:lvl>
                <c:lvl>
                  <c:pt idx="0">
                    <c:v>Aug-19</c:v>
                  </c:pt>
                  <c:pt idx="1">
                    <c:v>Oct-19</c:v>
                  </c:pt>
                  <c:pt idx="2">
                    <c:v>Dec-19</c:v>
                  </c:pt>
                  <c:pt idx="3">
                    <c:v>Feb-20</c:v>
                  </c:pt>
                  <c:pt idx="4">
                    <c:v>Mar-20</c:v>
                  </c:pt>
                  <c:pt idx="5">
                    <c:v>May-20</c:v>
                  </c:pt>
                  <c:pt idx="6">
                    <c:v>Jun-20</c:v>
                  </c:pt>
                  <c:pt idx="7">
                    <c:v>Aug-20</c:v>
                  </c:pt>
                  <c:pt idx="8">
                    <c:v>Oct-20</c:v>
                  </c:pt>
                  <c:pt idx="9">
                    <c:v>Dec-20</c:v>
                  </c:pt>
                </c:lvl>
              </c:multiLvlStrCache>
            </c:multiLvlStrRef>
          </c:cat>
          <c:val>
            <c:numRef>
              <c:f>'COVID19 assumptions'!$B$108:$J$108</c:f>
              <c:numCache>
                <c:formatCode>0.0%</c:formatCode>
                <c:ptCount val="9"/>
                <c:pt idx="0">
                  <c:v>3.0000000000000027E-2</c:v>
                </c:pt>
                <c:pt idx="1">
                  <c:v>2.5204195805225593E-2</c:v>
                </c:pt>
                <c:pt idx="2">
                  <c:v>1.9218217195807075E-2</c:v>
                </c:pt>
                <c:pt idx="3">
                  <c:v>3.0999999999999917E-2</c:v>
                </c:pt>
                <c:pt idx="4">
                  <c:v>7.4999999999999956E-2</c:v>
                </c:pt>
                <c:pt idx="5">
                  <c:v>0.13159485709000096</c:v>
                </c:pt>
                <c:pt idx="6">
                  <c:v>0.39400000000000013</c:v>
                </c:pt>
                <c:pt idx="7">
                  <c:v>0.26480497998848063</c:v>
                </c:pt>
                <c:pt idx="8">
                  <c:v>0.22587780198387764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22-40B3-8C2F-443CDED3D29E}"/>
            </c:ext>
          </c:extLst>
        </c:ser>
        <c:ser>
          <c:idx val="1"/>
          <c:order val="1"/>
          <c:tx>
            <c:strRef>
              <c:f>'COVID19 assumptions'!$A$109</c:f>
              <c:strCache>
                <c:ptCount val="1"/>
                <c:pt idx="0">
                  <c:v>Rebel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assumptions'!$B$92:$K$94</c:f>
              <c:multiLvlStrCache>
                <c:ptCount val="10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5 weeks</c:v>
                  </c:pt>
                  <c:pt idx="5">
                    <c:v>9 weeks</c:v>
                  </c:pt>
                  <c:pt idx="6">
                    <c:v>5 weeks</c:v>
                  </c:pt>
                  <c:pt idx="7">
                    <c:v>7 weeks</c:v>
                  </c:pt>
                  <c:pt idx="8">
                    <c:v>10 weeks</c:v>
                  </c:pt>
                  <c:pt idx="9">
                    <c:v>9 weeks</c:v>
                  </c:pt>
                </c:lvl>
                <c:lvl>
                  <c:pt idx="0">
                    <c:v>Jun-19</c:v>
                  </c:pt>
                  <c:pt idx="1">
                    <c:v>Aug-19</c:v>
                  </c:pt>
                  <c:pt idx="2">
                    <c:v>Oct-19</c:v>
                  </c:pt>
                  <c:pt idx="3">
                    <c:v>Dec-19</c:v>
                  </c:pt>
                  <c:pt idx="4">
                    <c:v>Feb-20</c:v>
                  </c:pt>
                  <c:pt idx="5">
                    <c:v>Mar-20</c:v>
                  </c:pt>
                  <c:pt idx="6">
                    <c:v>May-20</c:v>
                  </c:pt>
                  <c:pt idx="7">
                    <c:v>Jun-20</c:v>
                  </c:pt>
                  <c:pt idx="8">
                    <c:v>Aug-20</c:v>
                  </c:pt>
                  <c:pt idx="9">
                    <c:v>Oct-20</c:v>
                  </c:pt>
                </c:lvl>
                <c:lvl>
                  <c:pt idx="0">
                    <c:v>Aug-19</c:v>
                  </c:pt>
                  <c:pt idx="1">
                    <c:v>Oct-19</c:v>
                  </c:pt>
                  <c:pt idx="2">
                    <c:v>Dec-19</c:v>
                  </c:pt>
                  <c:pt idx="3">
                    <c:v>Feb-20</c:v>
                  </c:pt>
                  <c:pt idx="4">
                    <c:v>Mar-20</c:v>
                  </c:pt>
                  <c:pt idx="5">
                    <c:v>May-20</c:v>
                  </c:pt>
                  <c:pt idx="6">
                    <c:v>Jun-20</c:v>
                  </c:pt>
                  <c:pt idx="7">
                    <c:v>Aug-20</c:v>
                  </c:pt>
                  <c:pt idx="8">
                    <c:v>Oct-20</c:v>
                  </c:pt>
                  <c:pt idx="9">
                    <c:v>Dec-20</c:v>
                  </c:pt>
                </c:lvl>
              </c:multiLvlStrCache>
            </c:multiLvlStrRef>
          </c:cat>
          <c:val>
            <c:numRef>
              <c:f>'COVID19 assumptions'!$B$109:$J$109</c:f>
              <c:numCache>
                <c:formatCode>0.0%</c:formatCode>
                <c:ptCount val="9"/>
                <c:pt idx="0">
                  <c:v>2.0000000000000018E-2</c:v>
                </c:pt>
                <c:pt idx="1">
                  <c:v>3.7656859607721582E-2</c:v>
                </c:pt>
                <c:pt idx="2">
                  <c:v>3.6208072965381088E-2</c:v>
                </c:pt>
                <c:pt idx="3">
                  <c:v>5.8000000000000052E-2</c:v>
                </c:pt>
                <c:pt idx="4">
                  <c:v>1.6000000000000014E-2</c:v>
                </c:pt>
                <c:pt idx="5">
                  <c:v>-2.300000000000002E-2</c:v>
                </c:pt>
                <c:pt idx="6">
                  <c:v>5.4999999999999938E-2</c:v>
                </c:pt>
                <c:pt idx="7">
                  <c:v>0.34963867919091807</c:v>
                </c:pt>
                <c:pt idx="8">
                  <c:v>0.31962347503855915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22-40B3-8C2F-443CDED3D29E}"/>
            </c:ext>
          </c:extLst>
        </c:ser>
        <c:ser>
          <c:idx val="2"/>
          <c:order val="2"/>
          <c:tx>
            <c:strRef>
              <c:f>'COVID19 assumptions'!$A$110</c:f>
              <c:strCache>
                <c:ptCount val="1"/>
                <c:pt idx="0">
                  <c:v>BCF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assumptions'!$B$92:$K$94</c:f>
              <c:multiLvlStrCache>
                <c:ptCount val="10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5 weeks</c:v>
                  </c:pt>
                  <c:pt idx="5">
                    <c:v>9 weeks</c:v>
                  </c:pt>
                  <c:pt idx="6">
                    <c:v>5 weeks</c:v>
                  </c:pt>
                  <c:pt idx="7">
                    <c:v>7 weeks</c:v>
                  </c:pt>
                  <c:pt idx="8">
                    <c:v>10 weeks</c:v>
                  </c:pt>
                  <c:pt idx="9">
                    <c:v>9 weeks</c:v>
                  </c:pt>
                </c:lvl>
                <c:lvl>
                  <c:pt idx="0">
                    <c:v>Jun-19</c:v>
                  </c:pt>
                  <c:pt idx="1">
                    <c:v>Aug-19</c:v>
                  </c:pt>
                  <c:pt idx="2">
                    <c:v>Oct-19</c:v>
                  </c:pt>
                  <c:pt idx="3">
                    <c:v>Dec-19</c:v>
                  </c:pt>
                  <c:pt idx="4">
                    <c:v>Feb-20</c:v>
                  </c:pt>
                  <c:pt idx="5">
                    <c:v>Mar-20</c:v>
                  </c:pt>
                  <c:pt idx="6">
                    <c:v>May-20</c:v>
                  </c:pt>
                  <c:pt idx="7">
                    <c:v>Jun-20</c:v>
                  </c:pt>
                  <c:pt idx="8">
                    <c:v>Aug-20</c:v>
                  </c:pt>
                  <c:pt idx="9">
                    <c:v>Oct-20</c:v>
                  </c:pt>
                </c:lvl>
                <c:lvl>
                  <c:pt idx="0">
                    <c:v>Aug-19</c:v>
                  </c:pt>
                  <c:pt idx="1">
                    <c:v>Oct-19</c:v>
                  </c:pt>
                  <c:pt idx="2">
                    <c:v>Dec-19</c:v>
                  </c:pt>
                  <c:pt idx="3">
                    <c:v>Feb-20</c:v>
                  </c:pt>
                  <c:pt idx="4">
                    <c:v>Mar-20</c:v>
                  </c:pt>
                  <c:pt idx="5">
                    <c:v>May-20</c:v>
                  </c:pt>
                  <c:pt idx="6">
                    <c:v>Jun-20</c:v>
                  </c:pt>
                  <c:pt idx="7">
                    <c:v>Aug-20</c:v>
                  </c:pt>
                  <c:pt idx="8">
                    <c:v>Oct-20</c:v>
                  </c:pt>
                  <c:pt idx="9">
                    <c:v>Dec-20</c:v>
                  </c:pt>
                </c:lvl>
              </c:multiLvlStrCache>
            </c:multiLvlStrRef>
          </c:cat>
          <c:val>
            <c:numRef>
              <c:f>'COVID19 assumptions'!$B$110:$J$110</c:f>
              <c:numCache>
                <c:formatCode>0.0%</c:formatCode>
                <c:ptCount val="9"/>
                <c:pt idx="0">
                  <c:v>5.0000000000000044E-2</c:v>
                </c:pt>
                <c:pt idx="1">
                  <c:v>7.4102662197418123E-2</c:v>
                </c:pt>
                <c:pt idx="2">
                  <c:v>-0.10755669164784654</c:v>
                </c:pt>
                <c:pt idx="3">
                  <c:v>-7.999999999999996E-2</c:v>
                </c:pt>
                <c:pt idx="4">
                  <c:v>-3.0000000000000027E-2</c:v>
                </c:pt>
                <c:pt idx="5">
                  <c:v>-7.0000000000000062E-3</c:v>
                </c:pt>
                <c:pt idx="6">
                  <c:v>0.68599999999999994</c:v>
                </c:pt>
                <c:pt idx="7">
                  <c:v>0.75809550180928831</c:v>
                </c:pt>
                <c:pt idx="8">
                  <c:v>0.32281433563105244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22-40B3-8C2F-443CDED3D29E}"/>
            </c:ext>
          </c:extLst>
        </c:ser>
        <c:ser>
          <c:idx val="3"/>
          <c:order val="3"/>
          <c:tx>
            <c:strRef>
              <c:f>'COVID19 assumptions'!$A$111</c:f>
              <c:strCache>
                <c:ptCount val="1"/>
                <c:pt idx="0">
                  <c:v>Macpac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assumptions'!$B$92:$K$94</c:f>
              <c:multiLvlStrCache>
                <c:ptCount val="10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5 weeks</c:v>
                  </c:pt>
                  <c:pt idx="5">
                    <c:v>9 weeks</c:v>
                  </c:pt>
                  <c:pt idx="6">
                    <c:v>5 weeks</c:v>
                  </c:pt>
                  <c:pt idx="7">
                    <c:v>7 weeks</c:v>
                  </c:pt>
                  <c:pt idx="8">
                    <c:v>10 weeks</c:v>
                  </c:pt>
                  <c:pt idx="9">
                    <c:v>9 weeks</c:v>
                  </c:pt>
                </c:lvl>
                <c:lvl>
                  <c:pt idx="0">
                    <c:v>Jun-19</c:v>
                  </c:pt>
                  <c:pt idx="1">
                    <c:v>Aug-19</c:v>
                  </c:pt>
                  <c:pt idx="2">
                    <c:v>Oct-19</c:v>
                  </c:pt>
                  <c:pt idx="3">
                    <c:v>Dec-19</c:v>
                  </c:pt>
                  <c:pt idx="4">
                    <c:v>Feb-20</c:v>
                  </c:pt>
                  <c:pt idx="5">
                    <c:v>Mar-20</c:v>
                  </c:pt>
                  <c:pt idx="6">
                    <c:v>May-20</c:v>
                  </c:pt>
                  <c:pt idx="7">
                    <c:v>Jun-20</c:v>
                  </c:pt>
                  <c:pt idx="8">
                    <c:v>Aug-20</c:v>
                  </c:pt>
                  <c:pt idx="9">
                    <c:v>Oct-20</c:v>
                  </c:pt>
                </c:lvl>
                <c:lvl>
                  <c:pt idx="0">
                    <c:v>Aug-19</c:v>
                  </c:pt>
                  <c:pt idx="1">
                    <c:v>Oct-19</c:v>
                  </c:pt>
                  <c:pt idx="2">
                    <c:v>Dec-19</c:v>
                  </c:pt>
                  <c:pt idx="3">
                    <c:v>Feb-20</c:v>
                  </c:pt>
                  <c:pt idx="4">
                    <c:v>Mar-20</c:v>
                  </c:pt>
                  <c:pt idx="5">
                    <c:v>May-20</c:v>
                  </c:pt>
                  <c:pt idx="6">
                    <c:v>Jun-20</c:v>
                  </c:pt>
                  <c:pt idx="7">
                    <c:v>Aug-20</c:v>
                  </c:pt>
                  <c:pt idx="8">
                    <c:v>Oct-20</c:v>
                  </c:pt>
                  <c:pt idx="9">
                    <c:v>Dec-20</c:v>
                  </c:pt>
                </c:lvl>
              </c:multiLvlStrCache>
            </c:multiLvlStrRef>
          </c:cat>
          <c:val>
            <c:numRef>
              <c:f>'COVID19 assumptions'!$B$111:$J$111</c:f>
              <c:numCache>
                <c:formatCode>0.0%</c:formatCode>
                <c:ptCount val="9"/>
                <c:pt idx="0">
                  <c:v>-3.0000000000000027E-2</c:v>
                </c:pt>
                <c:pt idx="1">
                  <c:v>-1.5559966952024107E-2</c:v>
                </c:pt>
                <c:pt idx="2">
                  <c:v>-0.14335011808475195</c:v>
                </c:pt>
                <c:pt idx="3">
                  <c:v>-4.0000000000000036E-3</c:v>
                </c:pt>
                <c:pt idx="4">
                  <c:v>5.0000000000000044E-2</c:v>
                </c:pt>
                <c:pt idx="5">
                  <c:v>-0.26208562691131498</c:v>
                </c:pt>
                <c:pt idx="6">
                  <c:v>0.26</c:v>
                </c:pt>
                <c:pt idx="7">
                  <c:v>0.19957392845007527</c:v>
                </c:pt>
                <c:pt idx="8">
                  <c:v>-8.8754181211056049E-2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22-40B3-8C2F-443CDED3D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61488"/>
        <c:axId val="35758160"/>
      </c:lineChart>
      <c:catAx>
        <c:axId val="3576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58160"/>
        <c:crosses val="autoZero"/>
        <c:auto val="1"/>
        <c:lblAlgn val="ctr"/>
        <c:lblOffset val="100"/>
        <c:noMultiLvlLbl val="0"/>
      </c:catAx>
      <c:valAx>
        <c:axId val="3575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67825896762902"/>
          <c:y val="0.10590332458442693"/>
          <c:w val="0.87232174103237092"/>
          <c:h val="0.41421259842519687"/>
        </c:manualLayout>
      </c:layout>
      <c:lineChart>
        <c:grouping val="standard"/>
        <c:varyColors val="0"/>
        <c:ser>
          <c:idx val="0"/>
          <c:order val="0"/>
          <c:tx>
            <c:strRef>
              <c:f>'COVID19 assumptions'!$A$95</c:f>
              <c:strCache>
                <c:ptCount val="1"/>
                <c:pt idx="0">
                  <c:v>Supercheap Auto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assumptions'!$B$92:$R$94</c:f>
              <c:multiLvlStrCache>
                <c:ptCount val="17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5 weeks</c:v>
                  </c:pt>
                  <c:pt idx="5">
                    <c:v>9 weeks</c:v>
                  </c:pt>
                  <c:pt idx="6">
                    <c:v>5 weeks</c:v>
                  </c:pt>
                  <c:pt idx="7">
                    <c:v>7 weeks</c:v>
                  </c:pt>
                  <c:pt idx="8">
                    <c:v>10 weeks</c:v>
                  </c:pt>
                  <c:pt idx="9">
                    <c:v>9 weeks</c:v>
                  </c:pt>
                  <c:pt idx="10">
                    <c:v>7 weeks</c:v>
                  </c:pt>
                  <c:pt idx="11">
                    <c:v>11 weeks</c:v>
                  </c:pt>
                  <c:pt idx="12">
                    <c:v>8 weeks</c:v>
                  </c:pt>
                  <c:pt idx="13">
                    <c:v>7 weeks</c:v>
                  </c:pt>
                  <c:pt idx="14">
                    <c:v>9 weeks</c:v>
                  </c:pt>
                  <c:pt idx="15">
                    <c:v>10 weeks </c:v>
                  </c:pt>
                  <c:pt idx="16">
                    <c:v>7 weeks</c:v>
                  </c:pt>
                </c:lvl>
                <c:lvl>
                  <c:pt idx="0">
                    <c:v>Jun-19</c:v>
                  </c:pt>
                  <c:pt idx="1">
                    <c:v>Aug-19</c:v>
                  </c:pt>
                  <c:pt idx="2">
                    <c:v>Oct-19</c:v>
                  </c:pt>
                  <c:pt idx="3">
                    <c:v>Dec-19</c:v>
                  </c:pt>
                  <c:pt idx="4">
                    <c:v>Feb-20</c:v>
                  </c:pt>
                  <c:pt idx="5">
                    <c:v>Mar-20</c:v>
                  </c:pt>
                  <c:pt idx="6">
                    <c:v>May-20</c:v>
                  </c:pt>
                  <c:pt idx="7">
                    <c:v>Jun-20</c:v>
                  </c:pt>
                  <c:pt idx="8">
                    <c:v>Aug-20</c:v>
                  </c:pt>
                  <c:pt idx="9">
                    <c:v>Oct-20</c:v>
                  </c:pt>
                  <c:pt idx="10">
                    <c:v>Dec-20</c:v>
                  </c:pt>
                  <c:pt idx="11">
                    <c:v>Feb-21</c:v>
                  </c:pt>
                  <c:pt idx="12">
                    <c:v>May-21</c:v>
                  </c:pt>
                  <c:pt idx="13">
                    <c:v>Jun-21</c:v>
                  </c:pt>
                  <c:pt idx="14">
                    <c:v>Aug-21</c:v>
                  </c:pt>
                  <c:pt idx="15">
                    <c:v>Oct-21</c:v>
                  </c:pt>
                  <c:pt idx="16">
                    <c:v>Dec-21</c:v>
                  </c:pt>
                </c:lvl>
                <c:lvl>
                  <c:pt idx="0">
                    <c:v>Aug-19</c:v>
                  </c:pt>
                  <c:pt idx="1">
                    <c:v>Oct-19</c:v>
                  </c:pt>
                  <c:pt idx="2">
                    <c:v>Dec-19</c:v>
                  </c:pt>
                  <c:pt idx="3">
                    <c:v>Feb-20</c:v>
                  </c:pt>
                  <c:pt idx="4">
                    <c:v>Mar-20</c:v>
                  </c:pt>
                  <c:pt idx="5">
                    <c:v>May-20</c:v>
                  </c:pt>
                  <c:pt idx="6">
                    <c:v>Jun-20</c:v>
                  </c:pt>
                  <c:pt idx="7">
                    <c:v>Aug-20</c:v>
                  </c:pt>
                  <c:pt idx="8">
                    <c:v>Oct-20</c:v>
                  </c:pt>
                  <c:pt idx="9">
                    <c:v>Dec-20</c:v>
                  </c:pt>
                  <c:pt idx="10">
                    <c:v>Feb-21</c:v>
                  </c:pt>
                  <c:pt idx="11">
                    <c:v>May-21</c:v>
                  </c:pt>
                  <c:pt idx="12">
                    <c:v>Jun-21</c:v>
                  </c:pt>
                  <c:pt idx="13">
                    <c:v>Aug-21</c:v>
                  </c:pt>
                  <c:pt idx="14">
                    <c:v>Oct-21</c:v>
                  </c:pt>
                  <c:pt idx="15">
                    <c:v>Dec-21</c:v>
                  </c:pt>
                  <c:pt idx="16">
                    <c:v>Feb-22</c:v>
                  </c:pt>
                </c:lvl>
              </c:multiLvlStrCache>
            </c:multiLvlStrRef>
          </c:cat>
          <c:val>
            <c:numRef>
              <c:f>'COVID19 assumptions'!$B$95:$R$95</c:f>
              <c:numCache>
                <c:formatCode>0.0%</c:formatCode>
                <c:ptCount val="17"/>
                <c:pt idx="0">
                  <c:v>0.03</c:v>
                </c:pt>
                <c:pt idx="1">
                  <c:v>2.5204195805225593E-2</c:v>
                </c:pt>
                <c:pt idx="2">
                  <c:v>1.9218217195807075E-2</c:v>
                </c:pt>
                <c:pt idx="3" formatCode="0.00%">
                  <c:v>3.1E-2</c:v>
                </c:pt>
                <c:pt idx="4" formatCode="0.00%">
                  <c:v>7.4999999999999997E-2</c:v>
                </c:pt>
                <c:pt idx="5" formatCode="0.00%">
                  <c:v>3.6999999999999998E-2</c:v>
                </c:pt>
                <c:pt idx="6" formatCode="0.00%">
                  <c:v>0.39400000000000002</c:v>
                </c:pt>
                <c:pt idx="7" formatCode="0%">
                  <c:v>0.23</c:v>
                </c:pt>
                <c:pt idx="8" formatCode="0%">
                  <c:v>0.19619381223771026</c:v>
                </c:pt>
                <c:pt idx="9">
                  <c:v>0.16075529582191939</c:v>
                </c:pt>
                <c:pt idx="10">
                  <c:v>0.23100000000000001</c:v>
                </c:pt>
                <c:pt idx="11">
                  <c:v>0.23124533843822401</c:v>
                </c:pt>
                <c:pt idx="12">
                  <c:v>-6.8498552073964825E-2</c:v>
                </c:pt>
                <c:pt idx="13">
                  <c:v>-0.11</c:v>
                </c:pt>
                <c:pt idx="14">
                  <c:v>-0.1452443120357958</c:v>
                </c:pt>
                <c:pt idx="15">
                  <c:v>1.4597104271831807E-2</c:v>
                </c:pt>
                <c:pt idx="16">
                  <c:v>9.2999999999999999E-2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C8-4D5D-ADED-1105CB4E4AF8}"/>
            </c:ext>
          </c:extLst>
        </c:ser>
        <c:ser>
          <c:idx val="1"/>
          <c:order val="1"/>
          <c:tx>
            <c:strRef>
              <c:f>'COVID19 assumptions'!$A$96</c:f>
              <c:strCache>
                <c:ptCount val="1"/>
                <c:pt idx="0">
                  <c:v>Rebel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assumptions'!$B$92:$R$94</c:f>
              <c:multiLvlStrCache>
                <c:ptCount val="17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5 weeks</c:v>
                  </c:pt>
                  <c:pt idx="5">
                    <c:v>9 weeks</c:v>
                  </c:pt>
                  <c:pt idx="6">
                    <c:v>5 weeks</c:v>
                  </c:pt>
                  <c:pt idx="7">
                    <c:v>7 weeks</c:v>
                  </c:pt>
                  <c:pt idx="8">
                    <c:v>10 weeks</c:v>
                  </c:pt>
                  <c:pt idx="9">
                    <c:v>9 weeks</c:v>
                  </c:pt>
                  <c:pt idx="10">
                    <c:v>7 weeks</c:v>
                  </c:pt>
                  <c:pt idx="11">
                    <c:v>11 weeks</c:v>
                  </c:pt>
                  <c:pt idx="12">
                    <c:v>8 weeks</c:v>
                  </c:pt>
                  <c:pt idx="13">
                    <c:v>7 weeks</c:v>
                  </c:pt>
                  <c:pt idx="14">
                    <c:v>9 weeks</c:v>
                  </c:pt>
                  <c:pt idx="15">
                    <c:v>10 weeks </c:v>
                  </c:pt>
                  <c:pt idx="16">
                    <c:v>7 weeks</c:v>
                  </c:pt>
                </c:lvl>
                <c:lvl>
                  <c:pt idx="0">
                    <c:v>Jun-19</c:v>
                  </c:pt>
                  <c:pt idx="1">
                    <c:v>Aug-19</c:v>
                  </c:pt>
                  <c:pt idx="2">
                    <c:v>Oct-19</c:v>
                  </c:pt>
                  <c:pt idx="3">
                    <c:v>Dec-19</c:v>
                  </c:pt>
                  <c:pt idx="4">
                    <c:v>Feb-20</c:v>
                  </c:pt>
                  <c:pt idx="5">
                    <c:v>Mar-20</c:v>
                  </c:pt>
                  <c:pt idx="6">
                    <c:v>May-20</c:v>
                  </c:pt>
                  <c:pt idx="7">
                    <c:v>Jun-20</c:v>
                  </c:pt>
                  <c:pt idx="8">
                    <c:v>Aug-20</c:v>
                  </c:pt>
                  <c:pt idx="9">
                    <c:v>Oct-20</c:v>
                  </c:pt>
                  <c:pt idx="10">
                    <c:v>Dec-20</c:v>
                  </c:pt>
                  <c:pt idx="11">
                    <c:v>Feb-21</c:v>
                  </c:pt>
                  <c:pt idx="12">
                    <c:v>May-21</c:v>
                  </c:pt>
                  <c:pt idx="13">
                    <c:v>Jun-21</c:v>
                  </c:pt>
                  <c:pt idx="14">
                    <c:v>Aug-21</c:v>
                  </c:pt>
                  <c:pt idx="15">
                    <c:v>Oct-21</c:v>
                  </c:pt>
                  <c:pt idx="16">
                    <c:v>Dec-21</c:v>
                  </c:pt>
                </c:lvl>
                <c:lvl>
                  <c:pt idx="0">
                    <c:v>Aug-19</c:v>
                  </c:pt>
                  <c:pt idx="1">
                    <c:v>Oct-19</c:v>
                  </c:pt>
                  <c:pt idx="2">
                    <c:v>Dec-19</c:v>
                  </c:pt>
                  <c:pt idx="3">
                    <c:v>Feb-20</c:v>
                  </c:pt>
                  <c:pt idx="4">
                    <c:v>Mar-20</c:v>
                  </c:pt>
                  <c:pt idx="5">
                    <c:v>May-20</c:v>
                  </c:pt>
                  <c:pt idx="6">
                    <c:v>Jun-20</c:v>
                  </c:pt>
                  <c:pt idx="7">
                    <c:v>Aug-20</c:v>
                  </c:pt>
                  <c:pt idx="8">
                    <c:v>Oct-20</c:v>
                  </c:pt>
                  <c:pt idx="9">
                    <c:v>Dec-20</c:v>
                  </c:pt>
                  <c:pt idx="10">
                    <c:v>Feb-21</c:v>
                  </c:pt>
                  <c:pt idx="11">
                    <c:v>May-21</c:v>
                  </c:pt>
                  <c:pt idx="12">
                    <c:v>Jun-21</c:v>
                  </c:pt>
                  <c:pt idx="13">
                    <c:v>Aug-21</c:v>
                  </c:pt>
                  <c:pt idx="14">
                    <c:v>Oct-21</c:v>
                  </c:pt>
                  <c:pt idx="15">
                    <c:v>Dec-21</c:v>
                  </c:pt>
                  <c:pt idx="16">
                    <c:v>Feb-22</c:v>
                  </c:pt>
                </c:lvl>
              </c:multiLvlStrCache>
            </c:multiLvlStrRef>
          </c:cat>
          <c:val>
            <c:numRef>
              <c:f>'COVID19 assumptions'!$B$96:$R$96</c:f>
              <c:numCache>
                <c:formatCode>0.0%</c:formatCode>
                <c:ptCount val="17"/>
                <c:pt idx="0">
                  <c:v>0.02</c:v>
                </c:pt>
                <c:pt idx="1">
                  <c:v>3.7656859607721582E-2</c:v>
                </c:pt>
                <c:pt idx="2">
                  <c:v>3.6208072965381088E-2</c:v>
                </c:pt>
                <c:pt idx="3" formatCode="0.00%">
                  <c:v>5.8000000000000003E-2</c:v>
                </c:pt>
                <c:pt idx="4" formatCode="0.00%">
                  <c:v>1.6E-2</c:v>
                </c:pt>
                <c:pt idx="5" formatCode="0.00%">
                  <c:v>-2.3E-2</c:v>
                </c:pt>
                <c:pt idx="6" formatCode="0.00%">
                  <c:v>5.5E-2</c:v>
                </c:pt>
                <c:pt idx="7" formatCode="0%">
                  <c:v>0.3</c:v>
                </c:pt>
                <c:pt idx="8" formatCode="0%">
                  <c:v>7.1070936937017271E-2</c:v>
                </c:pt>
                <c:pt idx="9">
                  <c:v>0.22485403175843244</c:v>
                </c:pt>
                <c:pt idx="10">
                  <c:v>0.184</c:v>
                </c:pt>
                <c:pt idx="11">
                  <c:v>0.28150614626317161</c:v>
                </c:pt>
                <c:pt idx="12">
                  <c:v>9.0205438935147431E-2</c:v>
                </c:pt>
                <c:pt idx="13">
                  <c:v>-0.16</c:v>
                </c:pt>
                <c:pt idx="14">
                  <c:v>-5.0385715727827241E-2</c:v>
                </c:pt>
                <c:pt idx="15">
                  <c:v>1.052021501158551E-2</c:v>
                </c:pt>
                <c:pt idx="16">
                  <c:v>-2.4E-2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C8-4D5D-ADED-1105CB4E4AF8}"/>
            </c:ext>
          </c:extLst>
        </c:ser>
        <c:ser>
          <c:idx val="2"/>
          <c:order val="2"/>
          <c:tx>
            <c:strRef>
              <c:f>'COVID19 assumptions'!$A$97</c:f>
              <c:strCache>
                <c:ptCount val="1"/>
                <c:pt idx="0">
                  <c:v>BCF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assumptions'!$B$92:$R$94</c:f>
              <c:multiLvlStrCache>
                <c:ptCount val="17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5 weeks</c:v>
                  </c:pt>
                  <c:pt idx="5">
                    <c:v>9 weeks</c:v>
                  </c:pt>
                  <c:pt idx="6">
                    <c:v>5 weeks</c:v>
                  </c:pt>
                  <c:pt idx="7">
                    <c:v>7 weeks</c:v>
                  </c:pt>
                  <c:pt idx="8">
                    <c:v>10 weeks</c:v>
                  </c:pt>
                  <c:pt idx="9">
                    <c:v>9 weeks</c:v>
                  </c:pt>
                  <c:pt idx="10">
                    <c:v>7 weeks</c:v>
                  </c:pt>
                  <c:pt idx="11">
                    <c:v>11 weeks</c:v>
                  </c:pt>
                  <c:pt idx="12">
                    <c:v>8 weeks</c:v>
                  </c:pt>
                  <c:pt idx="13">
                    <c:v>7 weeks</c:v>
                  </c:pt>
                  <c:pt idx="14">
                    <c:v>9 weeks</c:v>
                  </c:pt>
                  <c:pt idx="15">
                    <c:v>10 weeks </c:v>
                  </c:pt>
                  <c:pt idx="16">
                    <c:v>7 weeks</c:v>
                  </c:pt>
                </c:lvl>
                <c:lvl>
                  <c:pt idx="0">
                    <c:v>Jun-19</c:v>
                  </c:pt>
                  <c:pt idx="1">
                    <c:v>Aug-19</c:v>
                  </c:pt>
                  <c:pt idx="2">
                    <c:v>Oct-19</c:v>
                  </c:pt>
                  <c:pt idx="3">
                    <c:v>Dec-19</c:v>
                  </c:pt>
                  <c:pt idx="4">
                    <c:v>Feb-20</c:v>
                  </c:pt>
                  <c:pt idx="5">
                    <c:v>Mar-20</c:v>
                  </c:pt>
                  <c:pt idx="6">
                    <c:v>May-20</c:v>
                  </c:pt>
                  <c:pt idx="7">
                    <c:v>Jun-20</c:v>
                  </c:pt>
                  <c:pt idx="8">
                    <c:v>Aug-20</c:v>
                  </c:pt>
                  <c:pt idx="9">
                    <c:v>Oct-20</c:v>
                  </c:pt>
                  <c:pt idx="10">
                    <c:v>Dec-20</c:v>
                  </c:pt>
                  <c:pt idx="11">
                    <c:v>Feb-21</c:v>
                  </c:pt>
                  <c:pt idx="12">
                    <c:v>May-21</c:v>
                  </c:pt>
                  <c:pt idx="13">
                    <c:v>Jun-21</c:v>
                  </c:pt>
                  <c:pt idx="14">
                    <c:v>Aug-21</c:v>
                  </c:pt>
                  <c:pt idx="15">
                    <c:v>Oct-21</c:v>
                  </c:pt>
                  <c:pt idx="16">
                    <c:v>Dec-21</c:v>
                  </c:pt>
                </c:lvl>
                <c:lvl>
                  <c:pt idx="0">
                    <c:v>Aug-19</c:v>
                  </c:pt>
                  <c:pt idx="1">
                    <c:v>Oct-19</c:v>
                  </c:pt>
                  <c:pt idx="2">
                    <c:v>Dec-19</c:v>
                  </c:pt>
                  <c:pt idx="3">
                    <c:v>Feb-20</c:v>
                  </c:pt>
                  <c:pt idx="4">
                    <c:v>Mar-20</c:v>
                  </c:pt>
                  <c:pt idx="5">
                    <c:v>May-20</c:v>
                  </c:pt>
                  <c:pt idx="6">
                    <c:v>Jun-20</c:v>
                  </c:pt>
                  <c:pt idx="7">
                    <c:v>Aug-20</c:v>
                  </c:pt>
                  <c:pt idx="8">
                    <c:v>Oct-20</c:v>
                  </c:pt>
                  <c:pt idx="9">
                    <c:v>Dec-20</c:v>
                  </c:pt>
                  <c:pt idx="10">
                    <c:v>Feb-21</c:v>
                  </c:pt>
                  <c:pt idx="11">
                    <c:v>May-21</c:v>
                  </c:pt>
                  <c:pt idx="12">
                    <c:v>Jun-21</c:v>
                  </c:pt>
                  <c:pt idx="13">
                    <c:v>Aug-21</c:v>
                  </c:pt>
                  <c:pt idx="14">
                    <c:v>Oct-21</c:v>
                  </c:pt>
                  <c:pt idx="15">
                    <c:v>Dec-21</c:v>
                  </c:pt>
                  <c:pt idx="16">
                    <c:v>Feb-22</c:v>
                  </c:pt>
                </c:lvl>
              </c:multiLvlStrCache>
            </c:multiLvlStrRef>
          </c:cat>
          <c:val>
            <c:numRef>
              <c:f>'COVID19 assumptions'!$B$97:$R$97</c:f>
              <c:numCache>
                <c:formatCode>0.0%</c:formatCode>
                <c:ptCount val="17"/>
                <c:pt idx="0">
                  <c:v>0.05</c:v>
                </c:pt>
                <c:pt idx="1">
                  <c:v>7.4102662197418123E-2</c:v>
                </c:pt>
                <c:pt idx="2">
                  <c:v>-0.10755669164784654</c:v>
                </c:pt>
                <c:pt idx="3" formatCode="0.00%">
                  <c:v>-0.08</c:v>
                </c:pt>
                <c:pt idx="4" formatCode="0.00%">
                  <c:v>-0.03</c:v>
                </c:pt>
                <c:pt idx="5" formatCode="0.00%">
                  <c:v>-7.0000000000000001E-3</c:v>
                </c:pt>
                <c:pt idx="6" formatCode="0.00%">
                  <c:v>0.68600000000000005</c:v>
                </c:pt>
                <c:pt idx="7" formatCode="0%">
                  <c:v>0.72</c:v>
                </c:pt>
                <c:pt idx="8" formatCode="0%">
                  <c:v>0.53721309854857657</c:v>
                </c:pt>
                <c:pt idx="9">
                  <c:v>0.26599647505189594</c:v>
                </c:pt>
                <c:pt idx="10">
                  <c:v>0.71199999999999997</c:v>
                </c:pt>
                <c:pt idx="11">
                  <c:v>0.71298320069715304</c:v>
                </c:pt>
                <c:pt idx="12">
                  <c:v>-7.1062011086993837E-2</c:v>
                </c:pt>
                <c:pt idx="13">
                  <c:v>-0.21</c:v>
                </c:pt>
                <c:pt idx="14">
                  <c:v>-4.2969228951183047E-2</c:v>
                </c:pt>
                <c:pt idx="15">
                  <c:v>0.11238742590161155</c:v>
                </c:pt>
                <c:pt idx="16">
                  <c:v>0.122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C8-4D5D-ADED-1105CB4E4AF8}"/>
            </c:ext>
          </c:extLst>
        </c:ser>
        <c:ser>
          <c:idx val="3"/>
          <c:order val="3"/>
          <c:tx>
            <c:strRef>
              <c:f>'COVID19 assumptions'!$A$98</c:f>
              <c:strCache>
                <c:ptCount val="1"/>
                <c:pt idx="0">
                  <c:v>Macpac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assumptions'!$B$92:$R$94</c:f>
              <c:multiLvlStrCache>
                <c:ptCount val="17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5 weeks</c:v>
                  </c:pt>
                  <c:pt idx="5">
                    <c:v>9 weeks</c:v>
                  </c:pt>
                  <c:pt idx="6">
                    <c:v>5 weeks</c:v>
                  </c:pt>
                  <c:pt idx="7">
                    <c:v>7 weeks</c:v>
                  </c:pt>
                  <c:pt idx="8">
                    <c:v>10 weeks</c:v>
                  </c:pt>
                  <c:pt idx="9">
                    <c:v>9 weeks</c:v>
                  </c:pt>
                  <c:pt idx="10">
                    <c:v>7 weeks</c:v>
                  </c:pt>
                  <c:pt idx="11">
                    <c:v>11 weeks</c:v>
                  </c:pt>
                  <c:pt idx="12">
                    <c:v>8 weeks</c:v>
                  </c:pt>
                  <c:pt idx="13">
                    <c:v>7 weeks</c:v>
                  </c:pt>
                  <c:pt idx="14">
                    <c:v>9 weeks</c:v>
                  </c:pt>
                  <c:pt idx="15">
                    <c:v>10 weeks </c:v>
                  </c:pt>
                  <c:pt idx="16">
                    <c:v>7 weeks</c:v>
                  </c:pt>
                </c:lvl>
                <c:lvl>
                  <c:pt idx="0">
                    <c:v>Jun-19</c:v>
                  </c:pt>
                  <c:pt idx="1">
                    <c:v>Aug-19</c:v>
                  </c:pt>
                  <c:pt idx="2">
                    <c:v>Oct-19</c:v>
                  </c:pt>
                  <c:pt idx="3">
                    <c:v>Dec-19</c:v>
                  </c:pt>
                  <c:pt idx="4">
                    <c:v>Feb-20</c:v>
                  </c:pt>
                  <c:pt idx="5">
                    <c:v>Mar-20</c:v>
                  </c:pt>
                  <c:pt idx="6">
                    <c:v>May-20</c:v>
                  </c:pt>
                  <c:pt idx="7">
                    <c:v>Jun-20</c:v>
                  </c:pt>
                  <c:pt idx="8">
                    <c:v>Aug-20</c:v>
                  </c:pt>
                  <c:pt idx="9">
                    <c:v>Oct-20</c:v>
                  </c:pt>
                  <c:pt idx="10">
                    <c:v>Dec-20</c:v>
                  </c:pt>
                  <c:pt idx="11">
                    <c:v>Feb-21</c:v>
                  </c:pt>
                  <c:pt idx="12">
                    <c:v>May-21</c:v>
                  </c:pt>
                  <c:pt idx="13">
                    <c:v>Jun-21</c:v>
                  </c:pt>
                  <c:pt idx="14">
                    <c:v>Aug-21</c:v>
                  </c:pt>
                  <c:pt idx="15">
                    <c:v>Oct-21</c:v>
                  </c:pt>
                  <c:pt idx="16">
                    <c:v>Dec-21</c:v>
                  </c:pt>
                </c:lvl>
                <c:lvl>
                  <c:pt idx="0">
                    <c:v>Aug-19</c:v>
                  </c:pt>
                  <c:pt idx="1">
                    <c:v>Oct-19</c:v>
                  </c:pt>
                  <c:pt idx="2">
                    <c:v>Dec-19</c:v>
                  </c:pt>
                  <c:pt idx="3">
                    <c:v>Feb-20</c:v>
                  </c:pt>
                  <c:pt idx="4">
                    <c:v>Mar-20</c:v>
                  </c:pt>
                  <c:pt idx="5">
                    <c:v>May-20</c:v>
                  </c:pt>
                  <c:pt idx="6">
                    <c:v>Jun-20</c:v>
                  </c:pt>
                  <c:pt idx="7">
                    <c:v>Aug-20</c:v>
                  </c:pt>
                  <c:pt idx="8">
                    <c:v>Oct-20</c:v>
                  </c:pt>
                  <c:pt idx="9">
                    <c:v>Dec-20</c:v>
                  </c:pt>
                  <c:pt idx="10">
                    <c:v>Feb-21</c:v>
                  </c:pt>
                  <c:pt idx="11">
                    <c:v>May-21</c:v>
                  </c:pt>
                  <c:pt idx="12">
                    <c:v>Jun-21</c:v>
                  </c:pt>
                  <c:pt idx="13">
                    <c:v>Aug-21</c:v>
                  </c:pt>
                  <c:pt idx="14">
                    <c:v>Oct-21</c:v>
                  </c:pt>
                  <c:pt idx="15">
                    <c:v>Dec-21</c:v>
                  </c:pt>
                  <c:pt idx="16">
                    <c:v>Feb-22</c:v>
                  </c:pt>
                </c:lvl>
              </c:multiLvlStrCache>
            </c:multiLvlStrRef>
          </c:cat>
          <c:val>
            <c:numRef>
              <c:f>'COVID19 assumptions'!$B$98:$R$98</c:f>
              <c:numCache>
                <c:formatCode>0.0%</c:formatCode>
                <c:ptCount val="17"/>
                <c:pt idx="0">
                  <c:v>-0.03</c:v>
                </c:pt>
                <c:pt idx="1">
                  <c:v>-1.5559966952024107E-2</c:v>
                </c:pt>
                <c:pt idx="2">
                  <c:v>-0.14335011808475195</c:v>
                </c:pt>
                <c:pt idx="3" formatCode="0.00%">
                  <c:v>-4.0000000000000001E-3</c:v>
                </c:pt>
                <c:pt idx="4" formatCode="0.00%">
                  <c:v>0.05</c:v>
                </c:pt>
                <c:pt idx="5" formatCode="0.00%">
                  <c:v>-0.38800000000000001</c:v>
                </c:pt>
                <c:pt idx="6" formatCode="0.00%">
                  <c:v>0.26</c:v>
                </c:pt>
                <c:pt idx="7" formatCode="0%">
                  <c:v>0.16</c:v>
                </c:pt>
                <c:pt idx="8" formatCode="0%">
                  <c:v>-0.11394794256555307</c:v>
                </c:pt>
                <c:pt idx="9">
                  <c:v>-0.14558814737247516</c:v>
                </c:pt>
                <c:pt idx="10">
                  <c:v>0.08</c:v>
                </c:pt>
                <c:pt idx="11">
                  <c:v>0.94299916168537634</c:v>
                </c:pt>
                <c:pt idx="12">
                  <c:v>4.8923035614374388E-3</c:v>
                </c:pt>
                <c:pt idx="13">
                  <c:v>-0.02</c:v>
                </c:pt>
                <c:pt idx="14">
                  <c:v>-0.15767922266929812</c:v>
                </c:pt>
                <c:pt idx="15">
                  <c:v>0.15006488430464149</c:v>
                </c:pt>
                <c:pt idx="16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C8-4D5D-ADED-1105CB4E4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6126703"/>
        <c:axId val="1816140847"/>
      </c:lineChart>
      <c:catAx>
        <c:axId val="1816126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40847"/>
        <c:crosses val="autoZero"/>
        <c:auto val="1"/>
        <c:lblAlgn val="ctr"/>
        <c:lblOffset val="100"/>
        <c:noMultiLvlLbl val="0"/>
      </c:catAx>
      <c:valAx>
        <c:axId val="1816140847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26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'COVID19 assumptions'!$U$82</c:f>
              <c:strCache>
                <c:ptCount val="1"/>
                <c:pt idx="0">
                  <c:v>Supercheap Auto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assumptions'!$V$80:$AA$81</c:f>
              <c:multiLvlStrCache>
                <c:ptCount val="6"/>
                <c:lvl>
                  <c:pt idx="0">
                    <c:v>1H20</c:v>
                  </c:pt>
                  <c:pt idx="1">
                    <c:v>2H20</c:v>
                  </c:pt>
                  <c:pt idx="2">
                    <c:v>1H21</c:v>
                  </c:pt>
                  <c:pt idx="3">
                    <c:v>2H21e</c:v>
                  </c:pt>
                  <c:pt idx="4">
                    <c:v>1H22e</c:v>
                  </c:pt>
                  <c:pt idx="5">
                    <c:v>2H22e</c:v>
                  </c:pt>
                </c:lvl>
                <c:lvl>
                  <c:pt idx="0">
                    <c:v>1yr CAGR</c:v>
                  </c:pt>
                  <c:pt idx="2">
                    <c:v>2yr CAGR</c:v>
                  </c:pt>
                  <c:pt idx="4">
                    <c:v>3yr CAGR</c:v>
                  </c:pt>
                </c:lvl>
              </c:multiLvlStrCache>
            </c:multiLvlStrRef>
          </c:cat>
          <c:val>
            <c:numRef>
              <c:f>'COVID19 assumptions'!$V$82:$AA$82</c:f>
              <c:numCache>
                <c:formatCode>0.0%</c:formatCode>
                <c:ptCount val="6"/>
                <c:pt idx="0">
                  <c:v>2.4E-2</c:v>
                </c:pt>
                <c:pt idx="1">
                  <c:v>0.10243661544686877</c:v>
                </c:pt>
                <c:pt idx="2">
                  <c:v>0.1051457119284982</c:v>
                </c:pt>
                <c:pt idx="3">
                  <c:v>0.11608507336815932</c:v>
                </c:pt>
                <c:pt idx="4">
                  <c:v>4.2083257661706064E-2</c:v>
                </c:pt>
                <c:pt idx="5">
                  <c:v>0.1146947575984365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4-40A1-9319-8016C05F6137}"/>
            </c:ext>
          </c:extLst>
        </c:ser>
        <c:ser>
          <c:idx val="1"/>
          <c:order val="1"/>
          <c:tx>
            <c:strRef>
              <c:f>'COVID19 assumptions'!$U$83</c:f>
              <c:strCache>
                <c:ptCount val="1"/>
                <c:pt idx="0">
                  <c:v>Rebel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assumptions'!$V$80:$AA$81</c:f>
              <c:multiLvlStrCache>
                <c:ptCount val="6"/>
                <c:lvl>
                  <c:pt idx="0">
                    <c:v>1H20</c:v>
                  </c:pt>
                  <c:pt idx="1">
                    <c:v>2H20</c:v>
                  </c:pt>
                  <c:pt idx="2">
                    <c:v>1H21</c:v>
                  </c:pt>
                  <c:pt idx="3">
                    <c:v>2H21e</c:v>
                  </c:pt>
                  <c:pt idx="4">
                    <c:v>1H22e</c:v>
                  </c:pt>
                  <c:pt idx="5">
                    <c:v>2H22e</c:v>
                  </c:pt>
                </c:lvl>
                <c:lvl>
                  <c:pt idx="0">
                    <c:v>1yr CAGR</c:v>
                  </c:pt>
                  <c:pt idx="2">
                    <c:v>2yr CAGR</c:v>
                  </c:pt>
                  <c:pt idx="4">
                    <c:v>3yr CAGR</c:v>
                  </c:pt>
                </c:lvl>
              </c:multiLvlStrCache>
            </c:multiLvlStrRef>
          </c:cat>
          <c:val>
            <c:numRef>
              <c:f>'COVID19 assumptions'!$V$83:$AA$83</c:f>
              <c:numCache>
                <c:formatCode>0.0%</c:formatCode>
                <c:ptCount val="6"/>
                <c:pt idx="0">
                  <c:v>1.6674010342988099E-2</c:v>
                </c:pt>
                <c:pt idx="1">
                  <c:v>1.2992385786801952E-2</c:v>
                </c:pt>
                <c:pt idx="2">
                  <c:v>9.6248547264649709E-2</c:v>
                </c:pt>
                <c:pt idx="3">
                  <c:v>9.9600534817806619E-2</c:v>
                </c:pt>
                <c:pt idx="4">
                  <c:v>6.4101422177337497E-2</c:v>
                </c:pt>
                <c:pt idx="5">
                  <c:v>8.6694129357680616E-2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4-40A1-9319-8016C05F6137}"/>
            </c:ext>
          </c:extLst>
        </c:ser>
        <c:ser>
          <c:idx val="2"/>
          <c:order val="2"/>
          <c:tx>
            <c:strRef>
              <c:f>'COVID19 assumptions'!$U$84</c:f>
              <c:strCache>
                <c:ptCount val="1"/>
                <c:pt idx="0">
                  <c:v>BCF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assumptions'!$V$80:$AA$81</c:f>
              <c:multiLvlStrCache>
                <c:ptCount val="6"/>
                <c:lvl>
                  <c:pt idx="0">
                    <c:v>1H20</c:v>
                  </c:pt>
                  <c:pt idx="1">
                    <c:v>2H20</c:v>
                  </c:pt>
                  <c:pt idx="2">
                    <c:v>1H21</c:v>
                  </c:pt>
                  <c:pt idx="3">
                    <c:v>2H21e</c:v>
                  </c:pt>
                  <c:pt idx="4">
                    <c:v>1H22e</c:v>
                  </c:pt>
                  <c:pt idx="5">
                    <c:v>2H22e</c:v>
                  </c:pt>
                </c:lvl>
                <c:lvl>
                  <c:pt idx="0">
                    <c:v>1yr CAGR</c:v>
                  </c:pt>
                  <c:pt idx="2">
                    <c:v>2yr CAGR</c:v>
                  </c:pt>
                  <c:pt idx="4">
                    <c:v>3yr CAGR</c:v>
                  </c:pt>
                </c:lvl>
              </c:multiLvlStrCache>
            </c:multiLvlStrRef>
          </c:cat>
          <c:val>
            <c:numRef>
              <c:f>'COVID19 assumptions'!$V$84:$AA$84</c:f>
              <c:numCache>
                <c:formatCode>0.0%</c:formatCode>
                <c:ptCount val="6"/>
                <c:pt idx="0">
                  <c:v>-1.7800903738189877E-3</c:v>
                </c:pt>
                <c:pt idx="1">
                  <c:v>5.4547442583515737E-2</c:v>
                </c:pt>
                <c:pt idx="2">
                  <c:v>0.21606829811806927</c:v>
                </c:pt>
                <c:pt idx="3">
                  <c:v>0.22317589092797241</c:v>
                </c:pt>
                <c:pt idx="4">
                  <c:v>0.11845301751582493</c:v>
                </c:pt>
                <c:pt idx="5">
                  <c:v>0.17663469028631651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4-40A1-9319-8016C05F6137}"/>
            </c:ext>
          </c:extLst>
        </c:ser>
        <c:ser>
          <c:idx val="3"/>
          <c:order val="3"/>
          <c:tx>
            <c:strRef>
              <c:f>'COVID19 assumptions'!$U$85</c:f>
              <c:strCache>
                <c:ptCount val="1"/>
                <c:pt idx="0">
                  <c:v>Macpac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assumptions'!$V$80:$AA$81</c:f>
              <c:multiLvlStrCache>
                <c:ptCount val="6"/>
                <c:lvl>
                  <c:pt idx="0">
                    <c:v>1H20</c:v>
                  </c:pt>
                  <c:pt idx="1">
                    <c:v>2H20</c:v>
                  </c:pt>
                  <c:pt idx="2">
                    <c:v>1H21</c:v>
                  </c:pt>
                  <c:pt idx="3">
                    <c:v>2H21e</c:v>
                  </c:pt>
                  <c:pt idx="4">
                    <c:v>1H22e</c:v>
                  </c:pt>
                  <c:pt idx="5">
                    <c:v>2H22e</c:v>
                  </c:pt>
                </c:lvl>
                <c:lvl>
                  <c:pt idx="0">
                    <c:v>1yr CAGR</c:v>
                  </c:pt>
                  <c:pt idx="2">
                    <c:v>2yr CAGR</c:v>
                  </c:pt>
                  <c:pt idx="4">
                    <c:v>3yr CAGR</c:v>
                  </c:pt>
                </c:lvl>
              </c:multiLvlStrCache>
            </c:multiLvlStrRef>
          </c:cat>
          <c:val>
            <c:numRef>
              <c:f>'COVID19 assumptions'!$V$85:$AA$85</c:f>
              <c:numCache>
                <c:formatCode>0.0%</c:formatCode>
                <c:ptCount val="6"/>
                <c:pt idx="0">
                  <c:v>-9.2107594343063703E-2</c:v>
                </c:pt>
                <c:pt idx="1">
                  <c:v>-0.13190015870725735</c:v>
                </c:pt>
                <c:pt idx="2">
                  <c:v>-7.580542174286653E-2</c:v>
                </c:pt>
                <c:pt idx="3">
                  <c:v>8.4259716939686591E-2</c:v>
                </c:pt>
                <c:pt idx="4">
                  <c:v>-6.7608062860510687E-2</c:v>
                </c:pt>
                <c:pt idx="5">
                  <c:v>8.6215716376089491E-2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14-40A1-9319-8016C05F6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6136687"/>
        <c:axId val="1816119215"/>
      </c:lineChart>
      <c:catAx>
        <c:axId val="1816136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19215"/>
        <c:crosses val="autoZero"/>
        <c:auto val="1"/>
        <c:lblAlgn val="ctr"/>
        <c:lblOffset val="100"/>
        <c:noMultiLvlLbl val="0"/>
      </c:catAx>
      <c:valAx>
        <c:axId val="1816119215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36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224186017843661"/>
          <c:y val="0.91605018749636236"/>
          <c:w val="0.69551607418935646"/>
          <c:h val="7.12782179946619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0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'COVID19 assumptions'!$A$119</c:f>
          <c:strCache>
            <c:ptCount val="1"/>
            <c:pt idx="0">
              <c:v>Supercheap Auto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'COVID19 assumptions'!$A$118</c:f>
              <c:strCache>
                <c:ptCount val="1"/>
                <c:pt idx="0">
                  <c:v>FY20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'COVID19 assumptions'!$B$116:$G$118</c:f>
              <c:multiLvlStrCache>
                <c:ptCount val="6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20 weeks</c:v>
                  </c:pt>
                  <c:pt idx="5">
                    <c:v>52 Weeks</c:v>
                  </c:pt>
                </c:lvl>
                <c:lvl>
                  <c:pt idx="0">
                    <c:v>Jun</c:v>
                  </c:pt>
                  <c:pt idx="1">
                    <c:v>Aug</c:v>
                  </c:pt>
                  <c:pt idx="2">
                    <c:v>Oct</c:v>
                  </c:pt>
                  <c:pt idx="3">
                    <c:v>Dec</c:v>
                  </c:pt>
                  <c:pt idx="4">
                    <c:v>Feb</c:v>
                  </c:pt>
                  <c:pt idx="5">
                    <c:v>Jul</c:v>
                  </c:pt>
                </c:lvl>
                <c:lvl>
                  <c:pt idx="0">
                    <c:v>Aug</c:v>
                  </c:pt>
                  <c:pt idx="1">
                    <c:v>Oct</c:v>
                  </c:pt>
                  <c:pt idx="2">
                    <c:v>Dec</c:v>
                  </c:pt>
                  <c:pt idx="3">
                    <c:v>Feb</c:v>
                  </c:pt>
                  <c:pt idx="4">
                    <c:v>Jul</c:v>
                  </c:pt>
                  <c:pt idx="5">
                    <c:v>Jun</c:v>
                  </c:pt>
                </c:lvl>
              </c:multiLvlStrCache>
            </c:multiLvlStrRef>
          </c:cat>
          <c:val>
            <c:numRef>
              <c:f>'COVID19 assumptions'!$B$119:$G$119</c:f>
              <c:numCache>
                <c:formatCode>0.0%</c:formatCode>
                <c:ptCount val="6"/>
                <c:pt idx="0">
                  <c:v>0.03</c:v>
                </c:pt>
                <c:pt idx="1">
                  <c:v>2.5204195805225593E-2</c:v>
                </c:pt>
                <c:pt idx="2">
                  <c:v>1.9218217195807075E-2</c:v>
                </c:pt>
                <c:pt idx="3">
                  <c:v>3.1E-2</c:v>
                </c:pt>
                <c:pt idx="4" formatCode="0%">
                  <c:v>7.8924534241767486E-2</c:v>
                </c:pt>
                <c:pt idx="5">
                  <c:v>6.4408141918834927E-2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D3-4F2A-8C45-88B200E2607F}"/>
            </c:ext>
          </c:extLst>
        </c:ser>
        <c:ser>
          <c:idx val="1"/>
          <c:order val="1"/>
          <c:tx>
            <c:strRef>
              <c:f>'COVID19 assumptions'!$A$125</c:f>
              <c:strCache>
                <c:ptCount val="1"/>
                <c:pt idx="0">
                  <c:v>FY21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'COVID19 assumptions'!$B$116:$G$118</c:f>
              <c:multiLvlStrCache>
                <c:ptCount val="6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20 weeks</c:v>
                  </c:pt>
                  <c:pt idx="5">
                    <c:v>52 Weeks</c:v>
                  </c:pt>
                </c:lvl>
                <c:lvl>
                  <c:pt idx="0">
                    <c:v>Jun</c:v>
                  </c:pt>
                  <c:pt idx="1">
                    <c:v>Aug</c:v>
                  </c:pt>
                  <c:pt idx="2">
                    <c:v>Oct</c:v>
                  </c:pt>
                  <c:pt idx="3">
                    <c:v>Dec</c:v>
                  </c:pt>
                  <c:pt idx="4">
                    <c:v>Feb</c:v>
                  </c:pt>
                  <c:pt idx="5">
                    <c:v>Jul</c:v>
                  </c:pt>
                </c:lvl>
                <c:lvl>
                  <c:pt idx="0">
                    <c:v>Aug</c:v>
                  </c:pt>
                  <c:pt idx="1">
                    <c:v>Oct</c:v>
                  </c:pt>
                  <c:pt idx="2">
                    <c:v>Dec</c:v>
                  </c:pt>
                  <c:pt idx="3">
                    <c:v>Feb</c:v>
                  </c:pt>
                  <c:pt idx="4">
                    <c:v>Jul</c:v>
                  </c:pt>
                  <c:pt idx="5">
                    <c:v>Jun</c:v>
                  </c:pt>
                </c:lvl>
              </c:multiLvlStrCache>
            </c:multiLvlStrRef>
          </c:cat>
          <c:val>
            <c:numRef>
              <c:f>'COVID19 assumptions'!$B$126:$G$126</c:f>
              <c:numCache>
                <c:formatCode>0.0%</c:formatCode>
                <c:ptCount val="6"/>
                <c:pt idx="0">
                  <c:v>0.23</c:v>
                </c:pt>
                <c:pt idx="1">
                  <c:v>0.19619381223771026</c:v>
                </c:pt>
                <c:pt idx="2">
                  <c:v>0.16075529582191939</c:v>
                </c:pt>
                <c:pt idx="3">
                  <c:v>0.23100000000000001</c:v>
                </c:pt>
                <c:pt idx="4" formatCode="0%">
                  <c:v>0.15106678376015648</c:v>
                </c:pt>
                <c:pt idx="5">
                  <c:v>0.16172443368048284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D3-4F2A-8C45-88B200E2607F}"/>
            </c:ext>
          </c:extLst>
        </c:ser>
        <c:ser>
          <c:idx val="2"/>
          <c:order val="2"/>
          <c:tx>
            <c:strRef>
              <c:f>'COVID19 assumptions'!$A$132</c:f>
              <c:strCache>
                <c:ptCount val="1"/>
                <c:pt idx="0">
                  <c:v>FY22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2"/>
              </a:solidFill>
              <a:prstDash val="solid"/>
            </a:ln>
            <a:effectLst/>
          </c:spPr>
          <c:invertIfNegative val="0"/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chemeClr val="tx2">
                      <a:tint val="66000"/>
                      <a:satMod val="160000"/>
                    </a:schemeClr>
                  </a:gs>
                  <a:gs pos="50000">
                    <a:schemeClr val="tx2">
                      <a:tint val="44500"/>
                      <a:satMod val="160000"/>
                    </a:schemeClr>
                  </a:gs>
                  <a:gs pos="100000">
                    <a:schemeClr val="tx2">
                      <a:tint val="23500"/>
                      <a:satMod val="160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tx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AD3-4F2A-8C45-88B200E2607F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chemeClr val="tx2">
                      <a:tint val="66000"/>
                      <a:satMod val="160000"/>
                    </a:schemeClr>
                  </a:gs>
                  <a:gs pos="50000">
                    <a:schemeClr val="tx2">
                      <a:tint val="44500"/>
                      <a:satMod val="160000"/>
                    </a:schemeClr>
                  </a:gs>
                  <a:gs pos="100000">
                    <a:schemeClr val="tx2">
                      <a:tint val="23500"/>
                      <a:satMod val="160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tx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4-FAD3-4F2A-8C45-88B200E2607F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chemeClr val="tx2">
                      <a:tint val="66000"/>
                      <a:satMod val="160000"/>
                    </a:schemeClr>
                  </a:gs>
                  <a:gs pos="50000">
                    <a:schemeClr val="tx2">
                      <a:tint val="44500"/>
                      <a:satMod val="160000"/>
                    </a:schemeClr>
                  </a:gs>
                  <a:gs pos="100000">
                    <a:schemeClr val="tx2">
                      <a:tint val="23500"/>
                      <a:satMod val="160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tx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B-FAD3-4F2A-8C45-88B200E2607F}"/>
              </c:ext>
            </c:extLst>
          </c:dPt>
          <c:cat>
            <c:multiLvlStrRef>
              <c:f>'COVID19 assumptions'!$B$116:$G$118</c:f>
              <c:multiLvlStrCache>
                <c:ptCount val="6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20 weeks</c:v>
                  </c:pt>
                  <c:pt idx="5">
                    <c:v>52 Weeks</c:v>
                  </c:pt>
                </c:lvl>
                <c:lvl>
                  <c:pt idx="0">
                    <c:v>Jun</c:v>
                  </c:pt>
                  <c:pt idx="1">
                    <c:v>Aug</c:v>
                  </c:pt>
                  <c:pt idx="2">
                    <c:v>Oct</c:v>
                  </c:pt>
                  <c:pt idx="3">
                    <c:v>Dec</c:v>
                  </c:pt>
                  <c:pt idx="4">
                    <c:v>Feb</c:v>
                  </c:pt>
                  <c:pt idx="5">
                    <c:v>Jul</c:v>
                  </c:pt>
                </c:lvl>
                <c:lvl>
                  <c:pt idx="0">
                    <c:v>Aug</c:v>
                  </c:pt>
                  <c:pt idx="1">
                    <c:v>Oct</c:v>
                  </c:pt>
                  <c:pt idx="2">
                    <c:v>Dec</c:v>
                  </c:pt>
                  <c:pt idx="3">
                    <c:v>Feb</c:v>
                  </c:pt>
                  <c:pt idx="4">
                    <c:v>Jul</c:v>
                  </c:pt>
                  <c:pt idx="5">
                    <c:v>Jun</c:v>
                  </c:pt>
                </c:lvl>
              </c:multiLvlStrCache>
            </c:multiLvlStrRef>
          </c:cat>
          <c:val>
            <c:numRef>
              <c:f>'COVID19 assumptions'!$B$133:$G$133</c:f>
              <c:numCache>
                <c:formatCode>0%</c:formatCode>
                <c:ptCount val="6"/>
                <c:pt idx="0">
                  <c:v>-0.11</c:v>
                </c:pt>
                <c:pt idx="1">
                  <c:v>-0.1452443120357958</c:v>
                </c:pt>
                <c:pt idx="2" formatCode="0.0%">
                  <c:v>1.4597104271831807E-2</c:v>
                </c:pt>
                <c:pt idx="3" formatCode="0.0%">
                  <c:v>9.2999999999999999E-2</c:v>
                </c:pt>
                <c:pt idx="4" formatCode="0.0%">
                  <c:v>7.7744130641736575E-2</c:v>
                </c:pt>
                <c:pt idx="5" formatCode="0.0%">
                  <c:v>1.9004329044665758E-2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D3-4F2A-8C45-88B200E26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82720"/>
        <c:axId val="23396032"/>
      </c:barChart>
      <c:catAx>
        <c:axId val="233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3396032"/>
        <c:crosses val="autoZero"/>
        <c:auto val="1"/>
        <c:lblAlgn val="ctr"/>
        <c:lblOffset val="100"/>
        <c:noMultiLvlLbl val="0"/>
      </c:catAx>
      <c:valAx>
        <c:axId val="23396032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338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'COVID19 assumptions'!$A$121</c:f>
          <c:strCache>
            <c:ptCount val="1"/>
            <c:pt idx="0">
              <c:v>BCF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8088363954505"/>
          <c:y val="0.14546296296296299"/>
          <c:w val="0.87154133858267713"/>
          <c:h val="0.523590332458442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'COVID19 assumptions'!$A$118</c:f>
              <c:strCache>
                <c:ptCount val="1"/>
                <c:pt idx="0">
                  <c:v>FY20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'COVID19 assumptions'!$B$116:$G$118</c:f>
              <c:multiLvlStrCache>
                <c:ptCount val="6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20 weeks</c:v>
                  </c:pt>
                  <c:pt idx="5">
                    <c:v>52 Weeks</c:v>
                  </c:pt>
                </c:lvl>
                <c:lvl>
                  <c:pt idx="0">
                    <c:v>Jun</c:v>
                  </c:pt>
                  <c:pt idx="1">
                    <c:v>Aug</c:v>
                  </c:pt>
                  <c:pt idx="2">
                    <c:v>Oct</c:v>
                  </c:pt>
                  <c:pt idx="3">
                    <c:v>Dec</c:v>
                  </c:pt>
                  <c:pt idx="4">
                    <c:v>Feb</c:v>
                  </c:pt>
                  <c:pt idx="5">
                    <c:v>Jul</c:v>
                  </c:pt>
                </c:lvl>
                <c:lvl>
                  <c:pt idx="0">
                    <c:v>Aug</c:v>
                  </c:pt>
                  <c:pt idx="1">
                    <c:v>Oct</c:v>
                  </c:pt>
                  <c:pt idx="2">
                    <c:v>Dec</c:v>
                  </c:pt>
                  <c:pt idx="3">
                    <c:v>Feb</c:v>
                  </c:pt>
                  <c:pt idx="4">
                    <c:v>Jul</c:v>
                  </c:pt>
                  <c:pt idx="5">
                    <c:v>Jun</c:v>
                  </c:pt>
                </c:lvl>
              </c:multiLvlStrCache>
            </c:multiLvlStrRef>
          </c:cat>
          <c:val>
            <c:numRef>
              <c:f>'COVID19 assumptions'!$B$121:$G$121</c:f>
              <c:numCache>
                <c:formatCode>0.0%</c:formatCode>
                <c:ptCount val="6"/>
                <c:pt idx="0">
                  <c:v>0.05</c:v>
                </c:pt>
                <c:pt idx="1">
                  <c:v>7.4102662197418123E-2</c:v>
                </c:pt>
                <c:pt idx="2">
                  <c:v>-0.10755669164784654</c:v>
                </c:pt>
                <c:pt idx="3">
                  <c:v>-0.08</c:v>
                </c:pt>
                <c:pt idx="4" formatCode="0%">
                  <c:v>3.8900069781667934E-2</c:v>
                </c:pt>
                <c:pt idx="5">
                  <c:v>2.8196835878583792E-2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C-4873-B04A-A9C02A3ABF69}"/>
            </c:ext>
          </c:extLst>
        </c:ser>
        <c:ser>
          <c:idx val="1"/>
          <c:order val="1"/>
          <c:tx>
            <c:strRef>
              <c:f>'COVID19 assumptions'!$A$125</c:f>
              <c:strCache>
                <c:ptCount val="1"/>
                <c:pt idx="0">
                  <c:v>FY21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'COVID19 assumptions'!$B$116:$G$118</c:f>
              <c:multiLvlStrCache>
                <c:ptCount val="6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20 weeks</c:v>
                  </c:pt>
                  <c:pt idx="5">
                    <c:v>52 Weeks</c:v>
                  </c:pt>
                </c:lvl>
                <c:lvl>
                  <c:pt idx="0">
                    <c:v>Jun</c:v>
                  </c:pt>
                  <c:pt idx="1">
                    <c:v>Aug</c:v>
                  </c:pt>
                  <c:pt idx="2">
                    <c:v>Oct</c:v>
                  </c:pt>
                  <c:pt idx="3">
                    <c:v>Dec</c:v>
                  </c:pt>
                  <c:pt idx="4">
                    <c:v>Feb</c:v>
                  </c:pt>
                  <c:pt idx="5">
                    <c:v>Jul</c:v>
                  </c:pt>
                </c:lvl>
                <c:lvl>
                  <c:pt idx="0">
                    <c:v>Aug</c:v>
                  </c:pt>
                  <c:pt idx="1">
                    <c:v>Oct</c:v>
                  </c:pt>
                  <c:pt idx="2">
                    <c:v>Dec</c:v>
                  </c:pt>
                  <c:pt idx="3">
                    <c:v>Feb</c:v>
                  </c:pt>
                  <c:pt idx="4">
                    <c:v>Jul</c:v>
                  </c:pt>
                  <c:pt idx="5">
                    <c:v>Jun</c:v>
                  </c:pt>
                </c:lvl>
              </c:multiLvlStrCache>
            </c:multiLvlStrRef>
          </c:cat>
          <c:val>
            <c:numRef>
              <c:f>'COVID19 assumptions'!$B$128:$G$128</c:f>
              <c:numCache>
                <c:formatCode>0.0%</c:formatCode>
                <c:ptCount val="6"/>
                <c:pt idx="0">
                  <c:v>0.72</c:v>
                </c:pt>
                <c:pt idx="1">
                  <c:v>0.53721309854857657</c:v>
                </c:pt>
                <c:pt idx="2">
                  <c:v>0.26599647505189594</c:v>
                </c:pt>
                <c:pt idx="3">
                  <c:v>0.71199999999999997</c:v>
                </c:pt>
                <c:pt idx="4" formatCode="0%">
                  <c:v>0.43369146041161666</c:v>
                </c:pt>
                <c:pt idx="5">
                  <c:v>0.44592576578973619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0C-4873-B04A-A9C02A3ABF69}"/>
            </c:ext>
          </c:extLst>
        </c:ser>
        <c:ser>
          <c:idx val="2"/>
          <c:order val="2"/>
          <c:tx>
            <c:strRef>
              <c:f>'COVID19 assumptions'!$A$132</c:f>
              <c:strCache>
                <c:ptCount val="1"/>
                <c:pt idx="0">
                  <c:v>FY22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2"/>
              </a:solidFill>
              <a:prstDash val="solid"/>
            </a:ln>
            <a:effectLst/>
          </c:spPr>
          <c:invertIfNegative val="0"/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chemeClr val="tx2">
                      <a:tint val="66000"/>
                      <a:satMod val="160000"/>
                    </a:schemeClr>
                  </a:gs>
                  <a:gs pos="50000">
                    <a:schemeClr val="tx2">
                      <a:tint val="44500"/>
                      <a:satMod val="160000"/>
                    </a:schemeClr>
                  </a:gs>
                  <a:gs pos="100000">
                    <a:schemeClr val="tx2">
                      <a:tint val="23500"/>
                      <a:satMod val="160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tx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0C-4873-B04A-A9C02A3ABF69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chemeClr val="tx2">
                      <a:tint val="66000"/>
                      <a:satMod val="160000"/>
                    </a:schemeClr>
                  </a:gs>
                  <a:gs pos="50000">
                    <a:schemeClr val="tx2">
                      <a:tint val="44500"/>
                      <a:satMod val="160000"/>
                    </a:schemeClr>
                  </a:gs>
                  <a:gs pos="100000">
                    <a:schemeClr val="tx2">
                      <a:tint val="23500"/>
                      <a:satMod val="160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tx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0C-4873-B04A-A9C02A3ABF69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chemeClr val="tx2">
                      <a:tint val="66000"/>
                      <a:satMod val="160000"/>
                    </a:schemeClr>
                  </a:gs>
                  <a:gs pos="50000">
                    <a:schemeClr val="tx2">
                      <a:tint val="44500"/>
                      <a:satMod val="160000"/>
                    </a:schemeClr>
                  </a:gs>
                  <a:gs pos="100000">
                    <a:schemeClr val="tx2">
                      <a:tint val="23500"/>
                      <a:satMod val="160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tx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0C-4873-B04A-A9C02A3ABF69}"/>
              </c:ext>
            </c:extLst>
          </c:dPt>
          <c:cat>
            <c:multiLvlStrRef>
              <c:f>'COVID19 assumptions'!$B$116:$G$118</c:f>
              <c:multiLvlStrCache>
                <c:ptCount val="6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20 weeks</c:v>
                  </c:pt>
                  <c:pt idx="5">
                    <c:v>52 Weeks</c:v>
                  </c:pt>
                </c:lvl>
                <c:lvl>
                  <c:pt idx="0">
                    <c:v>Jun</c:v>
                  </c:pt>
                  <c:pt idx="1">
                    <c:v>Aug</c:v>
                  </c:pt>
                  <c:pt idx="2">
                    <c:v>Oct</c:v>
                  </c:pt>
                  <c:pt idx="3">
                    <c:v>Dec</c:v>
                  </c:pt>
                  <c:pt idx="4">
                    <c:v>Feb</c:v>
                  </c:pt>
                  <c:pt idx="5">
                    <c:v>Jul</c:v>
                  </c:pt>
                </c:lvl>
                <c:lvl>
                  <c:pt idx="0">
                    <c:v>Aug</c:v>
                  </c:pt>
                  <c:pt idx="1">
                    <c:v>Oct</c:v>
                  </c:pt>
                  <c:pt idx="2">
                    <c:v>Dec</c:v>
                  </c:pt>
                  <c:pt idx="3">
                    <c:v>Feb</c:v>
                  </c:pt>
                  <c:pt idx="4">
                    <c:v>Jul</c:v>
                  </c:pt>
                  <c:pt idx="5">
                    <c:v>Jun</c:v>
                  </c:pt>
                </c:lvl>
              </c:multiLvlStrCache>
            </c:multiLvlStrRef>
          </c:cat>
          <c:val>
            <c:numRef>
              <c:f>'COVID19 assumptions'!$B$135:$G$135</c:f>
              <c:numCache>
                <c:formatCode>0%</c:formatCode>
                <c:ptCount val="6"/>
                <c:pt idx="0">
                  <c:v>-0.21</c:v>
                </c:pt>
                <c:pt idx="1">
                  <c:v>-4.2969228951183047E-2</c:v>
                </c:pt>
                <c:pt idx="2" formatCode="0.0%">
                  <c:v>0.11238742590161155</c:v>
                </c:pt>
                <c:pt idx="3" formatCode="0.0%">
                  <c:v>0.122</c:v>
                </c:pt>
                <c:pt idx="4" formatCode="0.0%">
                  <c:v>4.4926784190816749E-2</c:v>
                </c:pt>
                <c:pt idx="5" formatCode="0.0%">
                  <c:v>1.1323211673006428E-2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0C-4873-B04A-A9C02A3AB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82720"/>
        <c:axId val="23396032"/>
      </c:barChart>
      <c:catAx>
        <c:axId val="233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3396032"/>
        <c:crosses val="autoZero"/>
        <c:auto val="1"/>
        <c:lblAlgn val="ctr"/>
        <c:lblOffset val="100"/>
        <c:noMultiLvlLbl val="0"/>
      </c:catAx>
      <c:valAx>
        <c:axId val="23396032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338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'COVID19 assumptions'!$A$122</c:f>
          <c:strCache>
            <c:ptCount val="1"/>
            <c:pt idx="0">
              <c:v>Macpac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'COVID19 assumptions'!$A$118</c:f>
              <c:strCache>
                <c:ptCount val="1"/>
                <c:pt idx="0">
                  <c:v>FY20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'COVID19 assumptions'!$B$116:$G$118</c:f>
              <c:multiLvlStrCache>
                <c:ptCount val="6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20 weeks</c:v>
                  </c:pt>
                  <c:pt idx="5">
                    <c:v>52 Weeks</c:v>
                  </c:pt>
                </c:lvl>
                <c:lvl>
                  <c:pt idx="0">
                    <c:v>Jun</c:v>
                  </c:pt>
                  <c:pt idx="1">
                    <c:v>Aug</c:v>
                  </c:pt>
                  <c:pt idx="2">
                    <c:v>Oct</c:v>
                  </c:pt>
                  <c:pt idx="3">
                    <c:v>Dec</c:v>
                  </c:pt>
                  <c:pt idx="4">
                    <c:v>Feb</c:v>
                  </c:pt>
                  <c:pt idx="5">
                    <c:v>Jul</c:v>
                  </c:pt>
                </c:lvl>
                <c:lvl>
                  <c:pt idx="0">
                    <c:v>Aug</c:v>
                  </c:pt>
                  <c:pt idx="1">
                    <c:v>Oct</c:v>
                  </c:pt>
                  <c:pt idx="2">
                    <c:v>Dec</c:v>
                  </c:pt>
                  <c:pt idx="3">
                    <c:v>Feb</c:v>
                  </c:pt>
                  <c:pt idx="4">
                    <c:v>Jul</c:v>
                  </c:pt>
                  <c:pt idx="5">
                    <c:v>Jun</c:v>
                  </c:pt>
                </c:lvl>
              </c:multiLvlStrCache>
            </c:multiLvlStrRef>
          </c:cat>
          <c:val>
            <c:numRef>
              <c:f>'COVID19 assumptions'!$B$122:$G$122</c:f>
              <c:numCache>
                <c:formatCode>0.0%</c:formatCode>
                <c:ptCount val="6"/>
                <c:pt idx="0">
                  <c:v>-0.03</c:v>
                </c:pt>
                <c:pt idx="1">
                  <c:v>-1.5559966952024107E-2</c:v>
                </c:pt>
                <c:pt idx="2">
                  <c:v>-0.14335011808475195</c:v>
                </c:pt>
                <c:pt idx="3">
                  <c:v>-4.0000000000000001E-3</c:v>
                </c:pt>
                <c:pt idx="4" formatCode="0%">
                  <c:v>-5.2724633485962569E-2</c:v>
                </c:pt>
                <c:pt idx="5">
                  <c:v>-6.3096156187847585E-2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5F-4C61-953E-619C5FCBCFCF}"/>
            </c:ext>
          </c:extLst>
        </c:ser>
        <c:ser>
          <c:idx val="1"/>
          <c:order val="1"/>
          <c:tx>
            <c:strRef>
              <c:f>'COVID19 assumptions'!$A$125</c:f>
              <c:strCache>
                <c:ptCount val="1"/>
                <c:pt idx="0">
                  <c:v>FY21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'COVID19 assumptions'!$B$116:$G$118</c:f>
              <c:multiLvlStrCache>
                <c:ptCount val="6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20 weeks</c:v>
                  </c:pt>
                  <c:pt idx="5">
                    <c:v>52 Weeks</c:v>
                  </c:pt>
                </c:lvl>
                <c:lvl>
                  <c:pt idx="0">
                    <c:v>Jun</c:v>
                  </c:pt>
                  <c:pt idx="1">
                    <c:v>Aug</c:v>
                  </c:pt>
                  <c:pt idx="2">
                    <c:v>Oct</c:v>
                  </c:pt>
                  <c:pt idx="3">
                    <c:v>Dec</c:v>
                  </c:pt>
                  <c:pt idx="4">
                    <c:v>Feb</c:v>
                  </c:pt>
                  <c:pt idx="5">
                    <c:v>Jul</c:v>
                  </c:pt>
                </c:lvl>
                <c:lvl>
                  <c:pt idx="0">
                    <c:v>Aug</c:v>
                  </c:pt>
                  <c:pt idx="1">
                    <c:v>Oct</c:v>
                  </c:pt>
                  <c:pt idx="2">
                    <c:v>Dec</c:v>
                  </c:pt>
                  <c:pt idx="3">
                    <c:v>Feb</c:v>
                  </c:pt>
                  <c:pt idx="4">
                    <c:v>Jul</c:v>
                  </c:pt>
                  <c:pt idx="5">
                    <c:v>Jun</c:v>
                  </c:pt>
                </c:lvl>
              </c:multiLvlStrCache>
            </c:multiLvlStrRef>
          </c:cat>
          <c:val>
            <c:numRef>
              <c:f>'COVID19 assumptions'!$B$129:$G$129</c:f>
              <c:numCache>
                <c:formatCode>0.0%</c:formatCode>
                <c:ptCount val="6"/>
                <c:pt idx="0">
                  <c:v>0.16</c:v>
                </c:pt>
                <c:pt idx="1">
                  <c:v>-0.11394794256555307</c:v>
                </c:pt>
                <c:pt idx="2">
                  <c:v>-0.14558814737247516</c:v>
                </c:pt>
                <c:pt idx="3">
                  <c:v>0.08</c:v>
                </c:pt>
                <c:pt idx="4" formatCode="0%">
                  <c:v>0.18453351554869668</c:v>
                </c:pt>
                <c:pt idx="5">
                  <c:v>0.11585353359424611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5F-4C61-953E-619C5FCBCFCF}"/>
            </c:ext>
          </c:extLst>
        </c:ser>
        <c:ser>
          <c:idx val="2"/>
          <c:order val="2"/>
          <c:tx>
            <c:strRef>
              <c:f>'COVID19 assumptions'!$A$132</c:f>
              <c:strCache>
                <c:ptCount val="1"/>
                <c:pt idx="0">
                  <c:v>FY22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2"/>
              </a:solidFill>
              <a:prstDash val="solid"/>
            </a:ln>
            <a:effectLst/>
          </c:spPr>
          <c:invertIfNegative val="0"/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chemeClr val="tx2">
                      <a:tint val="66000"/>
                      <a:satMod val="160000"/>
                    </a:schemeClr>
                  </a:gs>
                  <a:gs pos="50000">
                    <a:schemeClr val="tx2">
                      <a:tint val="44500"/>
                      <a:satMod val="160000"/>
                    </a:schemeClr>
                  </a:gs>
                  <a:gs pos="100000">
                    <a:schemeClr val="tx2">
                      <a:tint val="23500"/>
                      <a:satMod val="160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tx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15F-4C61-953E-619C5FCBCFCF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chemeClr val="tx2">
                      <a:tint val="66000"/>
                      <a:satMod val="160000"/>
                    </a:schemeClr>
                  </a:gs>
                  <a:gs pos="50000">
                    <a:schemeClr val="tx2">
                      <a:tint val="44500"/>
                      <a:satMod val="160000"/>
                    </a:schemeClr>
                  </a:gs>
                  <a:gs pos="100000">
                    <a:schemeClr val="tx2">
                      <a:tint val="23500"/>
                      <a:satMod val="160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tx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4-E15F-4C61-953E-619C5FCBCFCF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chemeClr val="tx2">
                      <a:tint val="66000"/>
                      <a:satMod val="160000"/>
                    </a:schemeClr>
                  </a:gs>
                  <a:gs pos="50000">
                    <a:schemeClr val="tx2">
                      <a:tint val="44500"/>
                      <a:satMod val="160000"/>
                    </a:schemeClr>
                  </a:gs>
                  <a:gs pos="100000">
                    <a:schemeClr val="tx2">
                      <a:tint val="23500"/>
                      <a:satMod val="160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tx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E15F-4C61-953E-619C5FCBCFCF}"/>
              </c:ext>
            </c:extLst>
          </c:dPt>
          <c:cat>
            <c:multiLvlStrRef>
              <c:f>'COVID19 assumptions'!$B$116:$G$118</c:f>
              <c:multiLvlStrCache>
                <c:ptCount val="6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20 weeks</c:v>
                  </c:pt>
                  <c:pt idx="5">
                    <c:v>52 Weeks</c:v>
                  </c:pt>
                </c:lvl>
                <c:lvl>
                  <c:pt idx="0">
                    <c:v>Jun</c:v>
                  </c:pt>
                  <c:pt idx="1">
                    <c:v>Aug</c:v>
                  </c:pt>
                  <c:pt idx="2">
                    <c:v>Oct</c:v>
                  </c:pt>
                  <c:pt idx="3">
                    <c:v>Dec</c:v>
                  </c:pt>
                  <c:pt idx="4">
                    <c:v>Feb</c:v>
                  </c:pt>
                  <c:pt idx="5">
                    <c:v>Jul</c:v>
                  </c:pt>
                </c:lvl>
                <c:lvl>
                  <c:pt idx="0">
                    <c:v>Aug</c:v>
                  </c:pt>
                  <c:pt idx="1">
                    <c:v>Oct</c:v>
                  </c:pt>
                  <c:pt idx="2">
                    <c:v>Dec</c:v>
                  </c:pt>
                  <c:pt idx="3">
                    <c:v>Feb</c:v>
                  </c:pt>
                  <c:pt idx="4">
                    <c:v>Jul</c:v>
                  </c:pt>
                  <c:pt idx="5">
                    <c:v>Jun</c:v>
                  </c:pt>
                </c:lvl>
              </c:multiLvlStrCache>
            </c:multiLvlStrRef>
          </c:cat>
          <c:val>
            <c:numRef>
              <c:f>'COVID19 assumptions'!$B$136:$G$136</c:f>
              <c:numCache>
                <c:formatCode>0%</c:formatCode>
                <c:ptCount val="6"/>
                <c:pt idx="0">
                  <c:v>-0.02</c:v>
                </c:pt>
                <c:pt idx="1">
                  <c:v>-0.15767922266929812</c:v>
                </c:pt>
                <c:pt idx="2" formatCode="0.0%">
                  <c:v>0.15006488430464149</c:v>
                </c:pt>
                <c:pt idx="3" formatCode="0.0%">
                  <c:v>0.08</c:v>
                </c:pt>
                <c:pt idx="4" formatCode="0.0%">
                  <c:v>-3.3036140751850018E-2</c:v>
                </c:pt>
                <c:pt idx="5" formatCode="0.0%">
                  <c:v>5.947994525739575E-2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5F-4C61-953E-619C5FCBC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82720"/>
        <c:axId val="23396032"/>
      </c:barChart>
      <c:catAx>
        <c:axId val="233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3396032"/>
        <c:crosses val="autoZero"/>
        <c:auto val="1"/>
        <c:lblAlgn val="ctr"/>
        <c:lblOffset val="100"/>
        <c:noMultiLvlLbl val="0"/>
      </c:catAx>
      <c:valAx>
        <c:axId val="23396032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338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'COVID19 assumptions'!$A$120</c:f>
          <c:strCache>
            <c:ptCount val="1"/>
            <c:pt idx="0">
              <c:v>Rebel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'COVID19 assumptions'!$A$118</c:f>
              <c:strCache>
                <c:ptCount val="1"/>
                <c:pt idx="0">
                  <c:v>FY20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'COVID19 assumptions'!$B$116:$G$118</c:f>
              <c:multiLvlStrCache>
                <c:ptCount val="6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20 weeks</c:v>
                  </c:pt>
                  <c:pt idx="5">
                    <c:v>52 Weeks</c:v>
                  </c:pt>
                </c:lvl>
                <c:lvl>
                  <c:pt idx="0">
                    <c:v>Jun</c:v>
                  </c:pt>
                  <c:pt idx="1">
                    <c:v>Aug</c:v>
                  </c:pt>
                  <c:pt idx="2">
                    <c:v>Oct</c:v>
                  </c:pt>
                  <c:pt idx="3">
                    <c:v>Dec</c:v>
                  </c:pt>
                  <c:pt idx="4">
                    <c:v>Feb</c:v>
                  </c:pt>
                  <c:pt idx="5">
                    <c:v>Jul</c:v>
                  </c:pt>
                </c:lvl>
                <c:lvl>
                  <c:pt idx="0">
                    <c:v>Aug</c:v>
                  </c:pt>
                  <c:pt idx="1">
                    <c:v>Oct</c:v>
                  </c:pt>
                  <c:pt idx="2">
                    <c:v>Dec</c:v>
                  </c:pt>
                  <c:pt idx="3">
                    <c:v>Feb</c:v>
                  </c:pt>
                  <c:pt idx="4">
                    <c:v>Jul</c:v>
                  </c:pt>
                  <c:pt idx="5">
                    <c:v>Jun</c:v>
                  </c:pt>
                </c:lvl>
              </c:multiLvlStrCache>
            </c:multiLvlStrRef>
          </c:cat>
          <c:val>
            <c:numRef>
              <c:f>'COVID19 assumptions'!$B$120:$G$120</c:f>
              <c:numCache>
                <c:formatCode>0.0%</c:formatCode>
                <c:ptCount val="6"/>
                <c:pt idx="0">
                  <c:v>0.02</c:v>
                </c:pt>
                <c:pt idx="1">
                  <c:v>3.7656859607721582E-2</c:v>
                </c:pt>
                <c:pt idx="2">
                  <c:v>3.6208072965381088E-2</c:v>
                </c:pt>
                <c:pt idx="3">
                  <c:v>5.8000000000000003E-2</c:v>
                </c:pt>
                <c:pt idx="4" formatCode="0%">
                  <c:v>1.9353968298625679E-2</c:v>
                </c:pt>
                <c:pt idx="5">
                  <c:v>1.8658486797823892E-2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4-4C7C-8DFD-1389AACAA6DC}"/>
            </c:ext>
          </c:extLst>
        </c:ser>
        <c:ser>
          <c:idx val="1"/>
          <c:order val="1"/>
          <c:tx>
            <c:strRef>
              <c:f>'COVID19 assumptions'!$A$125</c:f>
              <c:strCache>
                <c:ptCount val="1"/>
                <c:pt idx="0">
                  <c:v>FY21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'COVID19 assumptions'!$B$116:$G$118</c:f>
              <c:multiLvlStrCache>
                <c:ptCount val="6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20 weeks</c:v>
                  </c:pt>
                  <c:pt idx="5">
                    <c:v>52 Weeks</c:v>
                  </c:pt>
                </c:lvl>
                <c:lvl>
                  <c:pt idx="0">
                    <c:v>Jun</c:v>
                  </c:pt>
                  <c:pt idx="1">
                    <c:v>Aug</c:v>
                  </c:pt>
                  <c:pt idx="2">
                    <c:v>Oct</c:v>
                  </c:pt>
                  <c:pt idx="3">
                    <c:v>Dec</c:v>
                  </c:pt>
                  <c:pt idx="4">
                    <c:v>Feb</c:v>
                  </c:pt>
                  <c:pt idx="5">
                    <c:v>Jul</c:v>
                  </c:pt>
                </c:lvl>
                <c:lvl>
                  <c:pt idx="0">
                    <c:v>Aug</c:v>
                  </c:pt>
                  <c:pt idx="1">
                    <c:v>Oct</c:v>
                  </c:pt>
                  <c:pt idx="2">
                    <c:v>Dec</c:v>
                  </c:pt>
                  <c:pt idx="3">
                    <c:v>Feb</c:v>
                  </c:pt>
                  <c:pt idx="4">
                    <c:v>Jul</c:v>
                  </c:pt>
                  <c:pt idx="5">
                    <c:v>Jun</c:v>
                  </c:pt>
                </c:lvl>
              </c:multiLvlStrCache>
            </c:multiLvlStrRef>
          </c:cat>
          <c:val>
            <c:numRef>
              <c:f>'COVID19 assumptions'!$B$127:$G$127</c:f>
              <c:numCache>
                <c:formatCode>0.0%</c:formatCode>
                <c:ptCount val="6"/>
                <c:pt idx="0">
                  <c:v>0.3</c:v>
                </c:pt>
                <c:pt idx="1">
                  <c:v>7.1070936937017271E-2</c:v>
                </c:pt>
                <c:pt idx="2">
                  <c:v>0.22485403175843244</c:v>
                </c:pt>
                <c:pt idx="3">
                  <c:v>0.184</c:v>
                </c:pt>
                <c:pt idx="4" formatCode="0%">
                  <c:v>0.18194180125928239</c:v>
                </c:pt>
                <c:pt idx="5">
                  <c:v>0.18197019950055648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4-4C7C-8DFD-1389AACAA6DC}"/>
            </c:ext>
          </c:extLst>
        </c:ser>
        <c:ser>
          <c:idx val="2"/>
          <c:order val="2"/>
          <c:tx>
            <c:strRef>
              <c:f>'COVID19 assumptions'!$A$132</c:f>
              <c:strCache>
                <c:ptCount val="1"/>
                <c:pt idx="0">
                  <c:v>FY22</c:v>
                </c:pt>
              </c:strCache>
            </c:strRef>
          </c:tx>
          <c:spPr>
            <a:solidFill>
              <a:schemeClr val="tx2"/>
            </a:solidFill>
            <a:ln w="9525">
              <a:solidFill>
                <a:schemeClr val="tx2"/>
              </a:solidFill>
              <a:prstDash val="solid"/>
            </a:ln>
            <a:effectLst/>
          </c:spPr>
          <c:invertIfNegative val="0"/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chemeClr val="tx2">
                      <a:tint val="66000"/>
                      <a:satMod val="160000"/>
                    </a:schemeClr>
                  </a:gs>
                  <a:gs pos="50000">
                    <a:schemeClr val="tx2">
                      <a:tint val="44500"/>
                      <a:satMod val="160000"/>
                    </a:schemeClr>
                  </a:gs>
                  <a:gs pos="100000">
                    <a:schemeClr val="tx2">
                      <a:tint val="23500"/>
                      <a:satMod val="160000"/>
                    </a:schemeClr>
                  </a:gs>
                </a:gsLst>
                <a:lin ang="2700000" scaled="1"/>
                <a:tileRect/>
              </a:gradFill>
              <a:ln w="9525">
                <a:solidFill>
                  <a:schemeClr val="tx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DB64-4C7C-8DFD-1389AACAA6DC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chemeClr val="tx2">
                      <a:tint val="66000"/>
                      <a:satMod val="160000"/>
                    </a:schemeClr>
                  </a:gs>
                  <a:gs pos="50000">
                    <a:schemeClr val="tx2">
                      <a:tint val="44500"/>
                      <a:satMod val="160000"/>
                    </a:schemeClr>
                  </a:gs>
                  <a:gs pos="100000">
                    <a:schemeClr val="tx2">
                      <a:tint val="23500"/>
                      <a:satMod val="160000"/>
                    </a:schemeClr>
                  </a:gs>
                </a:gsLst>
                <a:lin ang="2700000" scaled="1"/>
                <a:tileRect/>
              </a:gradFill>
              <a:ln w="9525">
                <a:solidFill>
                  <a:schemeClr val="tx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4-DB64-4C7C-8DFD-1389AACAA6DC}"/>
              </c:ext>
            </c:extLst>
          </c:dPt>
          <c:dPt>
            <c:idx val="4"/>
            <c:invertIfNegative val="0"/>
            <c:bubble3D val="0"/>
            <c:spPr>
              <a:gradFill flip="none" rotWithShape="1">
                <a:gsLst>
                  <a:gs pos="0">
                    <a:schemeClr val="tx2">
                      <a:tint val="66000"/>
                      <a:satMod val="160000"/>
                    </a:schemeClr>
                  </a:gs>
                  <a:gs pos="50000">
                    <a:schemeClr val="tx2">
                      <a:tint val="44500"/>
                      <a:satMod val="160000"/>
                    </a:schemeClr>
                  </a:gs>
                  <a:gs pos="100000">
                    <a:schemeClr val="tx2">
                      <a:tint val="23500"/>
                      <a:satMod val="160000"/>
                    </a:schemeClr>
                  </a:gs>
                </a:gsLst>
                <a:lin ang="2700000" scaled="1"/>
                <a:tileRect/>
              </a:gradFill>
              <a:ln w="9525">
                <a:solidFill>
                  <a:schemeClr val="tx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DB64-4C7C-8DFD-1389AACAA6DC}"/>
              </c:ext>
            </c:extLst>
          </c:dPt>
          <c:cat>
            <c:multiLvlStrRef>
              <c:f>'COVID19 assumptions'!$B$116:$G$118</c:f>
              <c:multiLvlStrCache>
                <c:ptCount val="6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20 weeks</c:v>
                  </c:pt>
                  <c:pt idx="5">
                    <c:v>52 Weeks</c:v>
                  </c:pt>
                </c:lvl>
                <c:lvl>
                  <c:pt idx="0">
                    <c:v>Jun</c:v>
                  </c:pt>
                  <c:pt idx="1">
                    <c:v>Aug</c:v>
                  </c:pt>
                  <c:pt idx="2">
                    <c:v>Oct</c:v>
                  </c:pt>
                  <c:pt idx="3">
                    <c:v>Dec</c:v>
                  </c:pt>
                  <c:pt idx="4">
                    <c:v>Feb</c:v>
                  </c:pt>
                  <c:pt idx="5">
                    <c:v>Jul</c:v>
                  </c:pt>
                </c:lvl>
                <c:lvl>
                  <c:pt idx="0">
                    <c:v>Aug</c:v>
                  </c:pt>
                  <c:pt idx="1">
                    <c:v>Oct</c:v>
                  </c:pt>
                  <c:pt idx="2">
                    <c:v>Dec</c:v>
                  </c:pt>
                  <c:pt idx="3">
                    <c:v>Feb</c:v>
                  </c:pt>
                  <c:pt idx="4">
                    <c:v>Jul</c:v>
                  </c:pt>
                  <c:pt idx="5">
                    <c:v>Jun</c:v>
                  </c:pt>
                </c:lvl>
              </c:multiLvlStrCache>
            </c:multiLvlStrRef>
          </c:cat>
          <c:val>
            <c:numRef>
              <c:f>'COVID19 assumptions'!$B$134:$G$134</c:f>
              <c:numCache>
                <c:formatCode>0%</c:formatCode>
                <c:ptCount val="6"/>
                <c:pt idx="0">
                  <c:v>-0.16</c:v>
                </c:pt>
                <c:pt idx="1">
                  <c:v>-5.0385715727827241E-2</c:v>
                </c:pt>
                <c:pt idx="2" formatCode="0.0%">
                  <c:v>1.052021501158551E-2</c:v>
                </c:pt>
                <c:pt idx="3" formatCode="0.0%">
                  <c:v>-2.4E-2</c:v>
                </c:pt>
                <c:pt idx="4" formatCode="0.0%">
                  <c:v>-1.3778066743645345E-2</c:v>
                </c:pt>
                <c:pt idx="5" formatCode="0.0%">
                  <c:v>2.905342360229568E-2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4-4C7C-8DFD-1389AACAA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82720"/>
        <c:axId val="23396032"/>
      </c:barChart>
      <c:catAx>
        <c:axId val="233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3396032"/>
        <c:crosses val="autoZero"/>
        <c:auto val="1"/>
        <c:lblAlgn val="ctr"/>
        <c:lblOffset val="100"/>
        <c:noMultiLvlLbl val="0"/>
      </c:catAx>
      <c:valAx>
        <c:axId val="23396032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338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59468593823029E-2"/>
          <c:y val="5.0925925925925923E-2"/>
          <c:w val="0.91689271717747611"/>
          <c:h val="0.52814507479067752"/>
        </c:manualLayout>
      </c:layout>
      <c:lineChart>
        <c:grouping val="standard"/>
        <c:varyColors val="0"/>
        <c:ser>
          <c:idx val="0"/>
          <c:order val="0"/>
          <c:tx>
            <c:strRef>
              <c:f>'COVID19 assumptions'!$A$95</c:f>
              <c:strCache>
                <c:ptCount val="1"/>
                <c:pt idx="0">
                  <c:v>Supercheap Auto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assumptions'!$B$92:$R$94</c:f>
              <c:multiLvlStrCache>
                <c:ptCount val="17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5 weeks</c:v>
                  </c:pt>
                  <c:pt idx="5">
                    <c:v>9 weeks</c:v>
                  </c:pt>
                  <c:pt idx="6">
                    <c:v>5 weeks</c:v>
                  </c:pt>
                  <c:pt idx="7">
                    <c:v>7 weeks</c:v>
                  </c:pt>
                  <c:pt idx="8">
                    <c:v>10 weeks</c:v>
                  </c:pt>
                  <c:pt idx="9">
                    <c:v>9 weeks</c:v>
                  </c:pt>
                  <c:pt idx="10">
                    <c:v>7 weeks</c:v>
                  </c:pt>
                  <c:pt idx="11">
                    <c:v>11 weeks</c:v>
                  </c:pt>
                  <c:pt idx="12">
                    <c:v>8 weeks</c:v>
                  </c:pt>
                  <c:pt idx="13">
                    <c:v>7 weeks</c:v>
                  </c:pt>
                  <c:pt idx="14">
                    <c:v>9 weeks</c:v>
                  </c:pt>
                  <c:pt idx="15">
                    <c:v>10 weeks </c:v>
                  </c:pt>
                  <c:pt idx="16">
                    <c:v>7 weeks</c:v>
                  </c:pt>
                </c:lvl>
                <c:lvl>
                  <c:pt idx="0">
                    <c:v>Jun-19</c:v>
                  </c:pt>
                  <c:pt idx="1">
                    <c:v>Aug-19</c:v>
                  </c:pt>
                  <c:pt idx="2">
                    <c:v>Oct-19</c:v>
                  </c:pt>
                  <c:pt idx="3">
                    <c:v>Dec-19</c:v>
                  </c:pt>
                  <c:pt idx="4">
                    <c:v>Feb-20</c:v>
                  </c:pt>
                  <c:pt idx="5">
                    <c:v>Mar-20</c:v>
                  </c:pt>
                  <c:pt idx="6">
                    <c:v>May-20</c:v>
                  </c:pt>
                  <c:pt idx="7">
                    <c:v>Jun-20</c:v>
                  </c:pt>
                  <c:pt idx="8">
                    <c:v>Aug-20</c:v>
                  </c:pt>
                  <c:pt idx="9">
                    <c:v>Oct-20</c:v>
                  </c:pt>
                  <c:pt idx="10">
                    <c:v>Dec-20</c:v>
                  </c:pt>
                  <c:pt idx="11">
                    <c:v>Feb-21</c:v>
                  </c:pt>
                  <c:pt idx="12">
                    <c:v>May-21</c:v>
                  </c:pt>
                  <c:pt idx="13">
                    <c:v>Jun-21</c:v>
                  </c:pt>
                  <c:pt idx="14">
                    <c:v>Aug-21</c:v>
                  </c:pt>
                  <c:pt idx="15">
                    <c:v>Oct-21</c:v>
                  </c:pt>
                  <c:pt idx="16">
                    <c:v>Dec-21</c:v>
                  </c:pt>
                </c:lvl>
                <c:lvl>
                  <c:pt idx="0">
                    <c:v>Aug-19</c:v>
                  </c:pt>
                  <c:pt idx="1">
                    <c:v>Oct-19</c:v>
                  </c:pt>
                  <c:pt idx="2">
                    <c:v>Dec-19</c:v>
                  </c:pt>
                  <c:pt idx="3">
                    <c:v>Feb-20</c:v>
                  </c:pt>
                  <c:pt idx="4">
                    <c:v>Mar-20</c:v>
                  </c:pt>
                  <c:pt idx="5">
                    <c:v>May-20</c:v>
                  </c:pt>
                  <c:pt idx="6">
                    <c:v>Jun-20</c:v>
                  </c:pt>
                  <c:pt idx="7">
                    <c:v>Aug-20</c:v>
                  </c:pt>
                  <c:pt idx="8">
                    <c:v>Oct-20</c:v>
                  </c:pt>
                  <c:pt idx="9">
                    <c:v>Dec-20</c:v>
                  </c:pt>
                  <c:pt idx="10">
                    <c:v>Feb-21</c:v>
                  </c:pt>
                  <c:pt idx="11">
                    <c:v>May-21</c:v>
                  </c:pt>
                  <c:pt idx="12">
                    <c:v>Jun-21</c:v>
                  </c:pt>
                  <c:pt idx="13">
                    <c:v>Aug-21</c:v>
                  </c:pt>
                  <c:pt idx="14">
                    <c:v>Oct-21</c:v>
                  </c:pt>
                  <c:pt idx="15">
                    <c:v>Dec-21</c:v>
                  </c:pt>
                  <c:pt idx="16">
                    <c:v>Feb-22</c:v>
                  </c:pt>
                </c:lvl>
              </c:multiLvlStrCache>
            </c:multiLvlStrRef>
          </c:cat>
          <c:val>
            <c:numRef>
              <c:f>'COVID19 assumptions'!$B$95:$R$95</c:f>
              <c:numCache>
                <c:formatCode>0.0%</c:formatCode>
                <c:ptCount val="17"/>
                <c:pt idx="0">
                  <c:v>0.03</c:v>
                </c:pt>
                <c:pt idx="1">
                  <c:v>2.5204195805225593E-2</c:v>
                </c:pt>
                <c:pt idx="2">
                  <c:v>1.9218217195807075E-2</c:v>
                </c:pt>
                <c:pt idx="3" formatCode="0.00%">
                  <c:v>3.1E-2</c:v>
                </c:pt>
                <c:pt idx="4" formatCode="0.00%">
                  <c:v>7.4999999999999997E-2</c:v>
                </c:pt>
                <c:pt idx="5" formatCode="0.00%">
                  <c:v>3.6999999999999998E-2</c:v>
                </c:pt>
                <c:pt idx="6" formatCode="0.00%">
                  <c:v>0.39400000000000002</c:v>
                </c:pt>
                <c:pt idx="7" formatCode="0%">
                  <c:v>0.23</c:v>
                </c:pt>
                <c:pt idx="8" formatCode="0%">
                  <c:v>0.19619381223771026</c:v>
                </c:pt>
                <c:pt idx="9">
                  <c:v>0.16075529582191939</c:v>
                </c:pt>
                <c:pt idx="10">
                  <c:v>0.23100000000000001</c:v>
                </c:pt>
                <c:pt idx="11">
                  <c:v>0.23124533843822401</c:v>
                </c:pt>
                <c:pt idx="12">
                  <c:v>-6.8498552073964825E-2</c:v>
                </c:pt>
                <c:pt idx="13">
                  <c:v>-0.11</c:v>
                </c:pt>
                <c:pt idx="14">
                  <c:v>-0.1452443120357958</c:v>
                </c:pt>
                <c:pt idx="15">
                  <c:v>1.4597104271831807E-2</c:v>
                </c:pt>
                <c:pt idx="16">
                  <c:v>9.2999999999999999E-2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A-43A3-97AF-359A4EA8CFE5}"/>
            </c:ext>
          </c:extLst>
        </c:ser>
        <c:ser>
          <c:idx val="1"/>
          <c:order val="1"/>
          <c:tx>
            <c:strRef>
              <c:f>'COVID19 assumptions'!$A$96</c:f>
              <c:strCache>
                <c:ptCount val="1"/>
                <c:pt idx="0">
                  <c:v>Rebel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assumptions'!$B$92:$R$94</c:f>
              <c:multiLvlStrCache>
                <c:ptCount val="17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5 weeks</c:v>
                  </c:pt>
                  <c:pt idx="5">
                    <c:v>9 weeks</c:v>
                  </c:pt>
                  <c:pt idx="6">
                    <c:v>5 weeks</c:v>
                  </c:pt>
                  <c:pt idx="7">
                    <c:v>7 weeks</c:v>
                  </c:pt>
                  <c:pt idx="8">
                    <c:v>10 weeks</c:v>
                  </c:pt>
                  <c:pt idx="9">
                    <c:v>9 weeks</c:v>
                  </c:pt>
                  <c:pt idx="10">
                    <c:v>7 weeks</c:v>
                  </c:pt>
                  <c:pt idx="11">
                    <c:v>11 weeks</c:v>
                  </c:pt>
                  <c:pt idx="12">
                    <c:v>8 weeks</c:v>
                  </c:pt>
                  <c:pt idx="13">
                    <c:v>7 weeks</c:v>
                  </c:pt>
                  <c:pt idx="14">
                    <c:v>9 weeks</c:v>
                  </c:pt>
                  <c:pt idx="15">
                    <c:v>10 weeks </c:v>
                  </c:pt>
                  <c:pt idx="16">
                    <c:v>7 weeks</c:v>
                  </c:pt>
                </c:lvl>
                <c:lvl>
                  <c:pt idx="0">
                    <c:v>Jun-19</c:v>
                  </c:pt>
                  <c:pt idx="1">
                    <c:v>Aug-19</c:v>
                  </c:pt>
                  <c:pt idx="2">
                    <c:v>Oct-19</c:v>
                  </c:pt>
                  <c:pt idx="3">
                    <c:v>Dec-19</c:v>
                  </c:pt>
                  <c:pt idx="4">
                    <c:v>Feb-20</c:v>
                  </c:pt>
                  <c:pt idx="5">
                    <c:v>Mar-20</c:v>
                  </c:pt>
                  <c:pt idx="6">
                    <c:v>May-20</c:v>
                  </c:pt>
                  <c:pt idx="7">
                    <c:v>Jun-20</c:v>
                  </c:pt>
                  <c:pt idx="8">
                    <c:v>Aug-20</c:v>
                  </c:pt>
                  <c:pt idx="9">
                    <c:v>Oct-20</c:v>
                  </c:pt>
                  <c:pt idx="10">
                    <c:v>Dec-20</c:v>
                  </c:pt>
                  <c:pt idx="11">
                    <c:v>Feb-21</c:v>
                  </c:pt>
                  <c:pt idx="12">
                    <c:v>May-21</c:v>
                  </c:pt>
                  <c:pt idx="13">
                    <c:v>Jun-21</c:v>
                  </c:pt>
                  <c:pt idx="14">
                    <c:v>Aug-21</c:v>
                  </c:pt>
                  <c:pt idx="15">
                    <c:v>Oct-21</c:v>
                  </c:pt>
                  <c:pt idx="16">
                    <c:v>Dec-21</c:v>
                  </c:pt>
                </c:lvl>
                <c:lvl>
                  <c:pt idx="0">
                    <c:v>Aug-19</c:v>
                  </c:pt>
                  <c:pt idx="1">
                    <c:v>Oct-19</c:v>
                  </c:pt>
                  <c:pt idx="2">
                    <c:v>Dec-19</c:v>
                  </c:pt>
                  <c:pt idx="3">
                    <c:v>Feb-20</c:v>
                  </c:pt>
                  <c:pt idx="4">
                    <c:v>Mar-20</c:v>
                  </c:pt>
                  <c:pt idx="5">
                    <c:v>May-20</c:v>
                  </c:pt>
                  <c:pt idx="6">
                    <c:v>Jun-20</c:v>
                  </c:pt>
                  <c:pt idx="7">
                    <c:v>Aug-20</c:v>
                  </c:pt>
                  <c:pt idx="8">
                    <c:v>Oct-20</c:v>
                  </c:pt>
                  <c:pt idx="9">
                    <c:v>Dec-20</c:v>
                  </c:pt>
                  <c:pt idx="10">
                    <c:v>Feb-21</c:v>
                  </c:pt>
                  <c:pt idx="11">
                    <c:v>May-21</c:v>
                  </c:pt>
                  <c:pt idx="12">
                    <c:v>Jun-21</c:v>
                  </c:pt>
                  <c:pt idx="13">
                    <c:v>Aug-21</c:v>
                  </c:pt>
                  <c:pt idx="14">
                    <c:v>Oct-21</c:v>
                  </c:pt>
                  <c:pt idx="15">
                    <c:v>Dec-21</c:v>
                  </c:pt>
                  <c:pt idx="16">
                    <c:v>Feb-22</c:v>
                  </c:pt>
                </c:lvl>
              </c:multiLvlStrCache>
            </c:multiLvlStrRef>
          </c:cat>
          <c:val>
            <c:numRef>
              <c:f>'COVID19 assumptions'!$B$96:$R$96</c:f>
              <c:numCache>
                <c:formatCode>0.0%</c:formatCode>
                <c:ptCount val="17"/>
                <c:pt idx="0">
                  <c:v>0.02</c:v>
                </c:pt>
                <c:pt idx="1">
                  <c:v>3.7656859607721582E-2</c:v>
                </c:pt>
                <c:pt idx="2">
                  <c:v>3.6208072965381088E-2</c:v>
                </c:pt>
                <c:pt idx="3" formatCode="0.00%">
                  <c:v>5.8000000000000003E-2</c:v>
                </c:pt>
                <c:pt idx="4" formatCode="0.00%">
                  <c:v>1.6E-2</c:v>
                </c:pt>
                <c:pt idx="5" formatCode="0.00%">
                  <c:v>-2.3E-2</c:v>
                </c:pt>
                <c:pt idx="6" formatCode="0.00%">
                  <c:v>5.5E-2</c:v>
                </c:pt>
                <c:pt idx="7" formatCode="0%">
                  <c:v>0.3</c:v>
                </c:pt>
                <c:pt idx="8" formatCode="0%">
                  <c:v>7.1070936937017271E-2</c:v>
                </c:pt>
                <c:pt idx="9">
                  <c:v>0.22485403175843244</c:v>
                </c:pt>
                <c:pt idx="10">
                  <c:v>0.184</c:v>
                </c:pt>
                <c:pt idx="11">
                  <c:v>0.28150614626317161</c:v>
                </c:pt>
                <c:pt idx="12">
                  <c:v>9.0205438935147431E-2</c:v>
                </c:pt>
                <c:pt idx="13">
                  <c:v>-0.16</c:v>
                </c:pt>
                <c:pt idx="14">
                  <c:v>-5.0385715727827241E-2</c:v>
                </c:pt>
                <c:pt idx="15">
                  <c:v>1.052021501158551E-2</c:v>
                </c:pt>
                <c:pt idx="16">
                  <c:v>-2.4E-2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0A-43A3-97AF-359A4EA8CFE5}"/>
            </c:ext>
          </c:extLst>
        </c:ser>
        <c:ser>
          <c:idx val="2"/>
          <c:order val="2"/>
          <c:tx>
            <c:strRef>
              <c:f>'COVID19 assumptions'!$A$97</c:f>
              <c:strCache>
                <c:ptCount val="1"/>
                <c:pt idx="0">
                  <c:v>BCF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assumptions'!$B$92:$R$94</c:f>
              <c:multiLvlStrCache>
                <c:ptCount val="17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5 weeks</c:v>
                  </c:pt>
                  <c:pt idx="5">
                    <c:v>9 weeks</c:v>
                  </c:pt>
                  <c:pt idx="6">
                    <c:v>5 weeks</c:v>
                  </c:pt>
                  <c:pt idx="7">
                    <c:v>7 weeks</c:v>
                  </c:pt>
                  <c:pt idx="8">
                    <c:v>10 weeks</c:v>
                  </c:pt>
                  <c:pt idx="9">
                    <c:v>9 weeks</c:v>
                  </c:pt>
                  <c:pt idx="10">
                    <c:v>7 weeks</c:v>
                  </c:pt>
                  <c:pt idx="11">
                    <c:v>11 weeks</c:v>
                  </c:pt>
                  <c:pt idx="12">
                    <c:v>8 weeks</c:v>
                  </c:pt>
                  <c:pt idx="13">
                    <c:v>7 weeks</c:v>
                  </c:pt>
                  <c:pt idx="14">
                    <c:v>9 weeks</c:v>
                  </c:pt>
                  <c:pt idx="15">
                    <c:v>10 weeks </c:v>
                  </c:pt>
                  <c:pt idx="16">
                    <c:v>7 weeks</c:v>
                  </c:pt>
                </c:lvl>
                <c:lvl>
                  <c:pt idx="0">
                    <c:v>Jun-19</c:v>
                  </c:pt>
                  <c:pt idx="1">
                    <c:v>Aug-19</c:v>
                  </c:pt>
                  <c:pt idx="2">
                    <c:v>Oct-19</c:v>
                  </c:pt>
                  <c:pt idx="3">
                    <c:v>Dec-19</c:v>
                  </c:pt>
                  <c:pt idx="4">
                    <c:v>Feb-20</c:v>
                  </c:pt>
                  <c:pt idx="5">
                    <c:v>Mar-20</c:v>
                  </c:pt>
                  <c:pt idx="6">
                    <c:v>May-20</c:v>
                  </c:pt>
                  <c:pt idx="7">
                    <c:v>Jun-20</c:v>
                  </c:pt>
                  <c:pt idx="8">
                    <c:v>Aug-20</c:v>
                  </c:pt>
                  <c:pt idx="9">
                    <c:v>Oct-20</c:v>
                  </c:pt>
                  <c:pt idx="10">
                    <c:v>Dec-20</c:v>
                  </c:pt>
                  <c:pt idx="11">
                    <c:v>Feb-21</c:v>
                  </c:pt>
                  <c:pt idx="12">
                    <c:v>May-21</c:v>
                  </c:pt>
                  <c:pt idx="13">
                    <c:v>Jun-21</c:v>
                  </c:pt>
                  <c:pt idx="14">
                    <c:v>Aug-21</c:v>
                  </c:pt>
                  <c:pt idx="15">
                    <c:v>Oct-21</c:v>
                  </c:pt>
                  <c:pt idx="16">
                    <c:v>Dec-21</c:v>
                  </c:pt>
                </c:lvl>
                <c:lvl>
                  <c:pt idx="0">
                    <c:v>Aug-19</c:v>
                  </c:pt>
                  <c:pt idx="1">
                    <c:v>Oct-19</c:v>
                  </c:pt>
                  <c:pt idx="2">
                    <c:v>Dec-19</c:v>
                  </c:pt>
                  <c:pt idx="3">
                    <c:v>Feb-20</c:v>
                  </c:pt>
                  <c:pt idx="4">
                    <c:v>Mar-20</c:v>
                  </c:pt>
                  <c:pt idx="5">
                    <c:v>May-20</c:v>
                  </c:pt>
                  <c:pt idx="6">
                    <c:v>Jun-20</c:v>
                  </c:pt>
                  <c:pt idx="7">
                    <c:v>Aug-20</c:v>
                  </c:pt>
                  <c:pt idx="8">
                    <c:v>Oct-20</c:v>
                  </c:pt>
                  <c:pt idx="9">
                    <c:v>Dec-20</c:v>
                  </c:pt>
                  <c:pt idx="10">
                    <c:v>Feb-21</c:v>
                  </c:pt>
                  <c:pt idx="11">
                    <c:v>May-21</c:v>
                  </c:pt>
                  <c:pt idx="12">
                    <c:v>Jun-21</c:v>
                  </c:pt>
                  <c:pt idx="13">
                    <c:v>Aug-21</c:v>
                  </c:pt>
                  <c:pt idx="14">
                    <c:v>Oct-21</c:v>
                  </c:pt>
                  <c:pt idx="15">
                    <c:v>Dec-21</c:v>
                  </c:pt>
                  <c:pt idx="16">
                    <c:v>Feb-22</c:v>
                  </c:pt>
                </c:lvl>
              </c:multiLvlStrCache>
            </c:multiLvlStrRef>
          </c:cat>
          <c:val>
            <c:numRef>
              <c:f>'COVID19 assumptions'!$B$97:$R$97</c:f>
              <c:numCache>
                <c:formatCode>0.0%</c:formatCode>
                <c:ptCount val="17"/>
                <c:pt idx="0">
                  <c:v>0.05</c:v>
                </c:pt>
                <c:pt idx="1">
                  <c:v>7.4102662197418123E-2</c:v>
                </c:pt>
                <c:pt idx="2">
                  <c:v>-0.10755669164784654</c:v>
                </c:pt>
                <c:pt idx="3" formatCode="0.00%">
                  <c:v>-0.08</c:v>
                </c:pt>
                <c:pt idx="4" formatCode="0.00%">
                  <c:v>-0.03</c:v>
                </c:pt>
                <c:pt idx="5" formatCode="0.00%">
                  <c:v>-7.0000000000000001E-3</c:v>
                </c:pt>
                <c:pt idx="6" formatCode="0.00%">
                  <c:v>0.68600000000000005</c:v>
                </c:pt>
                <c:pt idx="7" formatCode="0%">
                  <c:v>0.72</c:v>
                </c:pt>
                <c:pt idx="8" formatCode="0%">
                  <c:v>0.53721309854857657</c:v>
                </c:pt>
                <c:pt idx="9">
                  <c:v>0.26599647505189594</c:v>
                </c:pt>
                <c:pt idx="10">
                  <c:v>0.71199999999999997</c:v>
                </c:pt>
                <c:pt idx="11">
                  <c:v>0.71298320069715304</c:v>
                </c:pt>
                <c:pt idx="12">
                  <c:v>-7.1062011086993837E-2</c:v>
                </c:pt>
                <c:pt idx="13">
                  <c:v>-0.21</c:v>
                </c:pt>
                <c:pt idx="14">
                  <c:v>-4.2969228951183047E-2</c:v>
                </c:pt>
                <c:pt idx="15">
                  <c:v>0.11238742590161155</c:v>
                </c:pt>
                <c:pt idx="16">
                  <c:v>0.122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0A-43A3-97AF-359A4EA8CFE5}"/>
            </c:ext>
          </c:extLst>
        </c:ser>
        <c:ser>
          <c:idx val="3"/>
          <c:order val="3"/>
          <c:tx>
            <c:strRef>
              <c:f>'COVID19 assumptions'!$A$98</c:f>
              <c:strCache>
                <c:ptCount val="1"/>
                <c:pt idx="0">
                  <c:v>Macpac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'COVID19 assumptions'!$B$92:$R$94</c:f>
              <c:multiLvlStrCache>
                <c:ptCount val="17"/>
                <c:lvl>
                  <c:pt idx="0">
                    <c:v>6 weeks</c:v>
                  </c:pt>
                  <c:pt idx="1">
                    <c:v>10 weeks</c:v>
                  </c:pt>
                  <c:pt idx="2">
                    <c:v>10 weeks</c:v>
                  </c:pt>
                  <c:pt idx="3">
                    <c:v>7 weeks</c:v>
                  </c:pt>
                  <c:pt idx="4">
                    <c:v>5 weeks</c:v>
                  </c:pt>
                  <c:pt idx="5">
                    <c:v>9 weeks</c:v>
                  </c:pt>
                  <c:pt idx="6">
                    <c:v>5 weeks</c:v>
                  </c:pt>
                  <c:pt idx="7">
                    <c:v>7 weeks</c:v>
                  </c:pt>
                  <c:pt idx="8">
                    <c:v>10 weeks</c:v>
                  </c:pt>
                  <c:pt idx="9">
                    <c:v>9 weeks</c:v>
                  </c:pt>
                  <c:pt idx="10">
                    <c:v>7 weeks</c:v>
                  </c:pt>
                  <c:pt idx="11">
                    <c:v>11 weeks</c:v>
                  </c:pt>
                  <c:pt idx="12">
                    <c:v>8 weeks</c:v>
                  </c:pt>
                  <c:pt idx="13">
                    <c:v>7 weeks</c:v>
                  </c:pt>
                  <c:pt idx="14">
                    <c:v>9 weeks</c:v>
                  </c:pt>
                  <c:pt idx="15">
                    <c:v>10 weeks </c:v>
                  </c:pt>
                  <c:pt idx="16">
                    <c:v>7 weeks</c:v>
                  </c:pt>
                </c:lvl>
                <c:lvl>
                  <c:pt idx="0">
                    <c:v>Jun-19</c:v>
                  </c:pt>
                  <c:pt idx="1">
                    <c:v>Aug-19</c:v>
                  </c:pt>
                  <c:pt idx="2">
                    <c:v>Oct-19</c:v>
                  </c:pt>
                  <c:pt idx="3">
                    <c:v>Dec-19</c:v>
                  </c:pt>
                  <c:pt idx="4">
                    <c:v>Feb-20</c:v>
                  </c:pt>
                  <c:pt idx="5">
                    <c:v>Mar-20</c:v>
                  </c:pt>
                  <c:pt idx="6">
                    <c:v>May-20</c:v>
                  </c:pt>
                  <c:pt idx="7">
                    <c:v>Jun-20</c:v>
                  </c:pt>
                  <c:pt idx="8">
                    <c:v>Aug-20</c:v>
                  </c:pt>
                  <c:pt idx="9">
                    <c:v>Oct-20</c:v>
                  </c:pt>
                  <c:pt idx="10">
                    <c:v>Dec-20</c:v>
                  </c:pt>
                  <c:pt idx="11">
                    <c:v>Feb-21</c:v>
                  </c:pt>
                  <c:pt idx="12">
                    <c:v>May-21</c:v>
                  </c:pt>
                  <c:pt idx="13">
                    <c:v>Jun-21</c:v>
                  </c:pt>
                  <c:pt idx="14">
                    <c:v>Aug-21</c:v>
                  </c:pt>
                  <c:pt idx="15">
                    <c:v>Oct-21</c:v>
                  </c:pt>
                  <c:pt idx="16">
                    <c:v>Dec-21</c:v>
                  </c:pt>
                </c:lvl>
                <c:lvl>
                  <c:pt idx="0">
                    <c:v>Aug-19</c:v>
                  </c:pt>
                  <c:pt idx="1">
                    <c:v>Oct-19</c:v>
                  </c:pt>
                  <c:pt idx="2">
                    <c:v>Dec-19</c:v>
                  </c:pt>
                  <c:pt idx="3">
                    <c:v>Feb-20</c:v>
                  </c:pt>
                  <c:pt idx="4">
                    <c:v>Mar-20</c:v>
                  </c:pt>
                  <c:pt idx="5">
                    <c:v>May-20</c:v>
                  </c:pt>
                  <c:pt idx="6">
                    <c:v>Jun-20</c:v>
                  </c:pt>
                  <c:pt idx="7">
                    <c:v>Aug-20</c:v>
                  </c:pt>
                  <c:pt idx="8">
                    <c:v>Oct-20</c:v>
                  </c:pt>
                  <c:pt idx="9">
                    <c:v>Dec-20</c:v>
                  </c:pt>
                  <c:pt idx="10">
                    <c:v>Feb-21</c:v>
                  </c:pt>
                  <c:pt idx="11">
                    <c:v>May-21</c:v>
                  </c:pt>
                  <c:pt idx="12">
                    <c:v>Jun-21</c:v>
                  </c:pt>
                  <c:pt idx="13">
                    <c:v>Aug-21</c:v>
                  </c:pt>
                  <c:pt idx="14">
                    <c:v>Oct-21</c:v>
                  </c:pt>
                  <c:pt idx="15">
                    <c:v>Dec-21</c:v>
                  </c:pt>
                  <c:pt idx="16">
                    <c:v>Feb-22</c:v>
                  </c:pt>
                </c:lvl>
              </c:multiLvlStrCache>
            </c:multiLvlStrRef>
          </c:cat>
          <c:val>
            <c:numRef>
              <c:f>'COVID19 assumptions'!$B$98:$R$98</c:f>
              <c:numCache>
                <c:formatCode>0.0%</c:formatCode>
                <c:ptCount val="17"/>
                <c:pt idx="0">
                  <c:v>-0.03</c:v>
                </c:pt>
                <c:pt idx="1">
                  <c:v>-1.5559966952024107E-2</c:v>
                </c:pt>
                <c:pt idx="2">
                  <c:v>-0.14335011808475195</c:v>
                </c:pt>
                <c:pt idx="3" formatCode="0.00%">
                  <c:v>-4.0000000000000001E-3</c:v>
                </c:pt>
                <c:pt idx="4" formatCode="0.00%">
                  <c:v>0.05</c:v>
                </c:pt>
                <c:pt idx="5" formatCode="0.00%">
                  <c:v>-0.38800000000000001</c:v>
                </c:pt>
                <c:pt idx="6" formatCode="0.00%">
                  <c:v>0.26</c:v>
                </c:pt>
                <c:pt idx="7" formatCode="0%">
                  <c:v>0.16</c:v>
                </c:pt>
                <c:pt idx="8" formatCode="0%">
                  <c:v>-0.11394794256555307</c:v>
                </c:pt>
                <c:pt idx="9">
                  <c:v>-0.14558814737247516</c:v>
                </c:pt>
                <c:pt idx="10">
                  <c:v>0.08</c:v>
                </c:pt>
                <c:pt idx="11">
                  <c:v>0.94299916168537634</c:v>
                </c:pt>
                <c:pt idx="12">
                  <c:v>4.8923035614374388E-3</c:v>
                </c:pt>
                <c:pt idx="13">
                  <c:v>-0.02</c:v>
                </c:pt>
                <c:pt idx="14">
                  <c:v>-0.15767922266929812</c:v>
                </c:pt>
                <c:pt idx="15">
                  <c:v>0.15006488430464149</c:v>
                </c:pt>
                <c:pt idx="16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0A-43A3-97AF-359A4EA8C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61488"/>
        <c:axId val="35758160"/>
      </c:lineChart>
      <c:catAx>
        <c:axId val="3576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58160"/>
        <c:crosses val="autoZero"/>
        <c:auto val="1"/>
        <c:lblAlgn val="ctr"/>
        <c:lblOffset val="100"/>
        <c:noMultiLvlLbl val="0"/>
      </c:catAx>
      <c:valAx>
        <c:axId val="35758160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6006964882814309"/>
          <c:y val="4.2238648363252373E-3"/>
          <c:w val="0.69551607418935646"/>
          <c:h val="7.1278217994661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844406167979004E-2"/>
          <c:y val="5.1166514711976793E-2"/>
          <c:w val="0.9009676427165354"/>
          <c:h val="0.59105478657273103"/>
        </c:manualLayout>
      </c:layout>
      <c:lineChart>
        <c:grouping val="standard"/>
        <c:varyColors val="0"/>
        <c:ser>
          <c:idx val="0"/>
          <c:order val="0"/>
          <c:tx>
            <c:strRef>
              <c:f>'COVID19 assumptions'!$A$95</c:f>
              <c:strCache>
                <c:ptCount val="1"/>
                <c:pt idx="0">
                  <c:v>Supercheap Auto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177-408A-BDFB-54FDB98D3D08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177-408A-BDFB-54FDB98D3D08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177-408A-BDFB-54FDB98D3D08}"/>
              </c:ext>
            </c:extLst>
          </c:dPt>
          <c:cat>
            <c:multiLvlStrRef>
              <c:f>'COVID19 assumptions'!$I$92:$S$94</c:f>
              <c:multiLvlStrCache>
                <c:ptCount val="11"/>
                <c:lvl>
                  <c:pt idx="0">
                    <c:v>7 weeks</c:v>
                  </c:pt>
                  <c:pt idx="1">
                    <c:v>10 weeks</c:v>
                  </c:pt>
                  <c:pt idx="2">
                    <c:v>9 weeks</c:v>
                  </c:pt>
                  <c:pt idx="3">
                    <c:v>7 weeks</c:v>
                  </c:pt>
                  <c:pt idx="4">
                    <c:v>11 weeks</c:v>
                  </c:pt>
                  <c:pt idx="5">
                    <c:v>8 weeks</c:v>
                  </c:pt>
                  <c:pt idx="6">
                    <c:v>7 weeks</c:v>
                  </c:pt>
                  <c:pt idx="7">
                    <c:v>9 weeks</c:v>
                  </c:pt>
                  <c:pt idx="8">
                    <c:v>10 weeks </c:v>
                  </c:pt>
                  <c:pt idx="9">
                    <c:v>7 weeks</c:v>
                  </c:pt>
                  <c:pt idx="10">
                    <c:v>10 weeks</c:v>
                  </c:pt>
                </c:lvl>
                <c:lvl>
                  <c:pt idx="0">
                    <c:v>Jun-20</c:v>
                  </c:pt>
                  <c:pt idx="1">
                    <c:v>Aug-20</c:v>
                  </c:pt>
                  <c:pt idx="2">
                    <c:v>Oct-20</c:v>
                  </c:pt>
                  <c:pt idx="3">
                    <c:v>Dec-20</c:v>
                  </c:pt>
                  <c:pt idx="4">
                    <c:v>Feb-21</c:v>
                  </c:pt>
                  <c:pt idx="5">
                    <c:v>May-21</c:v>
                  </c:pt>
                  <c:pt idx="6">
                    <c:v>Jun-21</c:v>
                  </c:pt>
                  <c:pt idx="7">
                    <c:v>Aug-21</c:v>
                  </c:pt>
                  <c:pt idx="8">
                    <c:v>Oct-21</c:v>
                  </c:pt>
                  <c:pt idx="9">
                    <c:v>Dec-21</c:v>
                  </c:pt>
                  <c:pt idx="10">
                    <c:v>Feb-22</c:v>
                  </c:pt>
                </c:lvl>
                <c:lvl>
                  <c:pt idx="0">
                    <c:v>Aug-20</c:v>
                  </c:pt>
                  <c:pt idx="1">
                    <c:v>Oct-20</c:v>
                  </c:pt>
                  <c:pt idx="2">
                    <c:v>Dec-20</c:v>
                  </c:pt>
                  <c:pt idx="3">
                    <c:v>Feb-21</c:v>
                  </c:pt>
                  <c:pt idx="4">
                    <c:v>May-21</c:v>
                  </c:pt>
                  <c:pt idx="5">
                    <c:v>Jun-21</c:v>
                  </c:pt>
                  <c:pt idx="6">
                    <c:v>Aug-21</c:v>
                  </c:pt>
                  <c:pt idx="7">
                    <c:v>Oct-21</c:v>
                  </c:pt>
                  <c:pt idx="8">
                    <c:v>Dec-21</c:v>
                  </c:pt>
                  <c:pt idx="9">
                    <c:v>Feb-22</c:v>
                  </c:pt>
                  <c:pt idx="10">
                    <c:v>Apr-22</c:v>
                  </c:pt>
                </c:lvl>
              </c:multiLvlStrCache>
            </c:multiLvlStrRef>
          </c:cat>
          <c:val>
            <c:numRef>
              <c:f>'COVID19 assumptions'!$I$95:$S$95</c:f>
              <c:numCache>
                <c:formatCode>0%</c:formatCode>
                <c:ptCount val="11"/>
                <c:pt idx="0">
                  <c:v>0.23</c:v>
                </c:pt>
                <c:pt idx="1">
                  <c:v>0.19619381223771026</c:v>
                </c:pt>
                <c:pt idx="2" formatCode="0.0%">
                  <c:v>0.16075529582191939</c:v>
                </c:pt>
                <c:pt idx="3" formatCode="0.0%">
                  <c:v>0.23100000000000001</c:v>
                </c:pt>
                <c:pt idx="4" formatCode="0.0%">
                  <c:v>0.23124533843822401</c:v>
                </c:pt>
                <c:pt idx="5" formatCode="0.0%">
                  <c:v>-6.8498552073964825E-2</c:v>
                </c:pt>
                <c:pt idx="6" formatCode="0.0%">
                  <c:v>-0.11</c:v>
                </c:pt>
                <c:pt idx="7" formatCode="0.0%">
                  <c:v>-0.1452443120357958</c:v>
                </c:pt>
                <c:pt idx="8" formatCode="0.0%">
                  <c:v>1.4597104271831807E-2</c:v>
                </c:pt>
                <c:pt idx="9" formatCode="0.0%">
                  <c:v>9.2999999999999999E-2</c:v>
                </c:pt>
                <c:pt idx="10" formatCode="0.0%">
                  <c:v>7.7744130641736575E-2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177-408A-BDFB-54FDB98D3D08}"/>
            </c:ext>
          </c:extLst>
        </c:ser>
        <c:ser>
          <c:idx val="1"/>
          <c:order val="1"/>
          <c:tx>
            <c:strRef>
              <c:f>'COVID19 assumptions'!$A$96</c:f>
              <c:strCache>
                <c:ptCount val="1"/>
                <c:pt idx="0">
                  <c:v>Rebel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accent2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3177-408A-BDFB-54FDB98D3D08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solidFill>
                  <a:schemeClr val="accent2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3177-408A-BDFB-54FDB98D3D08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solidFill>
                  <a:schemeClr val="accent2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3177-408A-BDFB-54FDB98D3D08}"/>
              </c:ext>
            </c:extLst>
          </c:dPt>
          <c:cat>
            <c:multiLvlStrRef>
              <c:f>'COVID19 assumptions'!$I$92:$S$94</c:f>
              <c:multiLvlStrCache>
                <c:ptCount val="11"/>
                <c:lvl>
                  <c:pt idx="0">
                    <c:v>7 weeks</c:v>
                  </c:pt>
                  <c:pt idx="1">
                    <c:v>10 weeks</c:v>
                  </c:pt>
                  <c:pt idx="2">
                    <c:v>9 weeks</c:v>
                  </c:pt>
                  <c:pt idx="3">
                    <c:v>7 weeks</c:v>
                  </c:pt>
                  <c:pt idx="4">
                    <c:v>11 weeks</c:v>
                  </c:pt>
                  <c:pt idx="5">
                    <c:v>8 weeks</c:v>
                  </c:pt>
                  <c:pt idx="6">
                    <c:v>7 weeks</c:v>
                  </c:pt>
                  <c:pt idx="7">
                    <c:v>9 weeks</c:v>
                  </c:pt>
                  <c:pt idx="8">
                    <c:v>10 weeks </c:v>
                  </c:pt>
                  <c:pt idx="9">
                    <c:v>7 weeks</c:v>
                  </c:pt>
                  <c:pt idx="10">
                    <c:v>10 weeks</c:v>
                  </c:pt>
                </c:lvl>
                <c:lvl>
                  <c:pt idx="0">
                    <c:v>Jun-20</c:v>
                  </c:pt>
                  <c:pt idx="1">
                    <c:v>Aug-20</c:v>
                  </c:pt>
                  <c:pt idx="2">
                    <c:v>Oct-20</c:v>
                  </c:pt>
                  <c:pt idx="3">
                    <c:v>Dec-20</c:v>
                  </c:pt>
                  <c:pt idx="4">
                    <c:v>Feb-21</c:v>
                  </c:pt>
                  <c:pt idx="5">
                    <c:v>May-21</c:v>
                  </c:pt>
                  <c:pt idx="6">
                    <c:v>Jun-21</c:v>
                  </c:pt>
                  <c:pt idx="7">
                    <c:v>Aug-21</c:v>
                  </c:pt>
                  <c:pt idx="8">
                    <c:v>Oct-21</c:v>
                  </c:pt>
                  <c:pt idx="9">
                    <c:v>Dec-21</c:v>
                  </c:pt>
                  <c:pt idx="10">
                    <c:v>Feb-22</c:v>
                  </c:pt>
                </c:lvl>
                <c:lvl>
                  <c:pt idx="0">
                    <c:v>Aug-20</c:v>
                  </c:pt>
                  <c:pt idx="1">
                    <c:v>Oct-20</c:v>
                  </c:pt>
                  <c:pt idx="2">
                    <c:v>Dec-20</c:v>
                  </c:pt>
                  <c:pt idx="3">
                    <c:v>Feb-21</c:v>
                  </c:pt>
                  <c:pt idx="4">
                    <c:v>May-21</c:v>
                  </c:pt>
                  <c:pt idx="5">
                    <c:v>Jun-21</c:v>
                  </c:pt>
                  <c:pt idx="6">
                    <c:v>Aug-21</c:v>
                  </c:pt>
                  <c:pt idx="7">
                    <c:v>Oct-21</c:v>
                  </c:pt>
                  <c:pt idx="8">
                    <c:v>Dec-21</c:v>
                  </c:pt>
                  <c:pt idx="9">
                    <c:v>Feb-22</c:v>
                  </c:pt>
                  <c:pt idx="10">
                    <c:v>Apr-22</c:v>
                  </c:pt>
                </c:lvl>
              </c:multiLvlStrCache>
            </c:multiLvlStrRef>
          </c:cat>
          <c:val>
            <c:numRef>
              <c:f>'COVID19 assumptions'!$I$96:$S$96</c:f>
              <c:numCache>
                <c:formatCode>0%</c:formatCode>
                <c:ptCount val="11"/>
                <c:pt idx="0">
                  <c:v>0.3</c:v>
                </c:pt>
                <c:pt idx="1">
                  <c:v>7.1070936937017271E-2</c:v>
                </c:pt>
                <c:pt idx="2" formatCode="0.0%">
                  <c:v>0.22485403175843244</c:v>
                </c:pt>
                <c:pt idx="3" formatCode="0.0%">
                  <c:v>0.184</c:v>
                </c:pt>
                <c:pt idx="4" formatCode="0.0%">
                  <c:v>0.28150614626317161</c:v>
                </c:pt>
                <c:pt idx="5" formatCode="0.0%">
                  <c:v>9.0205438935147431E-2</c:v>
                </c:pt>
                <c:pt idx="6" formatCode="0.0%">
                  <c:v>-0.16</c:v>
                </c:pt>
                <c:pt idx="7" formatCode="0.0%">
                  <c:v>-5.0385715727827241E-2</c:v>
                </c:pt>
                <c:pt idx="8" formatCode="0.0%">
                  <c:v>1.052021501158551E-2</c:v>
                </c:pt>
                <c:pt idx="9" formatCode="0.0%">
                  <c:v>-2.4E-2</c:v>
                </c:pt>
                <c:pt idx="10" formatCode="0.0%">
                  <c:v>-1.3778066743645345E-2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177-408A-BDFB-54FDB98D3D08}"/>
            </c:ext>
          </c:extLst>
        </c:ser>
        <c:ser>
          <c:idx val="2"/>
          <c:order val="2"/>
          <c:tx>
            <c:strRef>
              <c:f>'COVID19 assumptions'!$A$97</c:f>
              <c:strCache>
                <c:ptCount val="1"/>
                <c:pt idx="0">
                  <c:v>BCF</c:v>
                </c:pt>
              </c:strCache>
            </c:strRef>
          </c:tx>
          <c:spPr>
            <a:ln w="28575" cap="rnd">
              <a:solidFill>
                <a:schemeClr val="bg2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bg2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3177-408A-BDFB-54FDB98D3D08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solidFill>
                  <a:schemeClr val="bg2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3177-408A-BDFB-54FDB98D3D08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solidFill>
                  <a:schemeClr val="bg2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3177-408A-BDFB-54FDB98D3D08}"/>
              </c:ext>
            </c:extLst>
          </c:dPt>
          <c:cat>
            <c:multiLvlStrRef>
              <c:f>'COVID19 assumptions'!$I$92:$S$94</c:f>
              <c:multiLvlStrCache>
                <c:ptCount val="11"/>
                <c:lvl>
                  <c:pt idx="0">
                    <c:v>7 weeks</c:v>
                  </c:pt>
                  <c:pt idx="1">
                    <c:v>10 weeks</c:v>
                  </c:pt>
                  <c:pt idx="2">
                    <c:v>9 weeks</c:v>
                  </c:pt>
                  <c:pt idx="3">
                    <c:v>7 weeks</c:v>
                  </c:pt>
                  <c:pt idx="4">
                    <c:v>11 weeks</c:v>
                  </c:pt>
                  <c:pt idx="5">
                    <c:v>8 weeks</c:v>
                  </c:pt>
                  <c:pt idx="6">
                    <c:v>7 weeks</c:v>
                  </c:pt>
                  <c:pt idx="7">
                    <c:v>9 weeks</c:v>
                  </c:pt>
                  <c:pt idx="8">
                    <c:v>10 weeks </c:v>
                  </c:pt>
                  <c:pt idx="9">
                    <c:v>7 weeks</c:v>
                  </c:pt>
                  <c:pt idx="10">
                    <c:v>10 weeks</c:v>
                  </c:pt>
                </c:lvl>
                <c:lvl>
                  <c:pt idx="0">
                    <c:v>Jun-20</c:v>
                  </c:pt>
                  <c:pt idx="1">
                    <c:v>Aug-20</c:v>
                  </c:pt>
                  <c:pt idx="2">
                    <c:v>Oct-20</c:v>
                  </c:pt>
                  <c:pt idx="3">
                    <c:v>Dec-20</c:v>
                  </c:pt>
                  <c:pt idx="4">
                    <c:v>Feb-21</c:v>
                  </c:pt>
                  <c:pt idx="5">
                    <c:v>May-21</c:v>
                  </c:pt>
                  <c:pt idx="6">
                    <c:v>Jun-21</c:v>
                  </c:pt>
                  <c:pt idx="7">
                    <c:v>Aug-21</c:v>
                  </c:pt>
                  <c:pt idx="8">
                    <c:v>Oct-21</c:v>
                  </c:pt>
                  <c:pt idx="9">
                    <c:v>Dec-21</c:v>
                  </c:pt>
                  <c:pt idx="10">
                    <c:v>Feb-22</c:v>
                  </c:pt>
                </c:lvl>
                <c:lvl>
                  <c:pt idx="0">
                    <c:v>Aug-20</c:v>
                  </c:pt>
                  <c:pt idx="1">
                    <c:v>Oct-20</c:v>
                  </c:pt>
                  <c:pt idx="2">
                    <c:v>Dec-20</c:v>
                  </c:pt>
                  <c:pt idx="3">
                    <c:v>Feb-21</c:v>
                  </c:pt>
                  <c:pt idx="4">
                    <c:v>May-21</c:v>
                  </c:pt>
                  <c:pt idx="5">
                    <c:v>Jun-21</c:v>
                  </c:pt>
                  <c:pt idx="6">
                    <c:v>Aug-21</c:v>
                  </c:pt>
                  <c:pt idx="7">
                    <c:v>Oct-21</c:v>
                  </c:pt>
                  <c:pt idx="8">
                    <c:v>Dec-21</c:v>
                  </c:pt>
                  <c:pt idx="9">
                    <c:v>Feb-22</c:v>
                  </c:pt>
                  <c:pt idx="10">
                    <c:v>Apr-22</c:v>
                  </c:pt>
                </c:lvl>
              </c:multiLvlStrCache>
            </c:multiLvlStrRef>
          </c:cat>
          <c:val>
            <c:numRef>
              <c:f>'COVID19 assumptions'!$I$97:$S$97</c:f>
              <c:numCache>
                <c:formatCode>0%</c:formatCode>
                <c:ptCount val="11"/>
                <c:pt idx="0">
                  <c:v>0.72</c:v>
                </c:pt>
                <c:pt idx="1">
                  <c:v>0.53721309854857657</c:v>
                </c:pt>
                <c:pt idx="2" formatCode="0.0%">
                  <c:v>0.26599647505189594</c:v>
                </c:pt>
                <c:pt idx="3" formatCode="0.0%">
                  <c:v>0.71199999999999997</c:v>
                </c:pt>
                <c:pt idx="4" formatCode="0.0%">
                  <c:v>0.71298320069715304</c:v>
                </c:pt>
                <c:pt idx="5" formatCode="0.0%">
                  <c:v>-7.1062011086993837E-2</c:v>
                </c:pt>
                <c:pt idx="6" formatCode="0.0%">
                  <c:v>-0.21</c:v>
                </c:pt>
                <c:pt idx="7" formatCode="0.0%">
                  <c:v>-4.2969228951183047E-2</c:v>
                </c:pt>
                <c:pt idx="8" formatCode="0.0%">
                  <c:v>0.11238742590161155</c:v>
                </c:pt>
                <c:pt idx="9" formatCode="0.0%">
                  <c:v>0.122</c:v>
                </c:pt>
                <c:pt idx="10" formatCode="0.0%">
                  <c:v>4.4926784190816749E-2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177-408A-BDFB-54FDB98D3D08}"/>
            </c:ext>
          </c:extLst>
        </c:ser>
        <c:ser>
          <c:idx val="3"/>
          <c:order val="3"/>
          <c:tx>
            <c:strRef>
              <c:f>'COVID19 assumptions'!$A$98</c:f>
              <c:strCache>
                <c:ptCount val="1"/>
                <c:pt idx="0">
                  <c:v>Macpac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accent5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3177-408A-BDFB-54FDB98D3D08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solidFill>
                  <a:schemeClr val="accent5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3177-408A-BDFB-54FDB98D3D08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solidFill>
                  <a:schemeClr val="accent5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3177-408A-BDFB-54FDB98D3D08}"/>
              </c:ext>
            </c:extLst>
          </c:dPt>
          <c:cat>
            <c:multiLvlStrRef>
              <c:f>'COVID19 assumptions'!$I$92:$S$94</c:f>
              <c:multiLvlStrCache>
                <c:ptCount val="11"/>
                <c:lvl>
                  <c:pt idx="0">
                    <c:v>7 weeks</c:v>
                  </c:pt>
                  <c:pt idx="1">
                    <c:v>10 weeks</c:v>
                  </c:pt>
                  <c:pt idx="2">
                    <c:v>9 weeks</c:v>
                  </c:pt>
                  <c:pt idx="3">
                    <c:v>7 weeks</c:v>
                  </c:pt>
                  <c:pt idx="4">
                    <c:v>11 weeks</c:v>
                  </c:pt>
                  <c:pt idx="5">
                    <c:v>8 weeks</c:v>
                  </c:pt>
                  <c:pt idx="6">
                    <c:v>7 weeks</c:v>
                  </c:pt>
                  <c:pt idx="7">
                    <c:v>9 weeks</c:v>
                  </c:pt>
                  <c:pt idx="8">
                    <c:v>10 weeks </c:v>
                  </c:pt>
                  <c:pt idx="9">
                    <c:v>7 weeks</c:v>
                  </c:pt>
                  <c:pt idx="10">
                    <c:v>10 weeks</c:v>
                  </c:pt>
                </c:lvl>
                <c:lvl>
                  <c:pt idx="0">
                    <c:v>Jun-20</c:v>
                  </c:pt>
                  <c:pt idx="1">
                    <c:v>Aug-20</c:v>
                  </c:pt>
                  <c:pt idx="2">
                    <c:v>Oct-20</c:v>
                  </c:pt>
                  <c:pt idx="3">
                    <c:v>Dec-20</c:v>
                  </c:pt>
                  <c:pt idx="4">
                    <c:v>Feb-21</c:v>
                  </c:pt>
                  <c:pt idx="5">
                    <c:v>May-21</c:v>
                  </c:pt>
                  <c:pt idx="6">
                    <c:v>Jun-21</c:v>
                  </c:pt>
                  <c:pt idx="7">
                    <c:v>Aug-21</c:v>
                  </c:pt>
                  <c:pt idx="8">
                    <c:v>Oct-21</c:v>
                  </c:pt>
                  <c:pt idx="9">
                    <c:v>Dec-21</c:v>
                  </c:pt>
                  <c:pt idx="10">
                    <c:v>Feb-22</c:v>
                  </c:pt>
                </c:lvl>
                <c:lvl>
                  <c:pt idx="0">
                    <c:v>Aug-20</c:v>
                  </c:pt>
                  <c:pt idx="1">
                    <c:v>Oct-20</c:v>
                  </c:pt>
                  <c:pt idx="2">
                    <c:v>Dec-20</c:v>
                  </c:pt>
                  <c:pt idx="3">
                    <c:v>Feb-21</c:v>
                  </c:pt>
                  <c:pt idx="4">
                    <c:v>May-21</c:v>
                  </c:pt>
                  <c:pt idx="5">
                    <c:v>Jun-21</c:v>
                  </c:pt>
                  <c:pt idx="6">
                    <c:v>Aug-21</c:v>
                  </c:pt>
                  <c:pt idx="7">
                    <c:v>Oct-21</c:v>
                  </c:pt>
                  <c:pt idx="8">
                    <c:v>Dec-21</c:v>
                  </c:pt>
                  <c:pt idx="9">
                    <c:v>Feb-22</c:v>
                  </c:pt>
                  <c:pt idx="10">
                    <c:v>Apr-22</c:v>
                  </c:pt>
                </c:lvl>
              </c:multiLvlStrCache>
            </c:multiLvlStrRef>
          </c:cat>
          <c:val>
            <c:numRef>
              <c:f>'COVID19 assumptions'!$I$98:$S$98</c:f>
              <c:numCache>
                <c:formatCode>0%</c:formatCode>
                <c:ptCount val="11"/>
                <c:pt idx="0">
                  <c:v>0.16</c:v>
                </c:pt>
                <c:pt idx="1">
                  <c:v>-0.11394794256555307</c:v>
                </c:pt>
                <c:pt idx="2" formatCode="0.0%">
                  <c:v>-0.14558814737247516</c:v>
                </c:pt>
                <c:pt idx="3" formatCode="0.0%">
                  <c:v>0.08</c:v>
                </c:pt>
                <c:pt idx="4" formatCode="0.0%">
                  <c:v>0.94299916168537634</c:v>
                </c:pt>
                <c:pt idx="5" formatCode="0.0%">
                  <c:v>4.8923035614374388E-3</c:v>
                </c:pt>
                <c:pt idx="6" formatCode="0.0%">
                  <c:v>-0.02</c:v>
                </c:pt>
                <c:pt idx="7" formatCode="0.0%">
                  <c:v>-0.15767922266929812</c:v>
                </c:pt>
                <c:pt idx="8" formatCode="0.0%">
                  <c:v>0.15006488430464149</c:v>
                </c:pt>
                <c:pt idx="9" formatCode="0.0%">
                  <c:v>0.08</c:v>
                </c:pt>
                <c:pt idx="10" formatCode="0.0%">
                  <c:v>-3.3036140751850018E-2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177-408A-BDFB-54FDB98D3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6126703"/>
        <c:axId val="1816140847"/>
      </c:lineChart>
      <c:catAx>
        <c:axId val="1816126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140847"/>
        <c:crosses val="autoZero"/>
        <c:auto val="1"/>
        <c:lblAlgn val="ctr"/>
        <c:lblOffset val="100"/>
        <c:noMultiLvlLbl val="0"/>
      </c:catAx>
      <c:valAx>
        <c:axId val="1816140847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126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460896489501313"/>
          <c:y val="0.93017554910899292"/>
          <c:w val="0.74556491961942262"/>
          <c:h val="6.71559055118110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844406167979004E-2"/>
          <c:y val="5.1166514711976793E-2"/>
          <c:w val="0.9009676427165354"/>
          <c:h val="0.59105478657273103"/>
        </c:manualLayout>
      </c:layout>
      <c:lineChart>
        <c:grouping val="standard"/>
        <c:varyColors val="0"/>
        <c:ser>
          <c:idx val="0"/>
          <c:order val="0"/>
          <c:tx>
            <c:strRef>
              <c:f>'COVID19 assumptions'!$A$95</c:f>
              <c:strCache>
                <c:ptCount val="1"/>
                <c:pt idx="0">
                  <c:v>Supercheap Auto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FF-46DC-A5FC-36737BCBFC72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FF-46DC-A5FC-36737BCBFC72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FF-46DC-A5FC-36737BCBFC72}"/>
              </c:ext>
            </c:extLst>
          </c:dPt>
          <c:cat>
            <c:multiLvlStrRef>
              <c:f>'COVID19 assumptions'!$I$92:$U$94</c:f>
              <c:multiLvlStrCache>
                <c:ptCount val="13"/>
                <c:lvl>
                  <c:pt idx="0">
                    <c:v>7 weeks</c:v>
                  </c:pt>
                  <c:pt idx="1">
                    <c:v>10 weeks</c:v>
                  </c:pt>
                  <c:pt idx="2">
                    <c:v>9 weeks</c:v>
                  </c:pt>
                  <c:pt idx="3">
                    <c:v>7 weeks</c:v>
                  </c:pt>
                  <c:pt idx="4">
                    <c:v>11 weeks</c:v>
                  </c:pt>
                  <c:pt idx="5">
                    <c:v>8 weeks</c:v>
                  </c:pt>
                  <c:pt idx="6">
                    <c:v>7 weeks</c:v>
                  </c:pt>
                  <c:pt idx="7">
                    <c:v>9 weeks</c:v>
                  </c:pt>
                  <c:pt idx="8">
                    <c:v>10 weeks </c:v>
                  </c:pt>
                  <c:pt idx="9">
                    <c:v>7 weeks</c:v>
                  </c:pt>
                  <c:pt idx="10">
                    <c:v>10 weeks</c:v>
                  </c:pt>
                  <c:pt idx="11">
                    <c:v>10 weeks</c:v>
                  </c:pt>
                  <c:pt idx="12">
                    <c:v>6 weeks</c:v>
                  </c:pt>
                </c:lvl>
                <c:lvl>
                  <c:pt idx="0">
                    <c:v>Jun-20</c:v>
                  </c:pt>
                  <c:pt idx="1">
                    <c:v>Aug-20</c:v>
                  </c:pt>
                  <c:pt idx="2">
                    <c:v>Oct-20</c:v>
                  </c:pt>
                  <c:pt idx="3">
                    <c:v>Dec-20</c:v>
                  </c:pt>
                  <c:pt idx="4">
                    <c:v>Feb-21</c:v>
                  </c:pt>
                  <c:pt idx="5">
                    <c:v>May-21</c:v>
                  </c:pt>
                  <c:pt idx="6">
                    <c:v>Jun-21</c:v>
                  </c:pt>
                  <c:pt idx="7">
                    <c:v>Aug-21</c:v>
                  </c:pt>
                  <c:pt idx="8">
                    <c:v>Oct-21</c:v>
                  </c:pt>
                  <c:pt idx="9">
                    <c:v>Dec-21</c:v>
                  </c:pt>
                  <c:pt idx="10">
                    <c:v>Feb-22</c:v>
                  </c:pt>
                  <c:pt idx="11">
                    <c:v>Apr-22</c:v>
                  </c:pt>
                  <c:pt idx="12">
                    <c:v>Jul-22</c:v>
                  </c:pt>
                </c:lvl>
                <c:lvl>
                  <c:pt idx="0">
                    <c:v>Aug-20</c:v>
                  </c:pt>
                  <c:pt idx="1">
                    <c:v>Oct-20</c:v>
                  </c:pt>
                  <c:pt idx="2">
                    <c:v>Dec-20</c:v>
                  </c:pt>
                  <c:pt idx="3">
                    <c:v>Feb-21</c:v>
                  </c:pt>
                  <c:pt idx="4">
                    <c:v>May-21</c:v>
                  </c:pt>
                  <c:pt idx="5">
                    <c:v>Jun-21</c:v>
                  </c:pt>
                  <c:pt idx="6">
                    <c:v>Aug-21</c:v>
                  </c:pt>
                  <c:pt idx="7">
                    <c:v>Oct-21</c:v>
                  </c:pt>
                  <c:pt idx="8">
                    <c:v>Dec-21</c:v>
                  </c:pt>
                  <c:pt idx="9">
                    <c:v>Feb-22</c:v>
                  </c:pt>
                  <c:pt idx="10">
                    <c:v>Apr-22</c:v>
                  </c:pt>
                  <c:pt idx="11">
                    <c:v>Jul-22</c:v>
                  </c:pt>
                  <c:pt idx="12">
                    <c:v>Aug-22</c:v>
                  </c:pt>
                </c:lvl>
              </c:multiLvlStrCache>
            </c:multiLvlStrRef>
          </c:cat>
          <c:val>
            <c:numRef>
              <c:f>'COVID19 assumptions'!$I$95:$U$95</c:f>
              <c:numCache>
                <c:formatCode>0%</c:formatCode>
                <c:ptCount val="13"/>
                <c:pt idx="0">
                  <c:v>0.23</c:v>
                </c:pt>
                <c:pt idx="1">
                  <c:v>0.19619381223771026</c:v>
                </c:pt>
                <c:pt idx="2" formatCode="0.0%">
                  <c:v>0.16075529582191939</c:v>
                </c:pt>
                <c:pt idx="3" formatCode="0.0%">
                  <c:v>0.23100000000000001</c:v>
                </c:pt>
                <c:pt idx="4" formatCode="0.0%">
                  <c:v>0.23124533843822401</c:v>
                </c:pt>
                <c:pt idx="5" formatCode="0.0%">
                  <c:v>-6.8498552073964825E-2</c:v>
                </c:pt>
                <c:pt idx="6" formatCode="0.0%">
                  <c:v>-0.11</c:v>
                </c:pt>
                <c:pt idx="7" formatCode="0.0%">
                  <c:v>-0.1452443120357958</c:v>
                </c:pt>
                <c:pt idx="8" formatCode="0.0%">
                  <c:v>1.4597104271831807E-2</c:v>
                </c:pt>
                <c:pt idx="9" formatCode="0.0%">
                  <c:v>9.2999999999999999E-2</c:v>
                </c:pt>
                <c:pt idx="10" formatCode="0.0%">
                  <c:v>7.7744130641736575E-2</c:v>
                </c:pt>
                <c:pt idx="11" formatCode="0.0%">
                  <c:v>0.1610423625634807</c:v>
                </c:pt>
                <c:pt idx="12" formatCode="0.0%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DFF-46DC-A5FC-36737BCBFC72}"/>
            </c:ext>
          </c:extLst>
        </c:ser>
        <c:ser>
          <c:idx val="1"/>
          <c:order val="1"/>
          <c:tx>
            <c:strRef>
              <c:f>'COVID19 assumptions'!$A$96</c:f>
              <c:strCache>
                <c:ptCount val="1"/>
                <c:pt idx="0">
                  <c:v>Rebel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accent2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3DFF-46DC-A5FC-36737BCBFC72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solidFill>
                  <a:schemeClr val="accent2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3DFF-46DC-A5FC-36737BCBFC72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solidFill>
                  <a:schemeClr val="accent2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3DFF-46DC-A5FC-36737BCBFC72}"/>
              </c:ext>
            </c:extLst>
          </c:dPt>
          <c:cat>
            <c:multiLvlStrRef>
              <c:f>'COVID19 assumptions'!$I$92:$U$94</c:f>
              <c:multiLvlStrCache>
                <c:ptCount val="13"/>
                <c:lvl>
                  <c:pt idx="0">
                    <c:v>7 weeks</c:v>
                  </c:pt>
                  <c:pt idx="1">
                    <c:v>10 weeks</c:v>
                  </c:pt>
                  <c:pt idx="2">
                    <c:v>9 weeks</c:v>
                  </c:pt>
                  <c:pt idx="3">
                    <c:v>7 weeks</c:v>
                  </c:pt>
                  <c:pt idx="4">
                    <c:v>11 weeks</c:v>
                  </c:pt>
                  <c:pt idx="5">
                    <c:v>8 weeks</c:v>
                  </c:pt>
                  <c:pt idx="6">
                    <c:v>7 weeks</c:v>
                  </c:pt>
                  <c:pt idx="7">
                    <c:v>9 weeks</c:v>
                  </c:pt>
                  <c:pt idx="8">
                    <c:v>10 weeks </c:v>
                  </c:pt>
                  <c:pt idx="9">
                    <c:v>7 weeks</c:v>
                  </c:pt>
                  <c:pt idx="10">
                    <c:v>10 weeks</c:v>
                  </c:pt>
                  <c:pt idx="11">
                    <c:v>10 weeks</c:v>
                  </c:pt>
                  <c:pt idx="12">
                    <c:v>6 weeks</c:v>
                  </c:pt>
                </c:lvl>
                <c:lvl>
                  <c:pt idx="0">
                    <c:v>Jun-20</c:v>
                  </c:pt>
                  <c:pt idx="1">
                    <c:v>Aug-20</c:v>
                  </c:pt>
                  <c:pt idx="2">
                    <c:v>Oct-20</c:v>
                  </c:pt>
                  <c:pt idx="3">
                    <c:v>Dec-20</c:v>
                  </c:pt>
                  <c:pt idx="4">
                    <c:v>Feb-21</c:v>
                  </c:pt>
                  <c:pt idx="5">
                    <c:v>May-21</c:v>
                  </c:pt>
                  <c:pt idx="6">
                    <c:v>Jun-21</c:v>
                  </c:pt>
                  <c:pt idx="7">
                    <c:v>Aug-21</c:v>
                  </c:pt>
                  <c:pt idx="8">
                    <c:v>Oct-21</c:v>
                  </c:pt>
                  <c:pt idx="9">
                    <c:v>Dec-21</c:v>
                  </c:pt>
                  <c:pt idx="10">
                    <c:v>Feb-22</c:v>
                  </c:pt>
                  <c:pt idx="11">
                    <c:v>Apr-22</c:v>
                  </c:pt>
                  <c:pt idx="12">
                    <c:v>Jul-22</c:v>
                  </c:pt>
                </c:lvl>
                <c:lvl>
                  <c:pt idx="0">
                    <c:v>Aug-20</c:v>
                  </c:pt>
                  <c:pt idx="1">
                    <c:v>Oct-20</c:v>
                  </c:pt>
                  <c:pt idx="2">
                    <c:v>Dec-20</c:v>
                  </c:pt>
                  <c:pt idx="3">
                    <c:v>Feb-21</c:v>
                  </c:pt>
                  <c:pt idx="4">
                    <c:v>May-21</c:v>
                  </c:pt>
                  <c:pt idx="5">
                    <c:v>Jun-21</c:v>
                  </c:pt>
                  <c:pt idx="6">
                    <c:v>Aug-21</c:v>
                  </c:pt>
                  <c:pt idx="7">
                    <c:v>Oct-21</c:v>
                  </c:pt>
                  <c:pt idx="8">
                    <c:v>Dec-21</c:v>
                  </c:pt>
                  <c:pt idx="9">
                    <c:v>Feb-22</c:v>
                  </c:pt>
                  <c:pt idx="10">
                    <c:v>Apr-22</c:v>
                  </c:pt>
                  <c:pt idx="11">
                    <c:v>Jul-22</c:v>
                  </c:pt>
                  <c:pt idx="12">
                    <c:v>Aug-22</c:v>
                  </c:pt>
                </c:lvl>
              </c:multiLvlStrCache>
            </c:multiLvlStrRef>
          </c:cat>
          <c:val>
            <c:numRef>
              <c:f>'COVID19 assumptions'!$I$96:$U$96</c:f>
              <c:numCache>
                <c:formatCode>0%</c:formatCode>
                <c:ptCount val="13"/>
                <c:pt idx="0">
                  <c:v>0.3</c:v>
                </c:pt>
                <c:pt idx="1">
                  <c:v>7.1070936937017271E-2</c:v>
                </c:pt>
                <c:pt idx="2" formatCode="0.0%">
                  <c:v>0.22485403175843244</c:v>
                </c:pt>
                <c:pt idx="3" formatCode="0.0%">
                  <c:v>0.184</c:v>
                </c:pt>
                <c:pt idx="4" formatCode="0.0%">
                  <c:v>0.28150614626317161</c:v>
                </c:pt>
                <c:pt idx="5" formatCode="0.0%">
                  <c:v>9.0205438935147431E-2</c:v>
                </c:pt>
                <c:pt idx="6" formatCode="0.0%">
                  <c:v>-0.16</c:v>
                </c:pt>
                <c:pt idx="7" formatCode="0.0%">
                  <c:v>-5.0385715727827241E-2</c:v>
                </c:pt>
                <c:pt idx="8" formatCode="0.0%">
                  <c:v>1.052021501158551E-2</c:v>
                </c:pt>
                <c:pt idx="9" formatCode="0.0%">
                  <c:v>-2.4E-2</c:v>
                </c:pt>
                <c:pt idx="10" formatCode="0.0%">
                  <c:v>-1.3778066743645345E-2</c:v>
                </c:pt>
                <c:pt idx="11" formatCode="0.0%">
                  <c:v>0.21118666573553435</c:v>
                </c:pt>
                <c:pt idx="12" formatCode="0.0%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DFF-46DC-A5FC-36737BCBFC72}"/>
            </c:ext>
          </c:extLst>
        </c:ser>
        <c:ser>
          <c:idx val="2"/>
          <c:order val="2"/>
          <c:tx>
            <c:strRef>
              <c:f>'COVID19 assumptions'!$A$97</c:f>
              <c:strCache>
                <c:ptCount val="1"/>
                <c:pt idx="0">
                  <c:v>BCF</c:v>
                </c:pt>
              </c:strCache>
            </c:strRef>
          </c:tx>
          <c:spPr>
            <a:ln w="28575" cap="rnd">
              <a:solidFill>
                <a:schemeClr val="bg2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bg2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FF-46DC-A5FC-36737BCBFC72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solidFill>
                  <a:schemeClr val="bg2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3DFF-46DC-A5FC-36737BCBFC72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solidFill>
                  <a:schemeClr val="bg2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3DFF-46DC-A5FC-36737BCBFC72}"/>
              </c:ext>
            </c:extLst>
          </c:dPt>
          <c:cat>
            <c:multiLvlStrRef>
              <c:f>'COVID19 assumptions'!$I$92:$U$94</c:f>
              <c:multiLvlStrCache>
                <c:ptCount val="13"/>
                <c:lvl>
                  <c:pt idx="0">
                    <c:v>7 weeks</c:v>
                  </c:pt>
                  <c:pt idx="1">
                    <c:v>10 weeks</c:v>
                  </c:pt>
                  <c:pt idx="2">
                    <c:v>9 weeks</c:v>
                  </c:pt>
                  <c:pt idx="3">
                    <c:v>7 weeks</c:v>
                  </c:pt>
                  <c:pt idx="4">
                    <c:v>11 weeks</c:v>
                  </c:pt>
                  <c:pt idx="5">
                    <c:v>8 weeks</c:v>
                  </c:pt>
                  <c:pt idx="6">
                    <c:v>7 weeks</c:v>
                  </c:pt>
                  <c:pt idx="7">
                    <c:v>9 weeks</c:v>
                  </c:pt>
                  <c:pt idx="8">
                    <c:v>10 weeks </c:v>
                  </c:pt>
                  <c:pt idx="9">
                    <c:v>7 weeks</c:v>
                  </c:pt>
                  <c:pt idx="10">
                    <c:v>10 weeks</c:v>
                  </c:pt>
                  <c:pt idx="11">
                    <c:v>10 weeks</c:v>
                  </c:pt>
                  <c:pt idx="12">
                    <c:v>6 weeks</c:v>
                  </c:pt>
                </c:lvl>
                <c:lvl>
                  <c:pt idx="0">
                    <c:v>Jun-20</c:v>
                  </c:pt>
                  <c:pt idx="1">
                    <c:v>Aug-20</c:v>
                  </c:pt>
                  <c:pt idx="2">
                    <c:v>Oct-20</c:v>
                  </c:pt>
                  <c:pt idx="3">
                    <c:v>Dec-20</c:v>
                  </c:pt>
                  <c:pt idx="4">
                    <c:v>Feb-21</c:v>
                  </c:pt>
                  <c:pt idx="5">
                    <c:v>May-21</c:v>
                  </c:pt>
                  <c:pt idx="6">
                    <c:v>Jun-21</c:v>
                  </c:pt>
                  <c:pt idx="7">
                    <c:v>Aug-21</c:v>
                  </c:pt>
                  <c:pt idx="8">
                    <c:v>Oct-21</c:v>
                  </c:pt>
                  <c:pt idx="9">
                    <c:v>Dec-21</c:v>
                  </c:pt>
                  <c:pt idx="10">
                    <c:v>Feb-22</c:v>
                  </c:pt>
                  <c:pt idx="11">
                    <c:v>Apr-22</c:v>
                  </c:pt>
                  <c:pt idx="12">
                    <c:v>Jul-22</c:v>
                  </c:pt>
                </c:lvl>
                <c:lvl>
                  <c:pt idx="0">
                    <c:v>Aug-20</c:v>
                  </c:pt>
                  <c:pt idx="1">
                    <c:v>Oct-20</c:v>
                  </c:pt>
                  <c:pt idx="2">
                    <c:v>Dec-20</c:v>
                  </c:pt>
                  <c:pt idx="3">
                    <c:v>Feb-21</c:v>
                  </c:pt>
                  <c:pt idx="4">
                    <c:v>May-21</c:v>
                  </c:pt>
                  <c:pt idx="5">
                    <c:v>Jun-21</c:v>
                  </c:pt>
                  <c:pt idx="6">
                    <c:v>Aug-21</c:v>
                  </c:pt>
                  <c:pt idx="7">
                    <c:v>Oct-21</c:v>
                  </c:pt>
                  <c:pt idx="8">
                    <c:v>Dec-21</c:v>
                  </c:pt>
                  <c:pt idx="9">
                    <c:v>Feb-22</c:v>
                  </c:pt>
                  <c:pt idx="10">
                    <c:v>Apr-22</c:v>
                  </c:pt>
                  <c:pt idx="11">
                    <c:v>Jul-22</c:v>
                  </c:pt>
                  <c:pt idx="12">
                    <c:v>Aug-22</c:v>
                  </c:pt>
                </c:lvl>
              </c:multiLvlStrCache>
            </c:multiLvlStrRef>
          </c:cat>
          <c:val>
            <c:numRef>
              <c:f>'COVID19 assumptions'!$I$97:$U$97</c:f>
              <c:numCache>
                <c:formatCode>0%</c:formatCode>
                <c:ptCount val="13"/>
                <c:pt idx="0">
                  <c:v>0.72</c:v>
                </c:pt>
                <c:pt idx="1">
                  <c:v>0.53721309854857657</c:v>
                </c:pt>
                <c:pt idx="2" formatCode="0.0%">
                  <c:v>0.26599647505189594</c:v>
                </c:pt>
                <c:pt idx="3" formatCode="0.0%">
                  <c:v>0.71199999999999997</c:v>
                </c:pt>
                <c:pt idx="4" formatCode="0.0%">
                  <c:v>0.71298320069715304</c:v>
                </c:pt>
                <c:pt idx="5" formatCode="0.0%">
                  <c:v>-7.1062011086993837E-2</c:v>
                </c:pt>
                <c:pt idx="6" formatCode="0.0%">
                  <c:v>-0.21</c:v>
                </c:pt>
                <c:pt idx="7" formatCode="0.0%">
                  <c:v>-4.2969228951183047E-2</c:v>
                </c:pt>
                <c:pt idx="8" formatCode="0.0%">
                  <c:v>0.11238742590161155</c:v>
                </c:pt>
                <c:pt idx="9" formatCode="0.0%">
                  <c:v>0.122</c:v>
                </c:pt>
                <c:pt idx="10" formatCode="0.0%">
                  <c:v>4.4926784190816749E-2</c:v>
                </c:pt>
                <c:pt idx="11" formatCode="0.0%">
                  <c:v>0.11090357260253847</c:v>
                </c:pt>
                <c:pt idx="12" formatCode="0.0%">
                  <c:v>0.17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DFF-46DC-A5FC-36737BCBFC72}"/>
            </c:ext>
          </c:extLst>
        </c:ser>
        <c:ser>
          <c:idx val="3"/>
          <c:order val="3"/>
          <c:tx>
            <c:strRef>
              <c:f>'COVID19 assumptions'!$A$98</c:f>
              <c:strCache>
                <c:ptCount val="1"/>
                <c:pt idx="0">
                  <c:v>Macpac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accent5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3DFF-46DC-A5FC-36737BCBFC72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solidFill>
                  <a:schemeClr val="accent5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3DFF-46DC-A5FC-36737BCBFC72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solidFill>
                  <a:schemeClr val="accent5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3DFF-46DC-A5FC-36737BCBFC72}"/>
              </c:ext>
            </c:extLst>
          </c:dPt>
          <c:cat>
            <c:multiLvlStrRef>
              <c:f>'COVID19 assumptions'!$I$92:$U$94</c:f>
              <c:multiLvlStrCache>
                <c:ptCount val="13"/>
                <c:lvl>
                  <c:pt idx="0">
                    <c:v>7 weeks</c:v>
                  </c:pt>
                  <c:pt idx="1">
                    <c:v>10 weeks</c:v>
                  </c:pt>
                  <c:pt idx="2">
                    <c:v>9 weeks</c:v>
                  </c:pt>
                  <c:pt idx="3">
                    <c:v>7 weeks</c:v>
                  </c:pt>
                  <c:pt idx="4">
                    <c:v>11 weeks</c:v>
                  </c:pt>
                  <c:pt idx="5">
                    <c:v>8 weeks</c:v>
                  </c:pt>
                  <c:pt idx="6">
                    <c:v>7 weeks</c:v>
                  </c:pt>
                  <c:pt idx="7">
                    <c:v>9 weeks</c:v>
                  </c:pt>
                  <c:pt idx="8">
                    <c:v>10 weeks </c:v>
                  </c:pt>
                  <c:pt idx="9">
                    <c:v>7 weeks</c:v>
                  </c:pt>
                  <c:pt idx="10">
                    <c:v>10 weeks</c:v>
                  </c:pt>
                  <c:pt idx="11">
                    <c:v>10 weeks</c:v>
                  </c:pt>
                  <c:pt idx="12">
                    <c:v>6 weeks</c:v>
                  </c:pt>
                </c:lvl>
                <c:lvl>
                  <c:pt idx="0">
                    <c:v>Jun-20</c:v>
                  </c:pt>
                  <c:pt idx="1">
                    <c:v>Aug-20</c:v>
                  </c:pt>
                  <c:pt idx="2">
                    <c:v>Oct-20</c:v>
                  </c:pt>
                  <c:pt idx="3">
                    <c:v>Dec-20</c:v>
                  </c:pt>
                  <c:pt idx="4">
                    <c:v>Feb-21</c:v>
                  </c:pt>
                  <c:pt idx="5">
                    <c:v>May-21</c:v>
                  </c:pt>
                  <c:pt idx="6">
                    <c:v>Jun-21</c:v>
                  </c:pt>
                  <c:pt idx="7">
                    <c:v>Aug-21</c:v>
                  </c:pt>
                  <c:pt idx="8">
                    <c:v>Oct-21</c:v>
                  </c:pt>
                  <c:pt idx="9">
                    <c:v>Dec-21</c:v>
                  </c:pt>
                  <c:pt idx="10">
                    <c:v>Feb-22</c:v>
                  </c:pt>
                  <c:pt idx="11">
                    <c:v>Apr-22</c:v>
                  </c:pt>
                  <c:pt idx="12">
                    <c:v>Jul-22</c:v>
                  </c:pt>
                </c:lvl>
                <c:lvl>
                  <c:pt idx="0">
                    <c:v>Aug-20</c:v>
                  </c:pt>
                  <c:pt idx="1">
                    <c:v>Oct-20</c:v>
                  </c:pt>
                  <c:pt idx="2">
                    <c:v>Dec-20</c:v>
                  </c:pt>
                  <c:pt idx="3">
                    <c:v>Feb-21</c:v>
                  </c:pt>
                  <c:pt idx="4">
                    <c:v>May-21</c:v>
                  </c:pt>
                  <c:pt idx="5">
                    <c:v>Jun-21</c:v>
                  </c:pt>
                  <c:pt idx="6">
                    <c:v>Aug-21</c:v>
                  </c:pt>
                  <c:pt idx="7">
                    <c:v>Oct-21</c:v>
                  </c:pt>
                  <c:pt idx="8">
                    <c:v>Dec-21</c:v>
                  </c:pt>
                  <c:pt idx="9">
                    <c:v>Feb-22</c:v>
                  </c:pt>
                  <c:pt idx="10">
                    <c:v>Apr-22</c:v>
                  </c:pt>
                  <c:pt idx="11">
                    <c:v>Jul-22</c:v>
                  </c:pt>
                  <c:pt idx="12">
                    <c:v>Aug-22</c:v>
                  </c:pt>
                </c:lvl>
              </c:multiLvlStrCache>
            </c:multiLvlStrRef>
          </c:cat>
          <c:val>
            <c:numRef>
              <c:f>'COVID19 assumptions'!$I$98:$U$98</c:f>
              <c:numCache>
                <c:formatCode>0%</c:formatCode>
                <c:ptCount val="13"/>
                <c:pt idx="0">
                  <c:v>0.16</c:v>
                </c:pt>
                <c:pt idx="1">
                  <c:v>-0.11394794256555307</c:v>
                </c:pt>
                <c:pt idx="2" formatCode="0.0%">
                  <c:v>-0.14558814737247516</c:v>
                </c:pt>
                <c:pt idx="3" formatCode="0.0%">
                  <c:v>0.08</c:v>
                </c:pt>
                <c:pt idx="4" formatCode="0.0%">
                  <c:v>0.94299916168537634</c:v>
                </c:pt>
                <c:pt idx="5" formatCode="0.0%">
                  <c:v>4.8923035614374388E-3</c:v>
                </c:pt>
                <c:pt idx="6" formatCode="0.0%">
                  <c:v>-0.02</c:v>
                </c:pt>
                <c:pt idx="7" formatCode="0.0%">
                  <c:v>-0.15767922266929812</c:v>
                </c:pt>
                <c:pt idx="8" formatCode="0.0%">
                  <c:v>0.15006488430464149</c:v>
                </c:pt>
                <c:pt idx="9" formatCode="0.0%">
                  <c:v>0.08</c:v>
                </c:pt>
                <c:pt idx="10" formatCode="0.0%">
                  <c:v>-3.3036140751850018E-2</c:v>
                </c:pt>
                <c:pt idx="11" formatCode="0.0%">
                  <c:v>0.23706765422872134</c:v>
                </c:pt>
                <c:pt idx="12" formatCode="0.0%">
                  <c:v>0.42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DFF-46DC-A5FC-36737BCBF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6126703"/>
        <c:axId val="1816140847"/>
      </c:lineChart>
      <c:catAx>
        <c:axId val="1816126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140847"/>
        <c:crosses val="autoZero"/>
        <c:auto val="1"/>
        <c:lblAlgn val="ctr"/>
        <c:lblOffset val="100"/>
        <c:noMultiLvlLbl val="0"/>
      </c:catAx>
      <c:valAx>
        <c:axId val="1816140847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126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460896489501313"/>
          <c:y val="0.93017554910899292"/>
          <c:w val="0.74556491961942262"/>
          <c:h val="6.71559055118110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Charts!$C$2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Charts!$B$3:$B$6</c:f>
              <c:strCache>
                <c:ptCount val="4"/>
                <c:pt idx="0">
                  <c:v>Supercheap</c:v>
                </c:pt>
                <c:pt idx="1">
                  <c:v>rebel </c:v>
                </c:pt>
                <c:pt idx="2">
                  <c:v>BCF</c:v>
                </c:pt>
                <c:pt idx="3">
                  <c:v>macpac</c:v>
                </c:pt>
              </c:strCache>
            </c:strRef>
          </c:cat>
          <c:val>
            <c:numRef>
              <c:f>Charts!$C$3:$C$6</c:f>
              <c:numCache>
                <c:formatCode>General</c:formatCode>
                <c:ptCount val="4"/>
                <c:pt idx="0">
                  <c:v>323</c:v>
                </c:pt>
                <c:pt idx="1">
                  <c:v>161</c:v>
                </c:pt>
                <c:pt idx="2">
                  <c:v>136</c:v>
                </c:pt>
                <c:pt idx="3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1A-4F92-B598-AF0D25B7CDB3}"/>
            </c:ext>
          </c:extLst>
        </c:ser>
        <c:ser>
          <c:idx val="1"/>
          <c:order val="1"/>
          <c:tx>
            <c:strRef>
              <c:f>Charts!$D$2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Charts!$B$3:$B$6</c:f>
              <c:strCache>
                <c:ptCount val="4"/>
                <c:pt idx="0">
                  <c:v>Supercheap</c:v>
                </c:pt>
                <c:pt idx="1">
                  <c:v>rebel </c:v>
                </c:pt>
                <c:pt idx="2">
                  <c:v>BCF</c:v>
                </c:pt>
                <c:pt idx="3">
                  <c:v>macpac</c:v>
                </c:pt>
              </c:strCache>
            </c:strRef>
          </c:cat>
          <c:val>
            <c:numRef>
              <c:f>Charts!$D$3:$D$6</c:f>
              <c:numCache>
                <c:formatCode>General</c:formatCode>
                <c:ptCount val="4"/>
                <c:pt idx="0">
                  <c:v>329</c:v>
                </c:pt>
                <c:pt idx="1">
                  <c:v>154</c:v>
                </c:pt>
                <c:pt idx="2">
                  <c:v>145</c:v>
                </c:pt>
                <c:pt idx="3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1A-4F92-B598-AF0D25B7CDB3}"/>
            </c:ext>
          </c:extLst>
        </c:ser>
        <c:ser>
          <c:idx val="2"/>
          <c:order val="2"/>
          <c:tx>
            <c:strRef>
              <c:f>Charts!$E$2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~</a:t>
                    </a:r>
                    <a:fld id="{350C6D38-4DB9-4A5E-A32E-A1C75949EF36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01A-4F92-B598-AF0D25B7CD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155-160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01A-4F92-B598-AF0D25B7CD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~165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01A-4F92-B598-AF0D25B7CD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~105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01A-4F92-B598-AF0D25B7CD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Charts!$B$3:$B$6</c:f>
              <c:strCache>
                <c:ptCount val="4"/>
                <c:pt idx="0">
                  <c:v>Supercheap</c:v>
                </c:pt>
                <c:pt idx="1">
                  <c:v>rebel </c:v>
                </c:pt>
                <c:pt idx="2">
                  <c:v>BCF</c:v>
                </c:pt>
                <c:pt idx="3">
                  <c:v>macpac</c:v>
                </c:pt>
              </c:strCache>
            </c:strRef>
          </c:cat>
          <c:val>
            <c:numRef>
              <c:f>Charts!$E$3:$E$6</c:f>
              <c:numCache>
                <c:formatCode>General</c:formatCode>
                <c:ptCount val="4"/>
                <c:pt idx="0">
                  <c:v>360</c:v>
                </c:pt>
                <c:pt idx="1">
                  <c:v>157.5</c:v>
                </c:pt>
                <c:pt idx="2">
                  <c:v>165</c:v>
                </c:pt>
                <c:pt idx="3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1A-4F92-B598-AF0D25B7C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843306751"/>
        <c:axId val="843304255"/>
      </c:barChart>
      <c:catAx>
        <c:axId val="843306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3304255"/>
        <c:crosses val="autoZero"/>
        <c:auto val="1"/>
        <c:lblAlgn val="ctr"/>
        <c:lblOffset val="100"/>
        <c:noMultiLvlLbl val="0"/>
      </c:catAx>
      <c:valAx>
        <c:axId val="84330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3306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0"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Charts!$C$11</c:f>
              <c:strCache>
                <c:ptCount val="1"/>
                <c:pt idx="0">
                  <c:v>Club members - Dec-21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Charts!$B$12:$B$15</c:f>
              <c:strCache>
                <c:ptCount val="4"/>
                <c:pt idx="0">
                  <c:v>Supercheap</c:v>
                </c:pt>
                <c:pt idx="1">
                  <c:v>rebel </c:v>
                </c:pt>
                <c:pt idx="2">
                  <c:v>BCF</c:v>
                </c:pt>
                <c:pt idx="3">
                  <c:v>macpac</c:v>
                </c:pt>
              </c:strCache>
            </c:strRef>
          </c:cat>
          <c:val>
            <c:numRef>
              <c:f>Charts!$C$12:$C$15</c:f>
              <c:numCache>
                <c:formatCode>0.0</c:formatCode>
                <c:ptCount val="4"/>
                <c:pt idx="0">
                  <c:v>2.8</c:v>
                </c:pt>
                <c:pt idx="1">
                  <c:v>3.3</c:v>
                </c:pt>
                <c:pt idx="2">
                  <c:v>2.1</c:v>
                </c:pt>
                <c:pt idx="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4D-43D1-AEB1-CF34304EC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843297183"/>
        <c:axId val="843308831"/>
      </c:barChart>
      <c:lineChart>
        <c:grouping val="stacked"/>
        <c:varyColors val="0"/>
        <c:ser>
          <c:idx val="1"/>
          <c:order val="1"/>
          <c:tx>
            <c:strRef>
              <c:f>Charts!$D$11</c:f>
              <c:strCache>
                <c:ptCount val="1"/>
                <c:pt idx="0">
                  <c:v>% of sales from club members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274D-43D1-AEB1-CF34304EC26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274D-43D1-AEB1-CF34304EC2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Charts!$B$12:$B$16</c:f>
              <c:strCache>
                <c:ptCount val="4"/>
                <c:pt idx="0">
                  <c:v>Supercheap</c:v>
                </c:pt>
                <c:pt idx="1">
                  <c:v>rebel </c:v>
                </c:pt>
                <c:pt idx="2">
                  <c:v>BCF</c:v>
                </c:pt>
                <c:pt idx="3">
                  <c:v>macpac</c:v>
                </c:pt>
              </c:strCache>
            </c:strRef>
          </c:cat>
          <c:val>
            <c:numRef>
              <c:f>Charts!$D$12:$D$15</c:f>
              <c:numCache>
                <c:formatCode>0%</c:formatCode>
                <c:ptCount val="4"/>
                <c:pt idx="0">
                  <c:v>0.56999999999999995</c:v>
                </c:pt>
                <c:pt idx="1">
                  <c:v>0.7</c:v>
                </c:pt>
                <c:pt idx="2">
                  <c:v>0.86</c:v>
                </c:pt>
                <c:pt idx="3">
                  <c:v>0.69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4D-43D1-AEB1-CF34304EC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301935"/>
        <c:axId val="777297359"/>
      </c:lineChart>
      <c:catAx>
        <c:axId val="84329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3308831"/>
        <c:crosses val="autoZero"/>
        <c:auto val="1"/>
        <c:lblAlgn val="ctr"/>
        <c:lblOffset val="100"/>
        <c:noMultiLvlLbl val="0"/>
      </c:catAx>
      <c:valAx>
        <c:axId val="84330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3297183"/>
        <c:crosses val="autoZero"/>
        <c:crossBetween val="between"/>
      </c:valAx>
      <c:valAx>
        <c:axId val="77729735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77301935"/>
        <c:crosses val="max"/>
        <c:crossBetween val="between"/>
      </c:valAx>
      <c:catAx>
        <c:axId val="777301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72973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0"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Charts!$B$19:$B$23</c:f>
              <c:strCache>
                <c:ptCount val="5"/>
                <c:pt idx="0">
                  <c:v>Group</c:v>
                </c:pt>
                <c:pt idx="1">
                  <c:v>In-store</c:v>
                </c:pt>
                <c:pt idx="2">
                  <c:v>Click/collect</c:v>
                </c:pt>
                <c:pt idx="3">
                  <c:v>Home delivery</c:v>
                </c:pt>
                <c:pt idx="4">
                  <c:v>Online blended</c:v>
                </c:pt>
              </c:strCache>
            </c:strRef>
          </c:cat>
          <c:val>
            <c:numRef>
              <c:f>Charts!$C$19:$C$23</c:f>
              <c:numCache>
                <c:formatCode>General</c:formatCode>
                <c:ptCount val="5"/>
                <c:pt idx="0">
                  <c:v>100</c:v>
                </c:pt>
                <c:pt idx="1">
                  <c:v>89</c:v>
                </c:pt>
                <c:pt idx="2">
                  <c:v>159</c:v>
                </c:pt>
                <c:pt idx="3">
                  <c:v>167</c:v>
                </c:pt>
                <c:pt idx="4">
                  <c:v>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C9-40EA-9BB8-D71DB6847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598094047"/>
        <c:axId val="598097375"/>
      </c:barChart>
      <c:catAx>
        <c:axId val="59809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8097375"/>
        <c:crosses val="autoZero"/>
        <c:auto val="1"/>
        <c:lblAlgn val="ctr"/>
        <c:lblOffset val="100"/>
        <c:noMultiLvlLbl val="0"/>
      </c:catAx>
      <c:valAx>
        <c:axId val="59809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8094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0"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571741032370954E-2"/>
          <c:y val="0.1162153689122193"/>
          <c:w val="0.87487270341207346"/>
          <c:h val="0.850518737241178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'Summary sheet'!$B$3</c:f>
              <c:strCache>
                <c:ptCount val="1"/>
                <c:pt idx="0">
                  <c:v>Operating cashflow</c:v>
                </c:pt>
              </c:strCache>
            </c:strRef>
          </c:tx>
          <c:invertIfNegative val="0"/>
          <c:cat>
            <c:strRef>
              <c:f>'Summary sheet'!$C$2:$P$2</c:f>
              <c:strCache>
                <c:ptCount val="14"/>
                <c:pt idx="0">
                  <c:v>FY10</c:v>
                </c:pt>
                <c:pt idx="1">
                  <c:v>FY11</c:v>
                </c:pt>
                <c:pt idx="2">
                  <c:v>FY12</c:v>
                </c:pt>
                <c:pt idx="3">
                  <c:v>FY13</c:v>
                </c:pt>
                <c:pt idx="4">
                  <c:v>FY14</c:v>
                </c:pt>
                <c:pt idx="5">
                  <c:v>FY15</c:v>
                </c:pt>
                <c:pt idx="6">
                  <c:v>FY16</c:v>
                </c:pt>
                <c:pt idx="7">
                  <c:v>FY17</c:v>
                </c:pt>
                <c:pt idx="8">
                  <c:v>FY18</c:v>
                </c:pt>
                <c:pt idx="9">
                  <c:v>FY19</c:v>
                </c:pt>
                <c:pt idx="10">
                  <c:v>FY20</c:v>
                </c:pt>
                <c:pt idx="11">
                  <c:v>FY21e</c:v>
                </c:pt>
                <c:pt idx="12">
                  <c:v>FY22e</c:v>
                </c:pt>
                <c:pt idx="13">
                  <c:v>FY23e</c:v>
                </c:pt>
              </c:strCache>
            </c:strRef>
          </c:cat>
          <c:val>
            <c:numRef>
              <c:f>'Summary sheet'!$C$3:$P$3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217.5</c:v>
                </c:pt>
                <c:pt idx="8" formatCode="General">
                  <c:v>290.29999999999995</c:v>
                </c:pt>
                <c:pt idx="9">
                  <c:v>224.9</c:v>
                </c:pt>
                <c:pt idx="10">
                  <c:v>385.09999999999997</c:v>
                </c:pt>
                <c:pt idx="11">
                  <c:v>370</c:v>
                </c:pt>
                <c:pt idx="12">
                  <c:v>80.799999999999955</c:v>
                </c:pt>
                <c:pt idx="13">
                  <c:v>459.8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F-41CF-8EE9-188BFE930634}"/>
            </c:ext>
          </c:extLst>
        </c:ser>
        <c:ser>
          <c:idx val="1"/>
          <c:order val="1"/>
          <c:tx>
            <c:strRef>
              <c:f>'Summary sheet'!$B$4</c:f>
              <c:strCache>
                <c:ptCount val="1"/>
                <c:pt idx="0">
                  <c:v>Capex</c:v>
                </c:pt>
              </c:strCache>
            </c:strRef>
          </c:tx>
          <c:invertIfNegative val="0"/>
          <c:cat>
            <c:strRef>
              <c:f>'Summary sheet'!$C$2:$P$2</c:f>
              <c:strCache>
                <c:ptCount val="14"/>
                <c:pt idx="0">
                  <c:v>FY10</c:v>
                </c:pt>
                <c:pt idx="1">
                  <c:v>FY11</c:v>
                </c:pt>
                <c:pt idx="2">
                  <c:v>FY12</c:v>
                </c:pt>
                <c:pt idx="3">
                  <c:v>FY13</c:v>
                </c:pt>
                <c:pt idx="4">
                  <c:v>FY14</c:v>
                </c:pt>
                <c:pt idx="5">
                  <c:v>FY15</c:v>
                </c:pt>
                <c:pt idx="6">
                  <c:v>FY16</c:v>
                </c:pt>
                <c:pt idx="7">
                  <c:v>FY17</c:v>
                </c:pt>
                <c:pt idx="8">
                  <c:v>FY18</c:v>
                </c:pt>
                <c:pt idx="9">
                  <c:v>FY19</c:v>
                </c:pt>
                <c:pt idx="10">
                  <c:v>FY20</c:v>
                </c:pt>
                <c:pt idx="11">
                  <c:v>FY21e</c:v>
                </c:pt>
                <c:pt idx="12">
                  <c:v>FY22e</c:v>
                </c:pt>
                <c:pt idx="13">
                  <c:v>FY23e</c:v>
                </c:pt>
              </c:strCache>
            </c:strRef>
          </c:cat>
          <c:val>
            <c:numRef>
              <c:f>'Summary sheet'!$C$4:$P$4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-102.1</c:v>
                </c:pt>
                <c:pt idx="8" formatCode="General">
                  <c:v>-107.1</c:v>
                </c:pt>
                <c:pt idx="9">
                  <c:v>-89.800000000000011</c:v>
                </c:pt>
                <c:pt idx="10">
                  <c:v>-67.8</c:v>
                </c:pt>
                <c:pt idx="11">
                  <c:v>-85</c:v>
                </c:pt>
                <c:pt idx="12">
                  <c:v>-125</c:v>
                </c:pt>
                <c:pt idx="13">
                  <c:v>-108.5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8F-41CF-8EE9-188BFE930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8532224"/>
        <c:axId val="659262464"/>
      </c:barChart>
      <c:lineChart>
        <c:grouping val="stacked"/>
        <c:varyColors val="0"/>
        <c:ser>
          <c:idx val="2"/>
          <c:order val="2"/>
          <c:tx>
            <c:strRef>
              <c:f>'Summary sheet'!$B$5</c:f>
              <c:strCache>
                <c:ptCount val="1"/>
                <c:pt idx="0">
                  <c:v>FCF</c:v>
                </c:pt>
              </c:strCache>
            </c:strRef>
          </c:tx>
          <c:marker>
            <c:symbol val="none"/>
          </c:marker>
          <c:cat>
            <c:strRef>
              <c:f>'Summary sheet'!$C$2:$P$2</c:f>
              <c:strCache>
                <c:ptCount val="14"/>
                <c:pt idx="0">
                  <c:v>FY10</c:v>
                </c:pt>
                <c:pt idx="1">
                  <c:v>FY11</c:v>
                </c:pt>
                <c:pt idx="2">
                  <c:v>FY12</c:v>
                </c:pt>
                <c:pt idx="3">
                  <c:v>FY13</c:v>
                </c:pt>
                <c:pt idx="4">
                  <c:v>FY14</c:v>
                </c:pt>
                <c:pt idx="5">
                  <c:v>FY15</c:v>
                </c:pt>
                <c:pt idx="6">
                  <c:v>FY16</c:v>
                </c:pt>
                <c:pt idx="7">
                  <c:v>FY17</c:v>
                </c:pt>
                <c:pt idx="8">
                  <c:v>FY18</c:v>
                </c:pt>
                <c:pt idx="9">
                  <c:v>FY19</c:v>
                </c:pt>
                <c:pt idx="10">
                  <c:v>FY20</c:v>
                </c:pt>
                <c:pt idx="11">
                  <c:v>FY21e</c:v>
                </c:pt>
                <c:pt idx="12">
                  <c:v>FY22e</c:v>
                </c:pt>
                <c:pt idx="13">
                  <c:v>FY23e</c:v>
                </c:pt>
              </c:strCache>
            </c:strRef>
          </c:cat>
          <c:val>
            <c:numRef>
              <c:f>'Summary sheet'!$C$5:$P$5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115.4</c:v>
                </c:pt>
                <c:pt idx="8" formatCode="General">
                  <c:v>183.19999999999996</c:v>
                </c:pt>
                <c:pt idx="9">
                  <c:v>135.1</c:v>
                </c:pt>
                <c:pt idx="10">
                  <c:v>317.29999999999995</c:v>
                </c:pt>
                <c:pt idx="11">
                  <c:v>285</c:v>
                </c:pt>
                <c:pt idx="12">
                  <c:v>-44.200000000000045</c:v>
                </c:pt>
                <c:pt idx="13">
                  <c:v>351.3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8F-41CF-8EE9-188BFE930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532224"/>
        <c:axId val="659262464"/>
      </c:lineChart>
      <c:catAx>
        <c:axId val="658532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59262464"/>
        <c:crosses val="autoZero"/>
        <c:auto val="1"/>
        <c:lblAlgn val="ctr"/>
        <c:lblOffset val="100"/>
        <c:noMultiLvlLbl val="0"/>
      </c:catAx>
      <c:valAx>
        <c:axId val="659262464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crossAx val="658532224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9420188101487312"/>
          <c:y val="1.8134660250801984E-2"/>
          <c:w val="0.63381824146981625"/>
          <c:h val="8.3717191601049873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571741032370954E-2"/>
          <c:y val="0.1162153689122193"/>
          <c:w val="0.87487270341207346"/>
          <c:h val="0.850518737241178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'Summary sheet'!$B$9</c:f>
              <c:strCache>
                <c:ptCount val="1"/>
                <c:pt idx="0">
                  <c:v>FCF</c:v>
                </c:pt>
              </c:strCache>
            </c:strRef>
          </c:tx>
          <c:invertIfNegative val="0"/>
          <c:cat>
            <c:strRef>
              <c:f>'Summary sheet'!$C$2:$P$2</c:f>
              <c:strCache>
                <c:ptCount val="14"/>
                <c:pt idx="0">
                  <c:v>FY10</c:v>
                </c:pt>
                <c:pt idx="1">
                  <c:v>FY11</c:v>
                </c:pt>
                <c:pt idx="2">
                  <c:v>FY12</c:v>
                </c:pt>
                <c:pt idx="3">
                  <c:v>FY13</c:v>
                </c:pt>
                <c:pt idx="4">
                  <c:v>FY14</c:v>
                </c:pt>
                <c:pt idx="5">
                  <c:v>FY15</c:v>
                </c:pt>
                <c:pt idx="6">
                  <c:v>FY16</c:v>
                </c:pt>
                <c:pt idx="7">
                  <c:v>FY17</c:v>
                </c:pt>
                <c:pt idx="8">
                  <c:v>FY18</c:v>
                </c:pt>
                <c:pt idx="9">
                  <c:v>FY19</c:v>
                </c:pt>
                <c:pt idx="10">
                  <c:v>FY20</c:v>
                </c:pt>
                <c:pt idx="11">
                  <c:v>FY21e</c:v>
                </c:pt>
                <c:pt idx="12">
                  <c:v>FY22e</c:v>
                </c:pt>
                <c:pt idx="13">
                  <c:v>FY23e</c:v>
                </c:pt>
              </c:strCache>
            </c:strRef>
          </c:cat>
          <c:val>
            <c:numRef>
              <c:f>'Summary sheet'!$C$9:$P$9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115.4</c:v>
                </c:pt>
                <c:pt idx="8" formatCode="General">
                  <c:v>183.19999999999996</c:v>
                </c:pt>
                <c:pt idx="9">
                  <c:v>135.1</c:v>
                </c:pt>
                <c:pt idx="10">
                  <c:v>317.29999999999995</c:v>
                </c:pt>
                <c:pt idx="11">
                  <c:v>285</c:v>
                </c:pt>
                <c:pt idx="12">
                  <c:v>-44.200000000000045</c:v>
                </c:pt>
                <c:pt idx="13">
                  <c:v>351.3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30-4581-93A5-137C13D550A5}"/>
            </c:ext>
          </c:extLst>
        </c:ser>
        <c:ser>
          <c:idx val="1"/>
          <c:order val="1"/>
          <c:tx>
            <c:strRef>
              <c:f>'Summary sheet'!$B$10</c:f>
              <c:strCache>
                <c:ptCount val="1"/>
                <c:pt idx="0">
                  <c:v>Dividends</c:v>
                </c:pt>
              </c:strCache>
            </c:strRef>
          </c:tx>
          <c:invertIfNegative val="0"/>
          <c:cat>
            <c:strRef>
              <c:f>'Summary sheet'!$C$2:$P$2</c:f>
              <c:strCache>
                <c:ptCount val="14"/>
                <c:pt idx="0">
                  <c:v>FY10</c:v>
                </c:pt>
                <c:pt idx="1">
                  <c:v>FY11</c:v>
                </c:pt>
                <c:pt idx="2">
                  <c:v>FY12</c:v>
                </c:pt>
                <c:pt idx="3">
                  <c:v>FY13</c:v>
                </c:pt>
                <c:pt idx="4">
                  <c:v>FY14</c:v>
                </c:pt>
                <c:pt idx="5">
                  <c:v>FY15</c:v>
                </c:pt>
                <c:pt idx="6">
                  <c:v>FY16</c:v>
                </c:pt>
                <c:pt idx="7">
                  <c:v>FY17</c:v>
                </c:pt>
                <c:pt idx="8">
                  <c:v>FY18</c:v>
                </c:pt>
                <c:pt idx="9">
                  <c:v>FY19</c:v>
                </c:pt>
                <c:pt idx="10">
                  <c:v>FY20</c:v>
                </c:pt>
                <c:pt idx="11">
                  <c:v>FY21e</c:v>
                </c:pt>
                <c:pt idx="12">
                  <c:v>FY22e</c:v>
                </c:pt>
                <c:pt idx="13">
                  <c:v>FY23e</c:v>
                </c:pt>
              </c:strCache>
            </c:strRef>
          </c:cat>
          <c:val>
            <c:numRef>
              <c:f>'Summary sheet'!$C$10:$P$10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-84.8</c:v>
                </c:pt>
                <c:pt idx="8" formatCode="General">
                  <c:v>-91.7</c:v>
                </c:pt>
                <c:pt idx="9">
                  <c:v>-96.7</c:v>
                </c:pt>
                <c:pt idx="10">
                  <c:v>-56.2</c:v>
                </c:pt>
                <c:pt idx="11">
                  <c:v>-118.5</c:v>
                </c:pt>
                <c:pt idx="12">
                  <c:v>-185.2</c:v>
                </c:pt>
                <c:pt idx="13">
                  <c:v>-173.9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30-4581-93A5-137C13D55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0422784"/>
        <c:axId val="701043072"/>
      </c:barChart>
      <c:lineChart>
        <c:grouping val="stacked"/>
        <c:varyColors val="0"/>
        <c:ser>
          <c:idx val="2"/>
          <c:order val="2"/>
          <c:tx>
            <c:strRef>
              <c:f>'Summary sheet'!$B$11</c:f>
              <c:strCache>
                <c:ptCount val="1"/>
                <c:pt idx="0">
                  <c:v>FCF ex Div</c:v>
                </c:pt>
              </c:strCache>
            </c:strRef>
          </c:tx>
          <c:marker>
            <c:symbol val="none"/>
          </c:marker>
          <c:cat>
            <c:strRef>
              <c:f>'Summary sheet'!$C$2:$P$2</c:f>
              <c:strCache>
                <c:ptCount val="14"/>
                <c:pt idx="0">
                  <c:v>FY10</c:v>
                </c:pt>
                <c:pt idx="1">
                  <c:v>FY11</c:v>
                </c:pt>
                <c:pt idx="2">
                  <c:v>FY12</c:v>
                </c:pt>
                <c:pt idx="3">
                  <c:v>FY13</c:v>
                </c:pt>
                <c:pt idx="4">
                  <c:v>FY14</c:v>
                </c:pt>
                <c:pt idx="5">
                  <c:v>FY15</c:v>
                </c:pt>
                <c:pt idx="6">
                  <c:v>FY16</c:v>
                </c:pt>
                <c:pt idx="7">
                  <c:v>FY17</c:v>
                </c:pt>
                <c:pt idx="8">
                  <c:v>FY18</c:v>
                </c:pt>
                <c:pt idx="9">
                  <c:v>FY19</c:v>
                </c:pt>
                <c:pt idx="10">
                  <c:v>FY20</c:v>
                </c:pt>
                <c:pt idx="11">
                  <c:v>FY21e</c:v>
                </c:pt>
                <c:pt idx="12">
                  <c:v>FY22e</c:v>
                </c:pt>
                <c:pt idx="13">
                  <c:v>FY23e</c:v>
                </c:pt>
              </c:strCache>
            </c:strRef>
          </c:cat>
          <c:val>
            <c:numRef>
              <c:f>'Summary sheet'!$C$11:$P$11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30.600000000000009</c:v>
                </c:pt>
                <c:pt idx="8" formatCode="General">
                  <c:v>91.499999999999957</c:v>
                </c:pt>
                <c:pt idx="9">
                  <c:v>38.399999999999991</c:v>
                </c:pt>
                <c:pt idx="10">
                  <c:v>261.09999999999997</c:v>
                </c:pt>
                <c:pt idx="11">
                  <c:v>166.5</c:v>
                </c:pt>
                <c:pt idx="12">
                  <c:v>-229.40000000000003</c:v>
                </c:pt>
                <c:pt idx="13">
                  <c:v>177.4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30-4581-93A5-137C13D55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422784"/>
        <c:axId val="701043072"/>
      </c:lineChart>
      <c:catAx>
        <c:axId val="700422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01043072"/>
        <c:crosses val="autoZero"/>
        <c:auto val="1"/>
        <c:lblAlgn val="ctr"/>
        <c:lblOffset val="100"/>
        <c:noMultiLvlLbl val="0"/>
      </c:catAx>
      <c:valAx>
        <c:axId val="701043072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00422784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9420188101487312"/>
          <c:y val="1.8134660250801984E-2"/>
          <c:w val="0.63381824146981625"/>
          <c:h val="8.3717191601049873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571741032370954E-2"/>
          <c:y val="0.1162153689122193"/>
          <c:w val="0.87487270341207346"/>
          <c:h val="0.794963181685622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'Summary sheet'!$B$18</c:f>
              <c:strCache>
                <c:ptCount val="1"/>
                <c:pt idx="0">
                  <c:v>Net debt</c:v>
                </c:pt>
              </c:strCache>
            </c:strRef>
          </c:tx>
          <c:invertIfNegative val="0"/>
          <c:cat>
            <c:strRef>
              <c:f>'Summary sheet'!$C$2:$P$2</c:f>
              <c:strCache>
                <c:ptCount val="14"/>
                <c:pt idx="0">
                  <c:v>FY10</c:v>
                </c:pt>
                <c:pt idx="1">
                  <c:v>FY11</c:v>
                </c:pt>
                <c:pt idx="2">
                  <c:v>FY12</c:v>
                </c:pt>
                <c:pt idx="3">
                  <c:v>FY13</c:v>
                </c:pt>
                <c:pt idx="4">
                  <c:v>FY14</c:v>
                </c:pt>
                <c:pt idx="5">
                  <c:v>FY15</c:v>
                </c:pt>
                <c:pt idx="6">
                  <c:v>FY16</c:v>
                </c:pt>
                <c:pt idx="7">
                  <c:v>FY17</c:v>
                </c:pt>
                <c:pt idx="8">
                  <c:v>FY18</c:v>
                </c:pt>
                <c:pt idx="9">
                  <c:v>FY19</c:v>
                </c:pt>
                <c:pt idx="10">
                  <c:v>FY20</c:v>
                </c:pt>
                <c:pt idx="11">
                  <c:v>FY21e</c:v>
                </c:pt>
                <c:pt idx="12">
                  <c:v>FY22e</c:v>
                </c:pt>
                <c:pt idx="13">
                  <c:v>FY23e</c:v>
                </c:pt>
              </c:strCache>
            </c:strRef>
          </c:cat>
          <c:val>
            <c:numRef>
              <c:f>'Summary sheet'!$C$18:$P$18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380.70000000000005</c:v>
                </c:pt>
                <c:pt idx="8" formatCode="General">
                  <c:v>422.90000000000003</c:v>
                </c:pt>
                <c:pt idx="9">
                  <c:v>386.7</c:v>
                </c:pt>
                <c:pt idx="10">
                  <c:v>902</c:v>
                </c:pt>
                <c:pt idx="11">
                  <c:v>747.30000000000018</c:v>
                </c:pt>
                <c:pt idx="12">
                  <c:v>997.30000000000018</c:v>
                </c:pt>
                <c:pt idx="13">
                  <c:v>842.70000000000027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8-4C48-9418-DDEEF489B85F}"/>
            </c:ext>
          </c:extLst>
        </c:ser>
        <c:ser>
          <c:idx val="1"/>
          <c:order val="2"/>
          <c:tx>
            <c:v>Lease adj.</c:v>
          </c:tx>
          <c:invertIfNegative val="0"/>
          <c:cat>
            <c:strRef>
              <c:f>'Summary sheet'!$C$2:$P$2</c:f>
              <c:strCache>
                <c:ptCount val="14"/>
                <c:pt idx="0">
                  <c:v>FY10</c:v>
                </c:pt>
                <c:pt idx="1">
                  <c:v>FY11</c:v>
                </c:pt>
                <c:pt idx="2">
                  <c:v>FY12</c:v>
                </c:pt>
                <c:pt idx="3">
                  <c:v>FY13</c:v>
                </c:pt>
                <c:pt idx="4">
                  <c:v>FY14</c:v>
                </c:pt>
                <c:pt idx="5">
                  <c:v>FY15</c:v>
                </c:pt>
                <c:pt idx="6">
                  <c:v>FY16</c:v>
                </c:pt>
                <c:pt idx="7">
                  <c:v>FY17</c:v>
                </c:pt>
                <c:pt idx="8">
                  <c:v>FY18</c:v>
                </c:pt>
                <c:pt idx="9">
                  <c:v>FY19</c:v>
                </c:pt>
                <c:pt idx="10">
                  <c:v>FY20</c:v>
                </c:pt>
                <c:pt idx="11">
                  <c:v>FY21e</c:v>
                </c:pt>
                <c:pt idx="12">
                  <c:v>FY22e</c:v>
                </c:pt>
                <c:pt idx="13">
                  <c:v>FY23e</c:v>
                </c:pt>
              </c:strCache>
            </c:strRef>
          </c:cat>
          <c:val>
            <c:numRef>
              <c:f>'Summary sheet'!$C$22:$P$22</c:f>
              <c:numCache>
                <c:formatCode>0.0</c:formatCode>
                <c:ptCount val="14"/>
                <c:pt idx="10">
                  <c:v>939.3</c:v>
                </c:pt>
                <c:pt idx="11">
                  <c:v>989.6</c:v>
                </c:pt>
                <c:pt idx="12">
                  <c:v>1010.6999999999999</c:v>
                </c:pt>
                <c:pt idx="13">
                  <c:v>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75-4DE3-A520-E828516B5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3942912"/>
        <c:axId val="714826496"/>
      </c:barChart>
      <c:lineChart>
        <c:grouping val="standard"/>
        <c:varyColors val="0"/>
        <c:ser>
          <c:idx val="2"/>
          <c:order val="1"/>
          <c:tx>
            <c:strRef>
              <c:f>'Summary sheet'!$B$20</c:f>
              <c:strCache>
                <c:ptCount val="1"/>
                <c:pt idx="0">
                  <c:v>Net debt/EBITDA (RHS)</c:v>
                </c:pt>
              </c:strCache>
            </c:strRef>
          </c:tx>
          <c:marker>
            <c:symbol val="none"/>
          </c:marker>
          <c:cat>
            <c:strRef>
              <c:f>'Summary sheet'!$C$2:$P$2</c:f>
              <c:strCache>
                <c:ptCount val="14"/>
                <c:pt idx="0">
                  <c:v>FY10</c:v>
                </c:pt>
                <c:pt idx="1">
                  <c:v>FY11</c:v>
                </c:pt>
                <c:pt idx="2">
                  <c:v>FY12</c:v>
                </c:pt>
                <c:pt idx="3">
                  <c:v>FY13</c:v>
                </c:pt>
                <c:pt idx="4">
                  <c:v>FY14</c:v>
                </c:pt>
                <c:pt idx="5">
                  <c:v>FY15</c:v>
                </c:pt>
                <c:pt idx="6">
                  <c:v>FY16</c:v>
                </c:pt>
                <c:pt idx="7">
                  <c:v>FY17</c:v>
                </c:pt>
                <c:pt idx="8">
                  <c:v>FY18</c:v>
                </c:pt>
                <c:pt idx="9">
                  <c:v>FY19</c:v>
                </c:pt>
                <c:pt idx="10">
                  <c:v>FY20</c:v>
                </c:pt>
                <c:pt idx="11">
                  <c:v>FY21e</c:v>
                </c:pt>
                <c:pt idx="12">
                  <c:v>FY22e</c:v>
                </c:pt>
                <c:pt idx="13">
                  <c:v>FY23e</c:v>
                </c:pt>
              </c:strCache>
            </c:strRef>
          </c:cat>
          <c:val>
            <c:numRef>
              <c:f>'Summary sheet'!$C$20:$P$20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1.3694244604316548</c:v>
                </c:pt>
                <c:pt idx="8" formatCode="0.00">
                  <c:v>1.4379462767766067</c:v>
                </c:pt>
                <c:pt idx="9" formatCode="0.00">
                  <c:v>1.228789323164919</c:v>
                </c:pt>
                <c:pt idx="10" formatCode="0.00">
                  <c:v>2.7491618409021639</c:v>
                </c:pt>
                <c:pt idx="11" formatCode="0.00">
                  <c:v>1.340688912809473</c:v>
                </c:pt>
                <c:pt idx="12" formatCode="0.00">
                  <c:v>2.1479646780099078</c:v>
                </c:pt>
                <c:pt idx="13" formatCode="0.00">
                  <c:v>0.92692932634116043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C8-4C48-9418-DDEEF489B85F}"/>
            </c:ext>
          </c:extLst>
        </c:ser>
        <c:ser>
          <c:idx val="3"/>
          <c:order val="3"/>
          <c:tx>
            <c:strRef>
              <c:f>'Summary sheet'!$B$24</c:f>
              <c:strCache>
                <c:ptCount val="1"/>
                <c:pt idx="0">
                  <c:v>Net debt/EBITDA (Lease adj.)</c:v>
                </c:pt>
              </c:strCache>
            </c:strRef>
          </c:tx>
          <c:marker>
            <c:symbol val="none"/>
          </c:marker>
          <c:cat>
            <c:strRef>
              <c:f>'Summary sheet'!$C$2:$P$2</c:f>
              <c:strCache>
                <c:ptCount val="14"/>
                <c:pt idx="0">
                  <c:v>FY10</c:v>
                </c:pt>
                <c:pt idx="1">
                  <c:v>FY11</c:v>
                </c:pt>
                <c:pt idx="2">
                  <c:v>FY12</c:v>
                </c:pt>
                <c:pt idx="3">
                  <c:v>FY13</c:v>
                </c:pt>
                <c:pt idx="4">
                  <c:v>FY14</c:v>
                </c:pt>
                <c:pt idx="5">
                  <c:v>FY15</c:v>
                </c:pt>
                <c:pt idx="6">
                  <c:v>FY16</c:v>
                </c:pt>
                <c:pt idx="7">
                  <c:v>FY17</c:v>
                </c:pt>
                <c:pt idx="8">
                  <c:v>FY18</c:v>
                </c:pt>
                <c:pt idx="9">
                  <c:v>FY19</c:v>
                </c:pt>
                <c:pt idx="10">
                  <c:v>FY20</c:v>
                </c:pt>
                <c:pt idx="11">
                  <c:v>FY21e</c:v>
                </c:pt>
                <c:pt idx="12">
                  <c:v>FY22e</c:v>
                </c:pt>
                <c:pt idx="13">
                  <c:v>FY23e</c:v>
                </c:pt>
              </c:strCache>
            </c:strRef>
          </c:cat>
          <c:val>
            <c:numRef>
              <c:f>'Summary sheet'!$C$24:$P$24</c:f>
              <c:numCache>
                <c:formatCode>General</c:formatCode>
                <c:ptCount val="14"/>
                <c:pt idx="10" formatCode="0.00">
                  <c:v>3.4533008252063011</c:v>
                </c:pt>
                <c:pt idx="11" formatCode="0.00">
                  <c:v>2.2376964699819633</c:v>
                </c:pt>
                <c:pt idx="12" formatCode="0.00">
                  <c:v>2.8612140210886294</c:v>
                </c:pt>
                <c:pt idx="13" formatCode="0.00">
                  <c:v>2.4596541786743522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75-4DE3-A520-E828516B5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970624"/>
        <c:axId val="714828032"/>
      </c:lineChart>
      <c:catAx>
        <c:axId val="713942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/>
          <a:lstStyle/>
          <a:p>
            <a:pPr>
              <a:defRPr sz="900"/>
            </a:pPr>
            <a:endParaRPr lang="en-US"/>
          </a:p>
        </c:txPr>
        <c:crossAx val="714826496"/>
        <c:crosses val="autoZero"/>
        <c:auto val="1"/>
        <c:lblAlgn val="ctr"/>
        <c:lblOffset val="100"/>
        <c:noMultiLvlLbl val="0"/>
      </c:catAx>
      <c:valAx>
        <c:axId val="714826496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13942912"/>
        <c:crosses val="autoZero"/>
        <c:crossBetween val="between"/>
      </c:valAx>
      <c:valAx>
        <c:axId val="714828032"/>
        <c:scaling>
          <c:orientation val="minMax"/>
        </c:scaling>
        <c:delete val="0"/>
        <c:axPos val="r"/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14970624"/>
        <c:crosses val="max"/>
        <c:crossBetween val="between"/>
      </c:valAx>
      <c:catAx>
        <c:axId val="714970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4828032"/>
        <c:crosses val="autoZero"/>
        <c:auto val="1"/>
        <c:lblAlgn val="ctr"/>
        <c:lblOffset val="100"/>
        <c:noMultiLvlLbl val="0"/>
      </c:catAx>
      <c:spPr>
        <a:ln>
          <a:noFill/>
        </a:ln>
      </c:spPr>
    </c:plotArea>
    <c:legend>
      <c:legendPos val="b"/>
      <c:layout>
        <c:manualLayout>
          <c:xMode val="edge"/>
          <c:yMode val="edge"/>
          <c:x val="0.12128526902887136"/>
          <c:y val="1.8134660250801984E-2"/>
          <c:w val="0.80987327755905503"/>
          <c:h val="0.1357904682967260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'Ratio analysis'!$B$39</c:f>
              <c:strCache>
                <c:ptCount val="1"/>
                <c:pt idx="0">
                  <c:v>Adj. Net debt/EBITDAR</c:v>
                </c:pt>
              </c:strCache>
            </c:strRef>
          </c:tx>
          <c:marker>
            <c:symbol val="none"/>
          </c:marker>
          <c:cat>
            <c:strRef>
              <c:f>'Ratio analysis'!$C$2:$O$2</c:f>
              <c:strCache>
                <c:ptCount val="10"/>
                <c:pt idx="0">
                  <c:v>FY10</c:v>
                </c:pt>
                <c:pt idx="1">
                  <c:v>FY11</c:v>
                </c:pt>
                <c:pt idx="2">
                  <c:v>FY12</c:v>
                </c:pt>
                <c:pt idx="3">
                  <c:v>FY13</c:v>
                </c:pt>
                <c:pt idx="4">
                  <c:v>FY14</c:v>
                </c:pt>
                <c:pt idx="5">
                  <c:v>FY15</c:v>
                </c:pt>
                <c:pt idx="6">
                  <c:v>FY16</c:v>
                </c:pt>
                <c:pt idx="7">
                  <c:v>FY17</c:v>
                </c:pt>
                <c:pt idx="8">
                  <c:v>FY18</c:v>
                </c:pt>
                <c:pt idx="9">
                  <c:v>FY19</c:v>
                </c:pt>
              </c:strCache>
            </c:strRef>
          </c:cat>
          <c:val>
            <c:numRef>
              <c:f>'Ratio analysis'!$C$39:$O$39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2.6434877121513107</c:v>
                </c:pt>
                <c:pt idx="8">
                  <c:v>2.5777880081305202</c:v>
                </c:pt>
                <c:pt idx="9">
                  <c:v>2.4720151259606244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F-4484-915B-F00C0228F5E7}"/>
            </c:ext>
          </c:extLst>
        </c:ser>
        <c:ser>
          <c:idx val="1"/>
          <c:order val="1"/>
          <c:tx>
            <c:strRef>
              <c:f>'Ratio analysis'!$B$40</c:f>
              <c:strCache>
                <c:ptCount val="1"/>
                <c:pt idx="0">
                  <c:v>Net debt/EBITDA</c:v>
                </c:pt>
              </c:strCache>
            </c:strRef>
          </c:tx>
          <c:marker>
            <c:symbol val="none"/>
          </c:marker>
          <c:cat>
            <c:strRef>
              <c:f>'Ratio analysis'!$C$2:$O$2</c:f>
              <c:strCache>
                <c:ptCount val="10"/>
                <c:pt idx="0">
                  <c:v>FY10</c:v>
                </c:pt>
                <c:pt idx="1">
                  <c:v>FY11</c:v>
                </c:pt>
                <c:pt idx="2">
                  <c:v>FY12</c:v>
                </c:pt>
                <c:pt idx="3">
                  <c:v>FY13</c:v>
                </c:pt>
                <c:pt idx="4">
                  <c:v>FY14</c:v>
                </c:pt>
                <c:pt idx="5">
                  <c:v>FY15</c:v>
                </c:pt>
                <c:pt idx="6">
                  <c:v>FY16</c:v>
                </c:pt>
                <c:pt idx="7">
                  <c:v>FY17</c:v>
                </c:pt>
                <c:pt idx="8">
                  <c:v>FY18</c:v>
                </c:pt>
                <c:pt idx="9">
                  <c:v>FY19</c:v>
                </c:pt>
              </c:strCache>
            </c:strRef>
          </c:cat>
          <c:val>
            <c:numRef>
              <c:f>'Ratio analysis'!$C$40:$O$40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1.3694244604316548</c:v>
                </c:pt>
                <c:pt idx="8">
                  <c:v>1.4379462767766067</c:v>
                </c:pt>
                <c:pt idx="9">
                  <c:v>1.228789323164919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F-4484-915B-F00C0228F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866688"/>
        <c:axId val="720839808"/>
      </c:lineChart>
      <c:catAx>
        <c:axId val="718866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20839808"/>
        <c:crosses val="autoZero"/>
        <c:auto val="1"/>
        <c:lblAlgn val="ctr"/>
        <c:lblOffset val="100"/>
        <c:noMultiLvlLbl val="0"/>
      </c:catAx>
      <c:valAx>
        <c:axId val="72083980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1886668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Adj. Net debt/EBITDAR</c:v>
          </c:tx>
          <c:marker>
            <c:symbol val="none"/>
          </c:marker>
          <c:cat>
            <c:strLit>
              <c:ptCount val="21"/>
              <c:pt idx="0">
                <c:v>FY10</c:v>
              </c:pt>
              <c:pt idx="1">
                <c:v>FY11</c:v>
              </c:pt>
              <c:pt idx="2">
                <c:v>FY12</c:v>
              </c:pt>
              <c:pt idx="3">
                <c:v>FY13</c:v>
              </c:pt>
              <c:pt idx="4">
                <c:v>FY14</c:v>
              </c:pt>
              <c:pt idx="5">
                <c:v>FY15</c:v>
              </c:pt>
              <c:pt idx="6">
                <c:v>FY16</c:v>
              </c:pt>
              <c:pt idx="7">
                <c:v>FY17</c:v>
              </c:pt>
              <c:pt idx="8">
                <c:v>FY18</c:v>
              </c:pt>
              <c:pt idx="11">
                <c:v>FY19</c:v>
              </c:pt>
              <c:pt idx="14">
                <c:v>FY20</c:v>
              </c:pt>
              <c:pt idx="17">
                <c:v>FY21e</c:v>
              </c:pt>
              <c:pt idx="20">
                <c:v>FY22e</c:v>
              </c:pt>
            </c:strLit>
          </c:cat>
          <c:val>
            <c:numLit>
              <c:formatCode>General</c:formatCode>
              <c:ptCount val="21"/>
              <c:pt idx="0">
                <c:v>2.487092528502068</c:v>
              </c:pt>
              <c:pt idx="1">
                <c:v>2.1829456428147105</c:v>
              </c:pt>
              <c:pt idx="2">
                <c:v>2.8157037642456215</c:v>
              </c:pt>
              <c:pt idx="3">
                <c:v>2.4813050046363774</c:v>
              </c:pt>
              <c:pt idx="4">
                <c:v>2.8103882465006631</c:v>
              </c:pt>
              <c:pt idx="5">
                <c:v>2.9347106875346447</c:v>
              </c:pt>
              <c:pt idx="6">
                <c:v>2.8353395234424457</c:v>
              </c:pt>
              <c:pt idx="7">
                <c:v>2.6553516618832806</c:v>
              </c:pt>
              <c:pt idx="8">
                <c:v>2.6017452534740344</c:v>
              </c:pt>
              <c:pt idx="11">
                <c:v>2.1552242268877948</c:v>
              </c:pt>
              <c:pt idx="14">
                <c:v>1.6730997392267444</c:v>
              </c:pt>
              <c:pt idx="17">
                <c:v>1.1297682701790421</c:v>
              </c:pt>
              <c:pt idx="20">
                <c:v>1.2466647572267813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CA1-42C2-AE6F-835FA4B70D6D}"/>
            </c:ext>
          </c:extLst>
        </c:ser>
        <c:ser>
          <c:idx val="1"/>
          <c:order val="1"/>
          <c:tx>
            <c:v>Net debt/EBITDA</c:v>
          </c:tx>
          <c:marker>
            <c:symbol val="none"/>
          </c:marker>
          <c:cat>
            <c:strLit>
              <c:ptCount val="21"/>
              <c:pt idx="0">
                <c:v>FY10</c:v>
              </c:pt>
              <c:pt idx="1">
                <c:v>FY11</c:v>
              </c:pt>
              <c:pt idx="2">
                <c:v>FY12</c:v>
              </c:pt>
              <c:pt idx="3">
                <c:v>FY13</c:v>
              </c:pt>
              <c:pt idx="4">
                <c:v>FY14</c:v>
              </c:pt>
              <c:pt idx="5">
                <c:v>FY15</c:v>
              </c:pt>
              <c:pt idx="6">
                <c:v>FY16</c:v>
              </c:pt>
              <c:pt idx="7">
                <c:v>FY17</c:v>
              </c:pt>
              <c:pt idx="8">
                <c:v>FY18</c:v>
              </c:pt>
              <c:pt idx="11">
                <c:v>FY19</c:v>
              </c:pt>
              <c:pt idx="14">
                <c:v>FY20</c:v>
              </c:pt>
              <c:pt idx="17">
                <c:v>FY21e</c:v>
              </c:pt>
              <c:pt idx="20">
                <c:v>FY22e</c:v>
              </c:pt>
            </c:strLit>
          </c:cat>
          <c:val>
            <c:numLit>
              <c:formatCode>General</c:formatCode>
              <c:ptCount val="21"/>
              <c:pt idx="0">
                <c:v>0.89257359020534022</c:v>
              </c:pt>
              <c:pt idx="1">
                <c:v>0.66586316266425116</c:v>
              </c:pt>
              <c:pt idx="2">
                <c:v>1.8156133353922499</c:v>
              </c:pt>
              <c:pt idx="3">
                <c:v>1.402470187393527</c:v>
              </c:pt>
              <c:pt idx="4">
                <c:v>1.6177589852008458</c:v>
              </c:pt>
              <c:pt idx="5">
                <c:v>1.6402597402597401</c:v>
              </c:pt>
              <c:pt idx="6">
                <c:v>1.6288156288156292</c:v>
              </c:pt>
              <c:pt idx="7">
                <c:v>1.3694244604316548</c:v>
              </c:pt>
              <c:pt idx="8">
                <c:v>1.4379462767766067</c:v>
              </c:pt>
              <c:pt idx="11">
                <c:v>1.2287893231649187</c:v>
              </c:pt>
              <c:pt idx="14">
                <c:v>-0.11347733495588706</c:v>
              </c:pt>
              <c:pt idx="17">
                <c:v>-0.32112328470361673</c:v>
              </c:pt>
              <c:pt idx="20">
                <c:v>-0.57704007534942581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CA1-42C2-AE6F-835FA4B70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866688"/>
        <c:axId val="720839808"/>
      </c:lineChart>
      <c:catAx>
        <c:axId val="718866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20839808"/>
        <c:crosses val="autoZero"/>
        <c:auto val="1"/>
        <c:lblAlgn val="ctr"/>
        <c:lblOffset val="100"/>
        <c:noMultiLvlLbl val="0"/>
      </c:catAx>
      <c:valAx>
        <c:axId val="720839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1886668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SUL store count</c:v>
          </c:tx>
          <c:invertIfNegative val="0"/>
          <c:cat>
            <c:strRef>
              <c:f>Macpac!$A$52:$A$59</c:f>
              <c:strCache>
                <c:ptCount val="8"/>
                <c:pt idx="0">
                  <c:v>NSW</c:v>
                </c:pt>
                <c:pt idx="1">
                  <c:v>VIC</c:v>
                </c:pt>
                <c:pt idx="2">
                  <c:v>QLD</c:v>
                </c:pt>
                <c:pt idx="3">
                  <c:v>WA</c:v>
                </c:pt>
                <c:pt idx="4">
                  <c:v>SA</c:v>
                </c:pt>
                <c:pt idx="5">
                  <c:v>TAS</c:v>
                </c:pt>
                <c:pt idx="6">
                  <c:v>NT</c:v>
                </c:pt>
                <c:pt idx="7">
                  <c:v>ACT</c:v>
                </c:pt>
              </c:strCache>
            </c:strRef>
          </c:cat>
          <c:val>
            <c:numRef>
              <c:f>Macpac!$G$52:$G$59</c:f>
              <c:numCache>
                <c:formatCode>0.0%</c:formatCode>
                <c:ptCount val="8"/>
                <c:pt idx="0">
                  <c:v>0.28243021346469621</c:v>
                </c:pt>
                <c:pt idx="1">
                  <c:v>0.21839080459770116</c:v>
                </c:pt>
                <c:pt idx="2">
                  <c:v>0.27093596059113301</c:v>
                </c:pt>
                <c:pt idx="3">
                  <c:v>0.10180623973727422</c:v>
                </c:pt>
                <c:pt idx="4">
                  <c:v>7.2249589490968796E-2</c:v>
                </c:pt>
                <c:pt idx="5">
                  <c:v>2.1346469622331693E-2</c:v>
                </c:pt>
                <c:pt idx="6">
                  <c:v>9.852216748768473E-3</c:v>
                </c:pt>
                <c:pt idx="7">
                  <c:v>2.2988505747126436E-2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55-4E1C-ABDE-07DB2E4013DF}"/>
            </c:ext>
          </c:extLst>
        </c:ser>
        <c:ser>
          <c:idx val="1"/>
          <c:order val="1"/>
          <c:tx>
            <c:v>Population</c:v>
          </c:tx>
          <c:invertIfNegative val="0"/>
          <c:cat>
            <c:strRef>
              <c:f>Macpac!$A$52:$A$59</c:f>
              <c:strCache>
                <c:ptCount val="8"/>
                <c:pt idx="0">
                  <c:v>NSW</c:v>
                </c:pt>
                <c:pt idx="1">
                  <c:v>VIC</c:v>
                </c:pt>
                <c:pt idx="2">
                  <c:v>QLD</c:v>
                </c:pt>
                <c:pt idx="3">
                  <c:v>WA</c:v>
                </c:pt>
                <c:pt idx="4">
                  <c:v>SA</c:v>
                </c:pt>
                <c:pt idx="5">
                  <c:v>TAS</c:v>
                </c:pt>
                <c:pt idx="6">
                  <c:v>NT</c:v>
                </c:pt>
                <c:pt idx="7">
                  <c:v>ACT</c:v>
                </c:pt>
              </c:strCache>
            </c:strRef>
          </c:cat>
          <c:val>
            <c:numRef>
              <c:f>Macpac!$H$52:$H$59</c:f>
              <c:numCache>
                <c:formatCode>0.0%</c:formatCode>
                <c:ptCount val="8"/>
                <c:pt idx="0">
                  <c:v>0.31966193281686706</c:v>
                </c:pt>
                <c:pt idx="1">
                  <c:v>0.25522686994887284</c:v>
                </c:pt>
                <c:pt idx="2">
                  <c:v>0.20027736371799884</c:v>
                </c:pt>
                <c:pt idx="3">
                  <c:v>0.10569456807494537</c:v>
                </c:pt>
                <c:pt idx="4">
                  <c:v>7.0755752110555251E-2</c:v>
                </c:pt>
                <c:pt idx="5">
                  <c:v>2.1378385166724499E-2</c:v>
                </c:pt>
                <c:pt idx="6">
                  <c:v>1.0150011922360794E-2</c:v>
                </c:pt>
                <c:pt idx="7">
                  <c:v>1.6664788029181511E-2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55-4E1C-ABDE-07DB2E401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9406080"/>
        <c:axId val="729490560"/>
      </c:barChart>
      <c:catAx>
        <c:axId val="729406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29490560"/>
        <c:crosses val="autoZero"/>
        <c:auto val="1"/>
        <c:lblAlgn val="ctr"/>
        <c:lblOffset val="100"/>
        <c:noMultiLvlLbl val="0"/>
      </c:catAx>
      <c:valAx>
        <c:axId val="729490560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729406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'Autos peers'!$A$1</c:f>
              <c:strCache>
                <c:ptCount val="1"/>
                <c:pt idx="0">
                  <c:v>Genuine parts</c:v>
                </c:pt>
              </c:strCache>
            </c:strRef>
          </c:tx>
          <c:marker>
            <c:symbol val="none"/>
          </c:marker>
          <c:cat>
            <c:strRef>
              <c:f>'Autos peers'!$C$2:$R$2</c:f>
              <c:strCache>
                <c:ptCount val="16"/>
                <c:pt idx="0">
                  <c:v>Dec '06</c:v>
                </c:pt>
                <c:pt idx="1">
                  <c:v>Dec '07</c:v>
                </c:pt>
                <c:pt idx="2">
                  <c:v>Dec '08</c:v>
                </c:pt>
                <c:pt idx="3">
                  <c:v>Dec '09</c:v>
                </c:pt>
                <c:pt idx="4">
                  <c:v>Dec '10</c:v>
                </c:pt>
                <c:pt idx="5">
                  <c:v>Dec '11</c:v>
                </c:pt>
                <c:pt idx="6">
                  <c:v>Dec '12</c:v>
                </c:pt>
                <c:pt idx="7">
                  <c:v>Dec '13</c:v>
                </c:pt>
                <c:pt idx="8">
                  <c:v>Dec '14</c:v>
                </c:pt>
                <c:pt idx="9">
                  <c:v>Dec '15</c:v>
                </c:pt>
                <c:pt idx="10">
                  <c:v>Dec '16</c:v>
                </c:pt>
                <c:pt idx="11">
                  <c:v>Dec '17</c:v>
                </c:pt>
                <c:pt idx="12">
                  <c:v>Dec '18</c:v>
                </c:pt>
                <c:pt idx="13">
                  <c:v>Dec '19E</c:v>
                </c:pt>
                <c:pt idx="14">
                  <c:v>Dec '20E</c:v>
                </c:pt>
                <c:pt idx="15">
                  <c:v>Dec '21E</c:v>
                </c:pt>
              </c:strCache>
            </c:strRef>
          </c:cat>
          <c:val>
            <c:numRef>
              <c:f>'Autos peers'!$C$14:$R$14</c:f>
              <c:numCache>
                <c:formatCode>0.0%</c:formatCode>
                <c:ptCount val="16"/>
                <c:pt idx="0">
                  <c:v>6.8981554832082015E-2</c:v>
                </c:pt>
                <c:pt idx="1">
                  <c:v>3.6833398674686268E-2</c:v>
                </c:pt>
                <c:pt idx="2">
                  <c:v>1.5871844767640253E-2</c:v>
                </c:pt>
                <c:pt idx="3">
                  <c:v>-8.6943496259713871E-2</c:v>
                </c:pt>
                <c:pt idx="4">
                  <c:v>0.11434253044991305</c:v>
                </c:pt>
                <c:pt idx="5">
                  <c:v>0.11164844969886234</c:v>
                </c:pt>
                <c:pt idx="6">
                  <c:v>4.4546826339615375E-2</c:v>
                </c:pt>
                <c:pt idx="7">
                  <c:v>8.1759363137592356E-2</c:v>
                </c:pt>
                <c:pt idx="8">
                  <c:v>8.9772549688161618E-2</c:v>
                </c:pt>
                <c:pt idx="9">
                  <c:v>-4.0152265734995085E-3</c:v>
                </c:pt>
                <c:pt idx="10">
                  <c:v>3.9070680628272569E-3</c:v>
                </c:pt>
                <c:pt idx="11">
                  <c:v>6.317594216314526E-2</c:v>
                </c:pt>
                <c:pt idx="12">
                  <c:v>0.14876631021289133</c:v>
                </c:pt>
                <c:pt idx="13">
                  <c:v>3.8350680544435578E-2</c:v>
                </c:pt>
                <c:pt idx="14">
                  <c:v>3.4410260364458933E-2</c:v>
                </c:pt>
                <c:pt idx="15">
                  <c:v>2.6636319814738352E-2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0-4720-BAFE-F6A335A7B1FC}"/>
            </c:ext>
          </c:extLst>
        </c:ser>
        <c:ser>
          <c:idx val="1"/>
          <c:order val="1"/>
          <c:tx>
            <c:strRef>
              <c:f>'Autos peers'!$A$18</c:f>
              <c:strCache>
                <c:ptCount val="1"/>
                <c:pt idx="0">
                  <c:v>Advanced Auto Parts</c:v>
                </c:pt>
              </c:strCache>
            </c:strRef>
          </c:tx>
          <c:marker>
            <c:symbol val="none"/>
          </c:marker>
          <c:cat>
            <c:strRef>
              <c:f>'Autos peers'!$C$2:$R$2</c:f>
              <c:strCache>
                <c:ptCount val="16"/>
                <c:pt idx="0">
                  <c:v>Dec '06</c:v>
                </c:pt>
                <c:pt idx="1">
                  <c:v>Dec '07</c:v>
                </c:pt>
                <c:pt idx="2">
                  <c:v>Dec '08</c:v>
                </c:pt>
                <c:pt idx="3">
                  <c:v>Dec '09</c:v>
                </c:pt>
                <c:pt idx="4">
                  <c:v>Dec '10</c:v>
                </c:pt>
                <c:pt idx="5">
                  <c:v>Dec '11</c:v>
                </c:pt>
                <c:pt idx="6">
                  <c:v>Dec '12</c:v>
                </c:pt>
                <c:pt idx="7">
                  <c:v>Dec '13</c:v>
                </c:pt>
                <c:pt idx="8">
                  <c:v>Dec '14</c:v>
                </c:pt>
                <c:pt idx="9">
                  <c:v>Dec '15</c:v>
                </c:pt>
                <c:pt idx="10">
                  <c:v>Dec '16</c:v>
                </c:pt>
                <c:pt idx="11">
                  <c:v>Dec '17</c:v>
                </c:pt>
                <c:pt idx="12">
                  <c:v>Dec '18</c:v>
                </c:pt>
                <c:pt idx="13">
                  <c:v>Dec '19E</c:v>
                </c:pt>
                <c:pt idx="14">
                  <c:v>Dec '20E</c:v>
                </c:pt>
                <c:pt idx="15">
                  <c:v>Dec '21E</c:v>
                </c:pt>
              </c:strCache>
            </c:strRef>
          </c:cat>
          <c:val>
            <c:numRef>
              <c:f>'Autos peers'!$C$37:$R$37</c:f>
              <c:numCache>
                <c:formatCode>0.0%</c:formatCode>
                <c:ptCount val="16"/>
                <c:pt idx="0">
                  <c:v>8.2422619619833215E-2</c:v>
                </c:pt>
                <c:pt idx="1">
                  <c:v>4.9366403119246005E-2</c:v>
                </c:pt>
                <c:pt idx="2">
                  <c:v>6.1483362232681138E-2</c:v>
                </c:pt>
                <c:pt idx="3">
                  <c:v>5.2578151587340249E-2</c:v>
                </c:pt>
                <c:pt idx="4">
                  <c:v>9.4700902705159518E-2</c:v>
                </c:pt>
                <c:pt idx="5">
                  <c:v>4.1392695605211749E-2</c:v>
                </c:pt>
                <c:pt idx="6">
                  <c:v>5.5976377774105135E-3</c:v>
                </c:pt>
                <c:pt idx="7">
                  <c:v>4.654472199838855E-2</c:v>
                </c:pt>
                <c:pt idx="8">
                  <c:v>0.51588358760111541</c:v>
                </c:pt>
                <c:pt idx="9">
                  <c:v>-1.0854481880075539E-2</c:v>
                </c:pt>
                <c:pt idx="10">
                  <c:v>-1.7388294763998391E-2</c:v>
                </c:pt>
                <c:pt idx="11">
                  <c:v>-2.0266103661277124E-2</c:v>
                </c:pt>
                <c:pt idx="12">
                  <c:v>2.2056156521368164E-2</c:v>
                </c:pt>
                <c:pt idx="13">
                  <c:v>2.0107405107222531E-2</c:v>
                </c:pt>
                <c:pt idx="14">
                  <c:v>2.5796080911145491E-2</c:v>
                </c:pt>
                <c:pt idx="15">
                  <c:v>2.17250356597809E-2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0-4720-BAFE-F6A335A7B1FC}"/>
            </c:ext>
          </c:extLst>
        </c:ser>
        <c:ser>
          <c:idx val="2"/>
          <c:order val="2"/>
          <c:tx>
            <c:strRef>
              <c:f>'Autos peers'!$A$40</c:f>
              <c:strCache>
                <c:ptCount val="1"/>
                <c:pt idx="0">
                  <c:v>Autozone</c:v>
                </c:pt>
              </c:strCache>
            </c:strRef>
          </c:tx>
          <c:marker>
            <c:symbol val="none"/>
          </c:marker>
          <c:cat>
            <c:strRef>
              <c:f>'Autos peers'!$C$2:$R$2</c:f>
              <c:strCache>
                <c:ptCount val="16"/>
                <c:pt idx="0">
                  <c:v>Dec '06</c:v>
                </c:pt>
                <c:pt idx="1">
                  <c:v>Dec '07</c:v>
                </c:pt>
                <c:pt idx="2">
                  <c:v>Dec '08</c:v>
                </c:pt>
                <c:pt idx="3">
                  <c:v>Dec '09</c:v>
                </c:pt>
                <c:pt idx="4">
                  <c:v>Dec '10</c:v>
                </c:pt>
                <c:pt idx="5">
                  <c:v>Dec '11</c:v>
                </c:pt>
                <c:pt idx="6">
                  <c:v>Dec '12</c:v>
                </c:pt>
                <c:pt idx="7">
                  <c:v>Dec '13</c:v>
                </c:pt>
                <c:pt idx="8">
                  <c:v>Dec '14</c:v>
                </c:pt>
                <c:pt idx="9">
                  <c:v>Dec '15</c:v>
                </c:pt>
                <c:pt idx="10">
                  <c:v>Dec '16</c:v>
                </c:pt>
                <c:pt idx="11">
                  <c:v>Dec '17</c:v>
                </c:pt>
                <c:pt idx="12">
                  <c:v>Dec '18</c:v>
                </c:pt>
                <c:pt idx="13">
                  <c:v>Dec '19E</c:v>
                </c:pt>
                <c:pt idx="14">
                  <c:v>Dec '20E</c:v>
                </c:pt>
                <c:pt idx="15">
                  <c:v>Dec '21E</c:v>
                </c:pt>
              </c:strCache>
            </c:strRef>
          </c:cat>
          <c:val>
            <c:numRef>
              <c:f>'Autos peers'!$C$54:$R$54</c:f>
              <c:numCache>
                <c:formatCode>0.0%</c:formatCode>
                <c:ptCount val="16"/>
                <c:pt idx="0">
                  <c:v>4.1582032891603449E-2</c:v>
                </c:pt>
                <c:pt idx="1">
                  <c:v>3.7228811351046831E-2</c:v>
                </c:pt>
                <c:pt idx="2">
                  <c:v>5.7197964277610147E-2</c:v>
                </c:pt>
                <c:pt idx="3">
                  <c:v>4.5091756481211664E-2</c:v>
                </c:pt>
                <c:pt idx="4">
                  <c:v>8.006519168761983E-2</c:v>
                </c:pt>
                <c:pt idx="5">
                  <c:v>9.6482089911050561E-2</c:v>
                </c:pt>
                <c:pt idx="6">
                  <c:v>6.5761423614853154E-2</c:v>
                </c:pt>
                <c:pt idx="7">
                  <c:v>6.318908025002723E-2</c:v>
                </c:pt>
                <c:pt idx="8">
                  <c:v>3.5832623669995955E-2</c:v>
                </c:pt>
                <c:pt idx="9">
                  <c:v>7.5141604865698319E-2</c:v>
                </c:pt>
                <c:pt idx="10">
                  <c:v>4.4005771892454471E-2</c:v>
                </c:pt>
                <c:pt idx="11">
                  <c:v>2.3788032645078783E-2</c:v>
                </c:pt>
                <c:pt idx="12">
                  <c:v>3.0527340521279145E-2</c:v>
                </c:pt>
                <c:pt idx="13">
                  <c:v>5.1635326619730915E-2</c:v>
                </c:pt>
                <c:pt idx="14">
                  <c:v>2.1617911257245659E-2</c:v>
                </c:pt>
                <c:pt idx="15">
                  <c:v>3.8837045332006159E-2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0-4720-BAFE-F6A335A7B1FC}"/>
            </c:ext>
          </c:extLst>
        </c:ser>
        <c:ser>
          <c:idx val="3"/>
          <c:order val="3"/>
          <c:tx>
            <c:strRef>
              <c:f>'Autos peers'!$A$57</c:f>
              <c:strCache>
                <c:ptCount val="1"/>
                <c:pt idx="0">
                  <c:v>O Reily</c:v>
                </c:pt>
              </c:strCache>
            </c:strRef>
          </c:tx>
          <c:marker>
            <c:symbol val="none"/>
          </c:marker>
          <c:cat>
            <c:strRef>
              <c:f>'Autos peers'!$C$2:$R$2</c:f>
              <c:strCache>
                <c:ptCount val="16"/>
                <c:pt idx="0">
                  <c:v>Dec '06</c:v>
                </c:pt>
                <c:pt idx="1">
                  <c:v>Dec '07</c:v>
                </c:pt>
                <c:pt idx="2">
                  <c:v>Dec '08</c:v>
                </c:pt>
                <c:pt idx="3">
                  <c:v>Dec '09</c:v>
                </c:pt>
                <c:pt idx="4">
                  <c:v>Dec '10</c:v>
                </c:pt>
                <c:pt idx="5">
                  <c:v>Dec '11</c:v>
                </c:pt>
                <c:pt idx="6">
                  <c:v>Dec '12</c:v>
                </c:pt>
                <c:pt idx="7">
                  <c:v>Dec '13</c:v>
                </c:pt>
                <c:pt idx="8">
                  <c:v>Dec '14</c:v>
                </c:pt>
                <c:pt idx="9">
                  <c:v>Dec '15</c:v>
                </c:pt>
                <c:pt idx="10">
                  <c:v>Dec '16</c:v>
                </c:pt>
                <c:pt idx="11">
                  <c:v>Dec '17</c:v>
                </c:pt>
                <c:pt idx="12">
                  <c:v>Dec '18</c:v>
                </c:pt>
                <c:pt idx="13">
                  <c:v>Dec '19E</c:v>
                </c:pt>
                <c:pt idx="14">
                  <c:v>Dec '20E</c:v>
                </c:pt>
                <c:pt idx="15">
                  <c:v>Dec '21E</c:v>
                </c:pt>
              </c:strCache>
            </c:strRef>
          </c:cat>
          <c:val>
            <c:numRef>
              <c:f>'Autos peers'!$C$78:$R$78</c:f>
              <c:numCache>
                <c:formatCode>0.0%</c:formatCode>
                <c:ptCount val="16"/>
                <c:pt idx="0">
                  <c:v>0.11631977548635652</c:v>
                </c:pt>
                <c:pt idx="1">
                  <c:v>0.10471614649486249</c:v>
                </c:pt>
                <c:pt idx="2">
                  <c:v>0.41796607078432091</c:v>
                </c:pt>
                <c:pt idx="3">
                  <c:v>0.35523339531112397</c:v>
                </c:pt>
                <c:pt idx="4">
                  <c:v>0.11356574913452699</c:v>
                </c:pt>
                <c:pt idx="5">
                  <c:v>7.249440483777736E-2</c:v>
                </c:pt>
                <c:pt idx="6">
                  <c:v>6.7953517216837289E-2</c:v>
                </c:pt>
                <c:pt idx="7">
                  <c:v>7.5547784114988525E-2</c:v>
                </c:pt>
                <c:pt idx="8">
                  <c:v>8.5250472611114514E-2</c:v>
                </c:pt>
                <c:pt idx="9">
                  <c:v>0.10401630802319262</c:v>
                </c:pt>
                <c:pt idx="10">
                  <c:v>7.8630092623392267E-2</c:v>
                </c:pt>
                <c:pt idx="11">
                  <c:v>4.4760383051963837E-2</c:v>
                </c:pt>
                <c:pt idx="12">
                  <c:v>6.2231836145480335E-2</c:v>
                </c:pt>
                <c:pt idx="13">
                  <c:v>6.345987278244869E-2</c:v>
                </c:pt>
                <c:pt idx="14">
                  <c:v>5.6736609607951349E-2</c:v>
                </c:pt>
                <c:pt idx="15">
                  <c:v>4.6458897079406425E-2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0-4720-BAFE-F6A335A7B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3106944"/>
        <c:axId val="733114368"/>
      </c:lineChart>
      <c:catAx>
        <c:axId val="7331069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33114368"/>
        <c:crosses val="autoZero"/>
        <c:auto val="1"/>
        <c:lblAlgn val="ctr"/>
        <c:lblOffset val="100"/>
        <c:noMultiLvlLbl val="0"/>
      </c:catAx>
      <c:valAx>
        <c:axId val="733114368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7331069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'Autos peers'!$A$1</c:f>
              <c:strCache>
                <c:ptCount val="1"/>
                <c:pt idx="0">
                  <c:v>Genuine parts</c:v>
                </c:pt>
              </c:strCache>
            </c:strRef>
          </c:tx>
          <c:marker>
            <c:symbol val="none"/>
          </c:marker>
          <c:cat>
            <c:strRef>
              <c:f>'Autos peers'!$C$2:$R$2</c:f>
              <c:strCache>
                <c:ptCount val="16"/>
                <c:pt idx="0">
                  <c:v>Dec '06</c:v>
                </c:pt>
                <c:pt idx="1">
                  <c:v>Dec '07</c:v>
                </c:pt>
                <c:pt idx="2">
                  <c:v>Dec '08</c:v>
                </c:pt>
                <c:pt idx="3">
                  <c:v>Dec '09</c:v>
                </c:pt>
                <c:pt idx="4">
                  <c:v>Dec '10</c:v>
                </c:pt>
                <c:pt idx="5">
                  <c:v>Dec '11</c:v>
                </c:pt>
                <c:pt idx="6">
                  <c:v>Dec '12</c:v>
                </c:pt>
                <c:pt idx="7">
                  <c:v>Dec '13</c:v>
                </c:pt>
                <c:pt idx="8">
                  <c:v>Dec '14</c:v>
                </c:pt>
                <c:pt idx="9">
                  <c:v>Dec '15</c:v>
                </c:pt>
                <c:pt idx="10">
                  <c:v>Dec '16</c:v>
                </c:pt>
                <c:pt idx="11">
                  <c:v>Dec '17</c:v>
                </c:pt>
                <c:pt idx="12">
                  <c:v>Dec '18</c:v>
                </c:pt>
                <c:pt idx="13">
                  <c:v>Dec '19E</c:v>
                </c:pt>
                <c:pt idx="14">
                  <c:v>Dec '20E</c:v>
                </c:pt>
                <c:pt idx="15">
                  <c:v>Dec '21E</c:v>
                </c:pt>
              </c:strCache>
            </c:strRef>
          </c:cat>
          <c:val>
            <c:numRef>
              <c:f>'Autos peers'!$C$15:$R$15</c:f>
              <c:numCache>
                <c:formatCode>0.0%</c:formatCode>
                <c:ptCount val="16"/>
                <c:pt idx="0">
                  <c:v>7.6825706322406262E-2</c:v>
                </c:pt>
                <c:pt idx="1">
                  <c:v>7.3482669158842162E-2</c:v>
                </c:pt>
                <c:pt idx="2">
                  <c:v>-5.0056792547366835E-2</c:v>
                </c:pt>
                <c:pt idx="3">
                  <c:v>-0.19911933174224339</c:v>
                </c:pt>
                <c:pt idx="4">
                  <c:v>0.17469283515461798</c:v>
                </c:pt>
                <c:pt idx="5">
                  <c:v>0.16113148338176586</c:v>
                </c:pt>
                <c:pt idx="6">
                  <c:v>0.14329691265372824</c:v>
                </c:pt>
                <c:pt idx="7">
                  <c:v>5.1452813422639299E-2</c:v>
                </c:pt>
                <c:pt idx="8">
                  <c:v>3.7703100577950677E-2</c:v>
                </c:pt>
                <c:pt idx="9">
                  <c:v>1.8127205695619431E-3</c:v>
                </c:pt>
                <c:pt idx="10">
                  <c:v>-4.3793706293706269E-2</c:v>
                </c:pt>
                <c:pt idx="11">
                  <c:v>0.1278910320870279</c:v>
                </c:pt>
                <c:pt idx="12">
                  <c:v>-2.9826552115415739E-2</c:v>
                </c:pt>
                <c:pt idx="13">
                  <c:v>1.2080200501253247E-2</c:v>
                </c:pt>
                <c:pt idx="14">
                  <c:v>4.3038977762369202E-2</c:v>
                </c:pt>
                <c:pt idx="15">
                  <c:v>3.2162076606521151E-2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3-4C13-BA52-7B7B1381F31A}"/>
            </c:ext>
          </c:extLst>
        </c:ser>
        <c:ser>
          <c:idx val="1"/>
          <c:order val="1"/>
          <c:tx>
            <c:strRef>
              <c:f>'Autos peers'!$A$18</c:f>
              <c:strCache>
                <c:ptCount val="1"/>
                <c:pt idx="0">
                  <c:v>Advanced Auto Parts</c:v>
                </c:pt>
              </c:strCache>
            </c:strRef>
          </c:tx>
          <c:marker>
            <c:symbol val="none"/>
          </c:marker>
          <c:cat>
            <c:strRef>
              <c:f>'Autos peers'!$C$2:$R$2</c:f>
              <c:strCache>
                <c:ptCount val="16"/>
                <c:pt idx="0">
                  <c:v>Dec '06</c:v>
                </c:pt>
                <c:pt idx="1">
                  <c:v>Dec '07</c:v>
                </c:pt>
                <c:pt idx="2">
                  <c:v>Dec '08</c:v>
                </c:pt>
                <c:pt idx="3">
                  <c:v>Dec '09</c:v>
                </c:pt>
                <c:pt idx="4">
                  <c:v>Dec '10</c:v>
                </c:pt>
                <c:pt idx="5">
                  <c:v>Dec '11</c:v>
                </c:pt>
                <c:pt idx="6">
                  <c:v>Dec '12</c:v>
                </c:pt>
                <c:pt idx="7">
                  <c:v>Dec '13</c:v>
                </c:pt>
                <c:pt idx="8">
                  <c:v>Dec '14</c:v>
                </c:pt>
                <c:pt idx="9">
                  <c:v>Dec '15</c:v>
                </c:pt>
                <c:pt idx="10">
                  <c:v>Dec '16</c:v>
                </c:pt>
                <c:pt idx="11">
                  <c:v>Dec '17</c:v>
                </c:pt>
                <c:pt idx="12">
                  <c:v>Dec '18</c:v>
                </c:pt>
                <c:pt idx="13">
                  <c:v>Dec '19E</c:v>
                </c:pt>
                <c:pt idx="14">
                  <c:v>Dec '20E</c:v>
                </c:pt>
                <c:pt idx="15">
                  <c:v>Dec '21E</c:v>
                </c:pt>
              </c:strCache>
            </c:strRef>
          </c:cat>
          <c:val>
            <c:numRef>
              <c:f>'Autos peers'!$C$38:$R$38</c:f>
              <c:numCache>
                <c:formatCode>0.0%</c:formatCode>
                <c:ptCount val="16"/>
                <c:pt idx="0">
                  <c:v>-1.2597430574595503E-2</c:v>
                </c:pt>
                <c:pt idx="1">
                  <c:v>4.8045122102392313E-2</c:v>
                </c:pt>
                <c:pt idx="2">
                  <c:v>7.0201003479770652E-2</c:v>
                </c:pt>
                <c:pt idx="3">
                  <c:v>5.9479890805804736E-2</c:v>
                </c:pt>
                <c:pt idx="4">
                  <c:v>0.22028565825325352</c:v>
                </c:pt>
                <c:pt idx="5">
                  <c:v>0.13633270644554618</c:v>
                </c:pt>
                <c:pt idx="6">
                  <c:v>-1.1045060416074226E-2</c:v>
                </c:pt>
                <c:pt idx="7">
                  <c:v>4.9459911760231234E-2</c:v>
                </c:pt>
                <c:pt idx="8">
                  <c:v>0.41584059378669491</c:v>
                </c:pt>
                <c:pt idx="9">
                  <c:v>1.8879631724825874E-2</c:v>
                </c:pt>
                <c:pt idx="10">
                  <c:v>-9.419455331122506E-2</c:v>
                </c:pt>
                <c:pt idx="11">
                  <c:v>-0.23860092503941233</c:v>
                </c:pt>
                <c:pt idx="12">
                  <c:v>9.3049686725921621E-2</c:v>
                </c:pt>
                <c:pt idx="13">
                  <c:v>8.9296949984003504E-2</c:v>
                </c:pt>
                <c:pt idx="14">
                  <c:v>0.11608192895525526</c:v>
                </c:pt>
                <c:pt idx="15">
                  <c:v>0.10498540026732361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83-4C13-BA52-7B7B1381F31A}"/>
            </c:ext>
          </c:extLst>
        </c:ser>
        <c:ser>
          <c:idx val="2"/>
          <c:order val="2"/>
          <c:tx>
            <c:strRef>
              <c:f>'Autos peers'!$A$40</c:f>
              <c:strCache>
                <c:ptCount val="1"/>
                <c:pt idx="0">
                  <c:v>Autozone</c:v>
                </c:pt>
              </c:strCache>
            </c:strRef>
          </c:tx>
          <c:marker>
            <c:symbol val="none"/>
          </c:marker>
          <c:cat>
            <c:strRef>
              <c:f>'Autos peers'!$C$2:$R$2</c:f>
              <c:strCache>
                <c:ptCount val="16"/>
                <c:pt idx="0">
                  <c:v>Dec '06</c:v>
                </c:pt>
                <c:pt idx="1">
                  <c:v>Dec '07</c:v>
                </c:pt>
                <c:pt idx="2">
                  <c:v>Dec '08</c:v>
                </c:pt>
                <c:pt idx="3">
                  <c:v>Dec '09</c:v>
                </c:pt>
                <c:pt idx="4">
                  <c:v>Dec '10</c:v>
                </c:pt>
                <c:pt idx="5">
                  <c:v>Dec '11</c:v>
                </c:pt>
                <c:pt idx="6">
                  <c:v>Dec '12</c:v>
                </c:pt>
                <c:pt idx="7">
                  <c:v>Dec '13</c:v>
                </c:pt>
                <c:pt idx="8">
                  <c:v>Dec '14</c:v>
                </c:pt>
                <c:pt idx="9">
                  <c:v>Dec '15</c:v>
                </c:pt>
                <c:pt idx="10">
                  <c:v>Dec '16</c:v>
                </c:pt>
                <c:pt idx="11">
                  <c:v>Dec '17</c:v>
                </c:pt>
                <c:pt idx="12">
                  <c:v>Dec '18</c:v>
                </c:pt>
                <c:pt idx="13">
                  <c:v>Dec '19E</c:v>
                </c:pt>
                <c:pt idx="14">
                  <c:v>Dec '20E</c:v>
                </c:pt>
                <c:pt idx="15">
                  <c:v>Dec '21E</c:v>
                </c:pt>
              </c:strCache>
            </c:strRef>
          </c:cat>
          <c:val>
            <c:numRef>
              <c:f>'Autos peers'!$C$55:$R$55</c:f>
              <c:numCache>
                <c:formatCode>0.0%</c:formatCode>
                <c:ptCount val="16"/>
                <c:pt idx="0">
                  <c:v>-5.9744682526403636E-3</c:v>
                </c:pt>
                <c:pt idx="1">
                  <c:v>4.4765922053232154E-2</c:v>
                </c:pt>
                <c:pt idx="2">
                  <c:v>6.5394785476671213E-2</c:v>
                </c:pt>
                <c:pt idx="3">
                  <c:v>4.6231307766895213E-2</c:v>
                </c:pt>
                <c:pt idx="4">
                  <c:v>0.12184338066490952</c:v>
                </c:pt>
                <c:pt idx="5">
                  <c:v>0.13293921479460358</c:v>
                </c:pt>
                <c:pt idx="6">
                  <c:v>8.9710998126839803E-2</c:v>
                </c:pt>
                <c:pt idx="7">
                  <c:v>8.851986002823975E-2</c:v>
                </c:pt>
                <c:pt idx="8">
                  <c:v>3.2209306916174629E-2</c:v>
                </c:pt>
                <c:pt idx="9">
                  <c:v>6.7123811605289019E-2</c:v>
                </c:pt>
                <c:pt idx="10">
                  <c:v>5.4965310667929757E-2</c:v>
                </c:pt>
                <c:pt idx="11">
                  <c:v>9.5418365365946833E-3</c:v>
                </c:pt>
                <c:pt idx="12">
                  <c:v>2.8576098766381675E-2</c:v>
                </c:pt>
                <c:pt idx="13">
                  <c:v>3.2250525823790621E-2</c:v>
                </c:pt>
                <c:pt idx="14">
                  <c:v>1.1618745755037185E-2</c:v>
                </c:pt>
                <c:pt idx="15">
                  <c:v>4.3367529630823354E-2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3-4C13-BA52-7B7B1381F31A}"/>
            </c:ext>
          </c:extLst>
        </c:ser>
        <c:ser>
          <c:idx val="3"/>
          <c:order val="3"/>
          <c:tx>
            <c:strRef>
              <c:f>'Autos peers'!$A$57</c:f>
              <c:strCache>
                <c:ptCount val="1"/>
                <c:pt idx="0">
                  <c:v>O Reily</c:v>
                </c:pt>
              </c:strCache>
            </c:strRef>
          </c:tx>
          <c:marker>
            <c:symbol val="none"/>
          </c:marker>
          <c:cat>
            <c:strRef>
              <c:f>'Autos peers'!$C$2:$R$2</c:f>
              <c:strCache>
                <c:ptCount val="16"/>
                <c:pt idx="0">
                  <c:v>Dec '06</c:v>
                </c:pt>
                <c:pt idx="1">
                  <c:v>Dec '07</c:v>
                </c:pt>
                <c:pt idx="2">
                  <c:v>Dec '08</c:v>
                </c:pt>
                <c:pt idx="3">
                  <c:v>Dec '09</c:v>
                </c:pt>
                <c:pt idx="4">
                  <c:v>Dec '10</c:v>
                </c:pt>
                <c:pt idx="5">
                  <c:v>Dec '11</c:v>
                </c:pt>
                <c:pt idx="6">
                  <c:v>Dec '12</c:v>
                </c:pt>
                <c:pt idx="7">
                  <c:v>Dec '13</c:v>
                </c:pt>
                <c:pt idx="8">
                  <c:v>Dec '14</c:v>
                </c:pt>
                <c:pt idx="9">
                  <c:v>Dec '15</c:v>
                </c:pt>
                <c:pt idx="10">
                  <c:v>Dec '16</c:v>
                </c:pt>
                <c:pt idx="11">
                  <c:v>Dec '17</c:v>
                </c:pt>
                <c:pt idx="12">
                  <c:v>Dec '18</c:v>
                </c:pt>
                <c:pt idx="13">
                  <c:v>Dec '19E</c:v>
                </c:pt>
                <c:pt idx="14">
                  <c:v>Dec '20E</c:v>
                </c:pt>
                <c:pt idx="15">
                  <c:v>Dec '21E</c:v>
                </c:pt>
              </c:strCache>
            </c:strRef>
          </c:cat>
          <c:val>
            <c:numRef>
              <c:f>'Autos peers'!$C$79:$R$79</c:f>
              <c:numCache>
                <c:formatCode>0.0%</c:formatCode>
                <c:ptCount val="16"/>
                <c:pt idx="0">
                  <c:v>0.11686092054976616</c:v>
                </c:pt>
                <c:pt idx="1">
                  <c:v>8.0945802337938355E-2</c:v>
                </c:pt>
                <c:pt idx="2">
                  <c:v>0.13945882530288278</c:v>
                </c:pt>
                <c:pt idx="3">
                  <c:v>0.55824587943297077</c:v>
                </c:pt>
                <c:pt idx="4">
                  <c:v>0.35415724613473665</c:v>
                </c:pt>
                <c:pt idx="5">
                  <c:v>0.17759302167098268</c:v>
                </c:pt>
                <c:pt idx="6">
                  <c:v>0.13124189814814824</c:v>
                </c:pt>
                <c:pt idx="7">
                  <c:v>0.12900337939805184</c:v>
                </c:pt>
                <c:pt idx="8">
                  <c:v>0.15123971435821204</c:v>
                </c:pt>
                <c:pt idx="9">
                  <c:v>0.19179451655816826</c:v>
                </c:pt>
                <c:pt idx="10">
                  <c:v>0.12231014121345818</c:v>
                </c:pt>
                <c:pt idx="11">
                  <c:v>1.5419020715630838E-2</c:v>
                </c:pt>
                <c:pt idx="12">
                  <c:v>5.2034310884432555E-2</c:v>
                </c:pt>
                <c:pt idx="13">
                  <c:v>6.3955089853347857E-2</c:v>
                </c:pt>
                <c:pt idx="14">
                  <c:v>6.1829780403568568E-2</c:v>
                </c:pt>
                <c:pt idx="15">
                  <c:v>5.5103672928004332E-2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83-4C13-BA52-7B7B1381F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321280"/>
        <c:axId val="734860800"/>
      </c:lineChart>
      <c:catAx>
        <c:axId val="734321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34860800"/>
        <c:crosses val="autoZero"/>
        <c:auto val="1"/>
        <c:lblAlgn val="ctr"/>
        <c:lblOffset val="100"/>
        <c:noMultiLvlLbl val="0"/>
      </c:catAx>
      <c:valAx>
        <c:axId val="734860800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7343212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'Sales momentum'!$A$3</c:f>
              <c:strCache>
                <c:ptCount val="1"/>
                <c:pt idx="0">
                  <c:v>Supercheap</c:v>
                </c:pt>
              </c:strCache>
            </c:strRef>
          </c:tx>
          <c:marker>
            <c:symbol val="none"/>
          </c:marker>
          <c:cat>
            <c:strRef>
              <c:f>'Sales momentum'!$B$2:$M$2</c:f>
              <c:strCache>
                <c:ptCount val="12"/>
                <c:pt idx="0">
                  <c:v>7 weeks</c:v>
                </c:pt>
                <c:pt idx="1">
                  <c:v>9 weeks</c:v>
                </c:pt>
                <c:pt idx="2">
                  <c:v>10 weeks</c:v>
                </c:pt>
                <c:pt idx="3">
                  <c:v>7 weeks</c:v>
                </c:pt>
                <c:pt idx="4">
                  <c:v>10 weeks</c:v>
                </c:pt>
                <c:pt idx="5">
                  <c:v>9 weeks</c:v>
                </c:pt>
                <c:pt idx="6">
                  <c:v>6 weeks</c:v>
                </c:pt>
                <c:pt idx="7">
                  <c:v>10 weeks</c:v>
                </c:pt>
                <c:pt idx="8">
                  <c:v>10 weeks</c:v>
                </c:pt>
                <c:pt idx="9">
                  <c:v>6 weeks</c:v>
                </c:pt>
                <c:pt idx="10">
                  <c:v>11 weeks</c:v>
                </c:pt>
                <c:pt idx="11">
                  <c:v>10 weeks</c:v>
                </c:pt>
              </c:strCache>
            </c:strRef>
          </c:cat>
          <c:val>
            <c:numRef>
              <c:f>'Sales momentum'!$B$3:$M$3</c:f>
              <c:numCache>
                <c:formatCode>0%</c:formatCode>
                <c:ptCount val="12"/>
                <c:pt idx="0">
                  <c:v>0.04</c:v>
                </c:pt>
                <c:pt idx="1">
                  <c:v>4.0000000000000036E-2</c:v>
                </c:pt>
                <c:pt idx="2" formatCode="0.0%">
                  <c:v>2.7049951899931646E-2</c:v>
                </c:pt>
                <c:pt idx="3" formatCode="0.00%">
                  <c:v>4.4999999999999998E-2</c:v>
                </c:pt>
                <c:pt idx="4" formatCode="0.0%">
                  <c:v>4.3300569432493496E-2</c:v>
                </c:pt>
                <c:pt idx="5" formatCode="0.0%">
                  <c:v>2.1785792227864809E-2</c:v>
                </c:pt>
                <c:pt idx="6">
                  <c:v>0.05</c:v>
                </c:pt>
                <c:pt idx="7">
                  <c:v>1.9765429279437141E-2</c:v>
                </c:pt>
                <c:pt idx="8" formatCode="0.0%">
                  <c:v>-2.4599103715958748E-3</c:v>
                </c:pt>
                <c:pt idx="9" formatCode="0.0%">
                  <c:v>2.1999999999999999E-2</c:v>
                </c:pt>
                <c:pt idx="10" formatCode="0.0%">
                  <c:v>5.3073571015285648E-2</c:v>
                </c:pt>
                <c:pt idx="11" formatCode="0.0%">
                  <c:v>1.9220862889488544E-3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E9-4F00-BE7D-1517645A0604}"/>
            </c:ext>
          </c:extLst>
        </c:ser>
        <c:ser>
          <c:idx val="1"/>
          <c:order val="1"/>
          <c:tx>
            <c:strRef>
              <c:f>'Sales momentum'!$A$4</c:f>
              <c:strCache>
                <c:ptCount val="1"/>
                <c:pt idx="0">
                  <c:v>Rebel</c:v>
                </c:pt>
              </c:strCache>
            </c:strRef>
          </c:tx>
          <c:marker>
            <c:symbol val="none"/>
          </c:marker>
          <c:cat>
            <c:strRef>
              <c:f>'Sales momentum'!$B$2:$M$2</c:f>
              <c:strCache>
                <c:ptCount val="12"/>
                <c:pt idx="0">
                  <c:v>7 weeks</c:v>
                </c:pt>
                <c:pt idx="1">
                  <c:v>9 weeks</c:v>
                </c:pt>
                <c:pt idx="2">
                  <c:v>10 weeks</c:v>
                </c:pt>
                <c:pt idx="3">
                  <c:v>7 weeks</c:v>
                </c:pt>
                <c:pt idx="4">
                  <c:v>10 weeks</c:v>
                </c:pt>
                <c:pt idx="5">
                  <c:v>9 weeks</c:v>
                </c:pt>
                <c:pt idx="6">
                  <c:v>6 weeks</c:v>
                </c:pt>
                <c:pt idx="7">
                  <c:v>10 weeks</c:v>
                </c:pt>
                <c:pt idx="8">
                  <c:v>10 weeks</c:v>
                </c:pt>
                <c:pt idx="9">
                  <c:v>6 weeks</c:v>
                </c:pt>
                <c:pt idx="10">
                  <c:v>11 weeks</c:v>
                </c:pt>
                <c:pt idx="11">
                  <c:v>10 weeks</c:v>
                </c:pt>
              </c:strCache>
            </c:strRef>
          </c:cat>
          <c:val>
            <c:numRef>
              <c:f>'Sales momentum'!$B$4:$M$4</c:f>
              <c:numCache>
                <c:formatCode>0%</c:formatCode>
                <c:ptCount val="12"/>
                <c:pt idx="0">
                  <c:v>0.02</c:v>
                </c:pt>
                <c:pt idx="1">
                  <c:v>2.0000000000000018E-2</c:v>
                </c:pt>
                <c:pt idx="2" formatCode="0.0%">
                  <c:v>-3.2351152751340928E-3</c:v>
                </c:pt>
                <c:pt idx="3">
                  <c:v>1.4999999999999999E-2</c:v>
                </c:pt>
                <c:pt idx="4" formatCode="0.0%">
                  <c:v>2.692870437244177E-2</c:v>
                </c:pt>
                <c:pt idx="5" formatCode="0.0%">
                  <c:v>4.4230967280049382E-2</c:v>
                </c:pt>
                <c:pt idx="6">
                  <c:v>0.03</c:v>
                </c:pt>
                <c:pt idx="7">
                  <c:v>2.0416789756116493E-2</c:v>
                </c:pt>
                <c:pt idx="8" formatCode="0.0%">
                  <c:v>4.7564820211517977E-2</c:v>
                </c:pt>
                <c:pt idx="9" formatCode="0.0%">
                  <c:v>0.04</c:v>
                </c:pt>
                <c:pt idx="10" formatCode="0.0%">
                  <c:v>4.0000000000000036E-2</c:v>
                </c:pt>
                <c:pt idx="11" formatCode="0.0%">
                  <c:v>1.789776115255215E-2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E9-4F00-BE7D-1517645A0604}"/>
            </c:ext>
          </c:extLst>
        </c:ser>
        <c:ser>
          <c:idx val="2"/>
          <c:order val="2"/>
          <c:tx>
            <c:strRef>
              <c:f>'Sales momentum'!$A$5</c:f>
              <c:strCache>
                <c:ptCount val="1"/>
                <c:pt idx="0">
                  <c:v>BCF</c:v>
                </c:pt>
              </c:strCache>
            </c:strRef>
          </c:tx>
          <c:marker>
            <c:symbol val="none"/>
          </c:marker>
          <c:cat>
            <c:strRef>
              <c:f>'Sales momentum'!$B$2:$M$2</c:f>
              <c:strCache>
                <c:ptCount val="12"/>
                <c:pt idx="0">
                  <c:v>7 weeks</c:v>
                </c:pt>
                <c:pt idx="1">
                  <c:v>9 weeks</c:v>
                </c:pt>
                <c:pt idx="2">
                  <c:v>10 weeks</c:v>
                </c:pt>
                <c:pt idx="3">
                  <c:v>7 weeks</c:v>
                </c:pt>
                <c:pt idx="4">
                  <c:v>10 weeks</c:v>
                </c:pt>
                <c:pt idx="5">
                  <c:v>9 weeks</c:v>
                </c:pt>
                <c:pt idx="6">
                  <c:v>6 weeks</c:v>
                </c:pt>
                <c:pt idx="7">
                  <c:v>10 weeks</c:v>
                </c:pt>
                <c:pt idx="8">
                  <c:v>10 weeks</c:v>
                </c:pt>
                <c:pt idx="9">
                  <c:v>6 weeks</c:v>
                </c:pt>
                <c:pt idx="10">
                  <c:v>11 weeks</c:v>
                </c:pt>
                <c:pt idx="11">
                  <c:v>10 weeks</c:v>
                </c:pt>
              </c:strCache>
            </c:strRef>
          </c:cat>
          <c:val>
            <c:numRef>
              <c:f>'Sales momentum'!$B$5:$M$5</c:f>
              <c:numCache>
                <c:formatCode>0%</c:formatCode>
                <c:ptCount val="12"/>
                <c:pt idx="0">
                  <c:v>7.0000000000000007E-2</c:v>
                </c:pt>
                <c:pt idx="1">
                  <c:v>-1.7267893580536819E-2</c:v>
                </c:pt>
                <c:pt idx="2" formatCode="0.0%">
                  <c:v>9.6326018507764122E-3</c:v>
                </c:pt>
                <c:pt idx="3">
                  <c:v>0.02</c:v>
                </c:pt>
                <c:pt idx="4" formatCode="0.0%">
                  <c:v>-2.0463203299795119E-2</c:v>
                </c:pt>
                <c:pt idx="5" formatCode="0.0%">
                  <c:v>3.0331515482379334E-2</c:v>
                </c:pt>
                <c:pt idx="6">
                  <c:v>0.03</c:v>
                </c:pt>
                <c:pt idx="7">
                  <c:v>2.0416789756116493E-2</c:v>
                </c:pt>
                <c:pt idx="8" formatCode="0.0%">
                  <c:v>1.6218270535188983E-2</c:v>
                </c:pt>
                <c:pt idx="9" formatCode="0.0%">
                  <c:v>0.08</c:v>
                </c:pt>
                <c:pt idx="10" formatCode="0.0%">
                  <c:v>3.8558318991094742E-2</c:v>
                </c:pt>
                <c:pt idx="11" formatCode="0.0%">
                  <c:v>2.2207976384460704E-2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E9-4F00-BE7D-1517645A0604}"/>
            </c:ext>
          </c:extLst>
        </c:ser>
        <c:ser>
          <c:idx val="3"/>
          <c:order val="3"/>
          <c:tx>
            <c:strRef>
              <c:f>'Sales momentum'!$A$6</c:f>
              <c:strCache>
                <c:ptCount val="1"/>
                <c:pt idx="0">
                  <c:v>Macpac</c:v>
                </c:pt>
              </c:strCache>
            </c:strRef>
          </c:tx>
          <c:marker>
            <c:symbol val="none"/>
          </c:marker>
          <c:cat>
            <c:strRef>
              <c:f>'Sales momentum'!$B$2:$M$2</c:f>
              <c:strCache>
                <c:ptCount val="12"/>
                <c:pt idx="0">
                  <c:v>7 weeks</c:v>
                </c:pt>
                <c:pt idx="1">
                  <c:v>9 weeks</c:v>
                </c:pt>
                <c:pt idx="2">
                  <c:v>10 weeks</c:v>
                </c:pt>
                <c:pt idx="3">
                  <c:v>7 weeks</c:v>
                </c:pt>
                <c:pt idx="4">
                  <c:v>10 weeks</c:v>
                </c:pt>
                <c:pt idx="5">
                  <c:v>9 weeks</c:v>
                </c:pt>
                <c:pt idx="6">
                  <c:v>6 weeks</c:v>
                </c:pt>
                <c:pt idx="7">
                  <c:v>10 weeks</c:v>
                </c:pt>
                <c:pt idx="8">
                  <c:v>10 weeks</c:v>
                </c:pt>
                <c:pt idx="9">
                  <c:v>6 weeks</c:v>
                </c:pt>
                <c:pt idx="10">
                  <c:v>11 weeks</c:v>
                </c:pt>
                <c:pt idx="11">
                  <c:v>10 weeks</c:v>
                </c:pt>
              </c:strCache>
            </c:strRef>
          </c:cat>
          <c:val>
            <c:numRef>
              <c:f>'Sales momentum'!$B$6:$M$6</c:f>
              <c:numCache>
                <c:formatCode>General</c:formatCode>
                <c:ptCount val="12"/>
                <c:pt idx="6" formatCode="0%">
                  <c:v>7.0000000000000007E-2</c:v>
                </c:pt>
                <c:pt idx="7" formatCode="0%">
                  <c:v>9.2487772541889335E-2</c:v>
                </c:pt>
                <c:pt idx="8" formatCode="0.0%">
                  <c:v>0.14751012313445244</c:v>
                </c:pt>
                <c:pt idx="9" formatCode="0.0%">
                  <c:v>-0.02</c:v>
                </c:pt>
                <c:pt idx="10" formatCode="0.0%">
                  <c:v>4.2502131094056095E-2</c:v>
                </c:pt>
                <c:pt idx="11" formatCode="0.0%">
                  <c:v>6.8304075523205832E-2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E9-4F00-BE7D-1517645A0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4721792"/>
        <c:axId val="744818176"/>
      </c:lineChart>
      <c:catAx>
        <c:axId val="744721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44818176"/>
        <c:crosses val="autoZero"/>
        <c:auto val="1"/>
        <c:lblAlgn val="ctr"/>
        <c:lblOffset val="100"/>
        <c:noMultiLvlLbl val="0"/>
      </c:catAx>
      <c:valAx>
        <c:axId val="7448181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7447217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'Sales momentum'!$A$9</c:f>
              <c:strCache>
                <c:ptCount val="1"/>
                <c:pt idx="0">
                  <c:v>Supercheap</c:v>
                </c:pt>
              </c:strCache>
            </c:strRef>
          </c:tx>
          <c:marker>
            <c:symbol val="none"/>
          </c:marker>
          <c:val>
            <c:numRef>
              <c:f>'Sales momentum'!$B$9:$F$9</c:f>
              <c:numCache>
                <c:formatCode>0.0%</c:formatCode>
                <c:ptCount val="5"/>
                <c:pt idx="0">
                  <c:v>4.4988038209050618E-2</c:v>
                </c:pt>
                <c:pt idx="1">
                  <c:v>2.9833018722265736E-2</c:v>
                </c:pt>
                <c:pt idx="2">
                  <c:v>1.2187483162633184E-2</c:v>
                </c:pt>
                <c:pt idx="3">
                  <c:v>3.3436016403531443E-2</c:v>
                </c:pt>
                <c:pt idx="4">
                  <c:v>4.8175680072074956E-2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3-4EDA-BE3A-06830DC2184B}"/>
            </c:ext>
          </c:extLst>
        </c:ser>
        <c:ser>
          <c:idx val="1"/>
          <c:order val="1"/>
          <c:tx>
            <c:strRef>
              <c:f>'Sales momentum'!$A$10</c:f>
              <c:strCache>
                <c:ptCount val="1"/>
                <c:pt idx="0">
                  <c:v>Rebel</c:v>
                </c:pt>
              </c:strCache>
            </c:strRef>
          </c:tx>
          <c:marker>
            <c:symbol val="none"/>
          </c:marker>
          <c:val>
            <c:numRef>
              <c:f>'Sales momentum'!$B$10:$F$10</c:f>
              <c:numCache>
                <c:formatCode>0.0%</c:formatCode>
                <c:ptCount val="5"/>
                <c:pt idx="0">
                  <c:v>2.4987804805501002E-2</c:v>
                </c:pt>
                <c:pt idx="1">
                  <c:v>2.0208373593962881E-2</c:v>
                </c:pt>
                <c:pt idx="2">
                  <c:v>2.1849219435019496E-2</c:v>
                </c:pt>
                <c:pt idx="3">
                  <c:v>2.742396312330575E-2</c:v>
                </c:pt>
                <c:pt idx="4">
                  <c:v>3.3443686200336442E-2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3-4EDA-BE3A-06830DC2184B}"/>
            </c:ext>
          </c:extLst>
        </c:ser>
        <c:ser>
          <c:idx val="2"/>
          <c:order val="2"/>
          <c:tx>
            <c:strRef>
              <c:f>'Sales momentum'!$A$11</c:f>
              <c:strCache>
                <c:ptCount val="1"/>
                <c:pt idx="0">
                  <c:v>BCF</c:v>
                </c:pt>
              </c:strCache>
            </c:strRef>
          </c:tx>
          <c:marker>
            <c:symbol val="none"/>
          </c:marker>
          <c:val>
            <c:numRef>
              <c:f>'Sales momentum'!$B$11:$F$11</c:f>
              <c:numCache>
                <c:formatCode>0.0%</c:formatCode>
                <c:ptCount val="5"/>
                <c:pt idx="0">
                  <c:v>4.9809506529637115E-2</c:v>
                </c:pt>
                <c:pt idx="1">
                  <c:v>1.397194535122992E-3</c:v>
                </c:pt>
                <c:pt idx="2">
                  <c:v>1.2920083979352848E-2</c:v>
                </c:pt>
                <c:pt idx="3">
                  <c:v>4.9571341072154107E-2</c:v>
                </c:pt>
                <c:pt idx="4">
                  <c:v>8.6159273831076799E-3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3-4EDA-BE3A-06830DC21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5972096"/>
        <c:axId val="746087168"/>
      </c:lineChart>
      <c:catAx>
        <c:axId val="745972096"/>
        <c:scaling>
          <c:orientation val="minMax"/>
        </c:scaling>
        <c:delete val="0"/>
        <c:axPos val="b"/>
        <c:majorTickMark val="out"/>
        <c:minorTickMark val="none"/>
        <c:tickLblPos val="nextTo"/>
        <c:crossAx val="746087168"/>
        <c:crosses val="autoZero"/>
        <c:auto val="1"/>
        <c:lblAlgn val="ctr"/>
        <c:lblOffset val="100"/>
        <c:noMultiLvlLbl val="0"/>
      </c:catAx>
      <c:valAx>
        <c:axId val="746087168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7459720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11" Type="http://schemas.openxmlformats.org/officeDocument/2006/relationships/chart" Target="../charts/chart18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25.xml"/><Relationship Id="rId5" Type="http://schemas.openxmlformats.org/officeDocument/2006/relationships/image" Target="../media/image5.png"/><Relationship Id="rId4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0</xdr:rowOff>
    </xdr:from>
    <xdr:to>
      <xdr:col>1</xdr:col>
      <xdr:colOff>1924050</xdr:colOff>
      <xdr:row>3</xdr:row>
      <xdr:rowOff>0</xdr:rowOff>
    </xdr:to>
    <xdr:pic>
      <xdr:nvPicPr>
        <xdr:cNvPr id="2" name="Picture 1" descr="Goldman Sachs Research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57150"/>
          <a:ext cx="19050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65</xdr:col>
      <xdr:colOff>554011</xdr:colOff>
      <xdr:row>9</xdr:row>
      <xdr:rowOff>46705</xdr:rowOff>
    </xdr:from>
    <xdr:to>
      <xdr:col>73</xdr:col>
      <xdr:colOff>554011</xdr:colOff>
      <xdr:row>27</xdr:row>
      <xdr:rowOff>52829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0E5909-47CF-09E0-2C37-B007B2671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437029</xdr:colOff>
      <xdr:row>266</xdr:row>
      <xdr:rowOff>96370</xdr:rowOff>
    </xdr:from>
    <xdr:to>
      <xdr:col>67</xdr:col>
      <xdr:colOff>313764</xdr:colOff>
      <xdr:row>286</xdr:row>
      <xdr:rowOff>15687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2857</xdr:colOff>
      <xdr:row>23</xdr:row>
      <xdr:rowOff>60007</xdr:rowOff>
    </xdr:from>
    <xdr:to>
      <xdr:col>81</xdr:col>
      <xdr:colOff>69532</xdr:colOff>
      <xdr:row>41</xdr:row>
      <xdr:rowOff>165417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BD3CDDA-2657-FDBD-4256-BFFB08440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74</xdr:col>
      <xdr:colOff>0</xdr:colOff>
      <xdr:row>50</xdr:row>
      <xdr:rowOff>0</xdr:rowOff>
    </xdr:from>
    <xdr:to>
      <xdr:col>81</xdr:col>
      <xdr:colOff>76200</xdr:colOff>
      <xdr:row>70</xdr:row>
      <xdr:rowOff>149225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AA24574-CF87-4A52-A359-C33321DE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685799</xdr:colOff>
      <xdr:row>4</xdr:row>
      <xdr:rowOff>0</xdr:rowOff>
    </xdr:from>
    <xdr:to>
      <xdr:col>81</xdr:col>
      <xdr:colOff>76199</xdr:colOff>
      <xdr:row>22</xdr:row>
      <xdr:rowOff>101600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40554D9-5CA1-4FB4-A3A2-A0BD865A5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74</xdr:col>
      <xdr:colOff>0</xdr:colOff>
      <xdr:row>94</xdr:row>
      <xdr:rowOff>0</xdr:rowOff>
    </xdr:from>
    <xdr:to>
      <xdr:col>81</xdr:col>
      <xdr:colOff>76200</xdr:colOff>
      <xdr:row>148</xdr:row>
      <xdr:rowOff>101600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7E194B63-0B31-42CF-86FE-471D7AF3FC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74</xdr:col>
      <xdr:colOff>0</xdr:colOff>
      <xdr:row>73</xdr:row>
      <xdr:rowOff>0</xdr:rowOff>
    </xdr:from>
    <xdr:to>
      <xdr:col>81</xdr:col>
      <xdr:colOff>76200</xdr:colOff>
      <xdr:row>91</xdr:row>
      <xdr:rowOff>101600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8694CF1C-347D-4818-8A1A-A14A90F4D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145</xdr:row>
      <xdr:rowOff>28575</xdr:rowOff>
    </xdr:from>
    <xdr:to>
      <xdr:col>9</xdr:col>
      <xdr:colOff>265711</xdr:colOff>
      <xdr:row>159</xdr:row>
      <xdr:rowOff>56863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AEA0B9B-04C9-440E-AEF2-BE55F94AA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22421850"/>
          <a:ext cx="7914286" cy="22952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709892</xdr:colOff>
      <xdr:row>21</xdr:row>
      <xdr:rowOff>13728</xdr:rowOff>
    </xdr:from>
    <xdr:to>
      <xdr:col>21</xdr:col>
      <xdr:colOff>474569</xdr:colOff>
      <xdr:row>39</xdr:row>
      <xdr:rowOff>48652</xdr:rowOff>
    </xdr:to>
    <xdr:graphicFrame macro="">
      <xdr:nvGraphicFramePr>
        <xdr:cNvPr id="2" name="Chart 1 (3)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333375</xdr:colOff>
      <xdr:row>132</xdr:row>
      <xdr:rowOff>123825</xdr:rowOff>
    </xdr:from>
    <xdr:to>
      <xdr:col>29</xdr:col>
      <xdr:colOff>114300</xdr:colOff>
      <xdr:row>145</xdr:row>
      <xdr:rowOff>114300</xdr:rowOff>
    </xdr:to>
    <xdr:graphicFrame macro="">
      <xdr:nvGraphicFramePr>
        <xdr:cNvPr id="5" name="Chart 4 (2)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285750</xdr:colOff>
      <xdr:row>141</xdr:row>
      <xdr:rowOff>109537</xdr:rowOff>
    </xdr:from>
    <xdr:to>
      <xdr:col>5</xdr:col>
      <xdr:colOff>28575</xdr:colOff>
      <xdr:row>154</xdr:row>
      <xdr:rowOff>119062</xdr:rowOff>
    </xdr:to>
    <xdr:graphicFrame macro="">
      <xdr:nvGraphicFramePr>
        <xdr:cNvPr id="6" name="Chart 5 (1)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595312</xdr:colOff>
      <xdr:row>115</xdr:row>
      <xdr:rowOff>23812</xdr:rowOff>
    </xdr:from>
    <xdr:to>
      <xdr:col>30</xdr:col>
      <xdr:colOff>585787</xdr:colOff>
      <xdr:row>138</xdr:row>
      <xdr:rowOff>439737</xdr:rowOff>
    </xdr:to>
    <xdr:graphicFrame macro="">
      <xdr:nvGraphicFramePr>
        <xdr:cNvPr id="3" name="Chart 2 (2)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123825</xdr:colOff>
      <xdr:row>111</xdr:row>
      <xdr:rowOff>109537</xdr:rowOff>
    </xdr:from>
    <xdr:to>
      <xdr:col>14</xdr:col>
      <xdr:colOff>28575</xdr:colOff>
      <xdr:row>128</xdr:row>
      <xdr:rowOff>100012</xdr:rowOff>
    </xdr:to>
    <xdr:graphicFrame macro="">
      <xdr:nvGraphicFramePr>
        <xdr:cNvPr id="9" name="Chart 8 (2)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285750</xdr:colOff>
      <xdr:row>112</xdr:row>
      <xdr:rowOff>9525</xdr:rowOff>
    </xdr:from>
    <xdr:to>
      <xdr:col>21</xdr:col>
      <xdr:colOff>523875</xdr:colOff>
      <xdr:row>129</xdr:row>
      <xdr:rowOff>0</xdr:rowOff>
    </xdr:to>
    <xdr:graphicFrame macro="">
      <xdr:nvGraphicFramePr>
        <xdr:cNvPr id="10" name="Chart 9 (1)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504825</xdr:colOff>
      <xdr:row>129</xdr:row>
      <xdr:rowOff>133350</xdr:rowOff>
    </xdr:from>
    <xdr:to>
      <xdr:col>20</xdr:col>
      <xdr:colOff>581025</xdr:colOff>
      <xdr:row>142</xdr:row>
      <xdr:rowOff>123825</xdr:rowOff>
    </xdr:to>
    <xdr:graphicFrame macro="">
      <xdr:nvGraphicFramePr>
        <xdr:cNvPr id="11" name="Chart 10 (1)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38100</xdr:colOff>
      <xdr:row>129</xdr:row>
      <xdr:rowOff>19050</xdr:rowOff>
    </xdr:from>
    <xdr:to>
      <xdr:col>13</xdr:col>
      <xdr:colOff>742950</xdr:colOff>
      <xdr:row>142</xdr:row>
      <xdr:rowOff>9525</xdr:rowOff>
    </xdr:to>
    <xdr:graphicFrame macro="">
      <xdr:nvGraphicFramePr>
        <xdr:cNvPr id="12" name="Chart 11 (1)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137</xdr:row>
      <xdr:rowOff>0</xdr:rowOff>
    </xdr:from>
    <xdr:to>
      <xdr:col>5</xdr:col>
      <xdr:colOff>38100</xdr:colOff>
      <xdr:row>149</xdr:row>
      <xdr:rowOff>6350</xdr:rowOff>
    </xdr:to>
    <xdr:graphicFrame macro="">
      <xdr:nvGraphicFramePr>
        <xdr:cNvPr id="13" name="Chart 12 (1)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523875</xdr:colOff>
      <xdr:row>128</xdr:row>
      <xdr:rowOff>76200</xdr:rowOff>
    </xdr:from>
    <xdr:to>
      <xdr:col>8</xdr:col>
      <xdr:colOff>171450</xdr:colOff>
      <xdr:row>143</xdr:row>
      <xdr:rowOff>15875</xdr:rowOff>
    </xdr:to>
    <xdr:graphicFrame macro="">
      <xdr:nvGraphicFramePr>
        <xdr:cNvPr id="14" name="Chart 13 (1)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466725</xdr:colOff>
      <xdr:row>108</xdr:row>
      <xdr:rowOff>104775</xdr:rowOff>
    </xdr:from>
    <xdr:to>
      <xdr:col>15</xdr:col>
      <xdr:colOff>28575</xdr:colOff>
      <xdr:row>127</xdr:row>
      <xdr:rowOff>44450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0.81409</cdr:x>
      <cdr:y>0.07603</cdr:y>
    </cdr:from>
    <cdr:to>
      <cdr:x>0.97847</cdr:x>
      <cdr:y>0.50686</cdr:y>
    </cdr:to>
    <cdr:sp macro="" textlink="">
      <cdr:nvSpPr>
        <cdr:cNvPr id="3" name="Rectangle 2"/>
        <cdr:cNvSpPr/>
      </cdr:nvSpPr>
      <cdr:spPr bwMode="auto">
        <a:xfrm xmlns:a="http://schemas.openxmlformats.org/drawingml/2006/main">
          <a:off x="3962398" y="228600"/>
          <a:ext cx="800100" cy="12954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solidFill>
            <a:srgbClr val="FF000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0.41211</cdr:x>
      <cdr:y>0</cdr:y>
    </cdr:from>
    <cdr:to>
      <cdr:x>0.49805</cdr:x>
      <cdr:y>0.64737</cdr:y>
    </cdr:to>
    <cdr:sp macro="" textlink="">
      <cdr:nvSpPr>
        <cdr:cNvPr id="4" name="Rectangle 3"/>
        <cdr:cNvSpPr/>
      </cdr:nvSpPr>
      <cdr:spPr bwMode="auto">
        <a:xfrm xmlns:a="http://schemas.openxmlformats.org/drawingml/2006/main">
          <a:off x="2009775" y="0"/>
          <a:ext cx="419100" cy="195262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  <a:alpha val="25098"/>
          </a:scheme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0.90495</cdr:x>
      <cdr:y>0.00105</cdr:y>
    </cdr:from>
    <cdr:to>
      <cdr:x>0.99023</cdr:x>
      <cdr:y>0.65053</cdr:y>
    </cdr:to>
    <cdr:sp macro="" textlink="">
      <cdr:nvSpPr>
        <cdr:cNvPr id="5" name="Rectangle 4"/>
        <cdr:cNvSpPr/>
      </cdr:nvSpPr>
      <cdr:spPr bwMode="auto">
        <a:xfrm xmlns:a="http://schemas.openxmlformats.org/drawingml/2006/main">
          <a:off x="4413249" y="3174"/>
          <a:ext cx="415925" cy="19589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  <a:alpha val="25098"/>
          </a:scheme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3</xdr:row>
      <xdr:rowOff>66675</xdr:rowOff>
    </xdr:from>
    <xdr:to>
      <xdr:col>19</xdr:col>
      <xdr:colOff>19050</xdr:colOff>
      <xdr:row>22</xdr:row>
      <xdr:rowOff>6350</xdr:rowOff>
    </xdr:to>
    <xdr:graphicFrame macro="">
      <xdr:nvGraphicFramePr>
        <xdr:cNvPr id="2" name="Chart 1 (4)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314325</xdr:colOff>
      <xdr:row>26</xdr:row>
      <xdr:rowOff>142875</xdr:rowOff>
    </xdr:from>
    <xdr:to>
      <xdr:col>16</xdr:col>
      <xdr:colOff>314325</xdr:colOff>
      <xdr:row>45</xdr:row>
      <xdr:rowOff>82550</xdr:rowOff>
    </xdr:to>
    <xdr:graphicFrame macro="">
      <xdr:nvGraphicFramePr>
        <xdr:cNvPr id="3" name="Chart 2 (3)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27</xdr:row>
      <xdr:rowOff>123825</xdr:rowOff>
    </xdr:from>
    <xdr:to>
      <xdr:col>8</xdr:col>
      <xdr:colOff>457200</xdr:colOff>
      <xdr:row>46</xdr:row>
      <xdr:rowOff>63500</xdr:rowOff>
    </xdr:to>
    <xdr:graphicFrame macro="">
      <xdr:nvGraphicFramePr>
        <xdr:cNvPr id="4" name="Chart 3 (2)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585787</xdr:colOff>
      <xdr:row>28</xdr:row>
      <xdr:rowOff>38100</xdr:rowOff>
    </xdr:from>
    <xdr:to>
      <xdr:col>12</xdr:col>
      <xdr:colOff>280987</xdr:colOff>
      <xdr:row>45</xdr:row>
      <xdr:rowOff>28575</xdr:rowOff>
    </xdr:to>
    <xdr:graphicFrame macro="">
      <xdr:nvGraphicFramePr>
        <xdr:cNvPr id="3" name="Chart 2 (4)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</xdr:colOff>
      <xdr:row>8</xdr:row>
      <xdr:rowOff>66675</xdr:rowOff>
    </xdr:from>
    <xdr:to>
      <xdr:col>26</xdr:col>
      <xdr:colOff>38100</xdr:colOff>
      <xdr:row>27</xdr:row>
      <xdr:rowOff>6350</xdr:rowOff>
    </xdr:to>
    <xdr:graphicFrame macro="">
      <xdr:nvGraphicFramePr>
        <xdr:cNvPr id="4" name="Chart 3 (3)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590550</xdr:colOff>
      <xdr:row>27</xdr:row>
      <xdr:rowOff>95250</xdr:rowOff>
    </xdr:from>
    <xdr:to>
      <xdr:col>25</xdr:col>
      <xdr:colOff>590550</xdr:colOff>
      <xdr:row>46</xdr:row>
      <xdr:rowOff>34925</xdr:rowOff>
    </xdr:to>
    <xdr:graphicFrame macro="">
      <xdr:nvGraphicFramePr>
        <xdr:cNvPr id="5" name="Chart 4 (3)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0.00729</cdr:x>
      <cdr:y>0.01736</cdr:y>
    </cdr:from>
    <cdr:to>
      <cdr:x>0.14479</cdr:x>
      <cdr:y>0.08333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338" y="47624"/>
          <a:ext cx="628650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A$mn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0.00729</cdr:x>
      <cdr:y>0.01736</cdr:y>
    </cdr:from>
    <cdr:to>
      <cdr:x>0.14479</cdr:x>
      <cdr:y>0.08333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338" y="47624"/>
          <a:ext cx="628650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A$mn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0.00729</cdr:x>
      <cdr:y>0.01736</cdr:y>
    </cdr:from>
    <cdr:to>
      <cdr:x>0.14479</cdr:x>
      <cdr:y>0.08333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338" y="47624"/>
          <a:ext cx="628650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A$mn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252412</xdr:colOff>
      <xdr:row>52</xdr:row>
      <xdr:rowOff>104775</xdr:rowOff>
    </xdr:from>
    <xdr:to>
      <xdr:col>10</xdr:col>
      <xdr:colOff>242887</xdr:colOff>
      <xdr:row>71</xdr:row>
      <xdr:rowOff>34925</xdr:rowOff>
    </xdr:to>
    <xdr:graphicFrame macro="">
      <xdr:nvGraphicFramePr>
        <xdr:cNvPr id="2" name="Chart 1 (5)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28</xdr:col>
      <xdr:colOff>504825</xdr:colOff>
      <xdr:row>6</xdr:row>
      <xdr:rowOff>66675</xdr:rowOff>
    </xdr:from>
    <xdr:to>
      <xdr:col>38</xdr:col>
      <xdr:colOff>94539</xdr:colOff>
      <xdr:row>9</xdr:row>
      <xdr:rowOff>161852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25375" y="1038225"/>
          <a:ext cx="5685714" cy="580952"/>
        </a:xfrm>
        <a:prstGeom prst="rect">
          <a:avLst/>
        </a:prstGeom>
      </xdr:spPr>
    </xdr:pic>
    <xdr:clientData/>
  </xdr:twoCellAnchor>
  <xdr:twoCellAnchor editAs="oneCell">
    <xdr:from>
      <xdr:col>28</xdr:col>
      <xdr:colOff>400050</xdr:colOff>
      <xdr:row>9</xdr:row>
      <xdr:rowOff>85725</xdr:rowOff>
    </xdr:from>
    <xdr:to>
      <xdr:col>37</xdr:col>
      <xdr:colOff>285079</xdr:colOff>
      <xdr:row>22</xdr:row>
      <xdr:rowOff>9271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20600" y="1543050"/>
          <a:ext cx="5371429" cy="2028571"/>
        </a:xfrm>
        <a:prstGeom prst="rect">
          <a:avLst/>
        </a:prstGeom>
      </xdr:spPr>
    </xdr:pic>
    <xdr:clientData/>
  </xdr:twoCellAnchor>
  <xdr:twoCellAnchor>
    <xdr:from>
      <xdr:col>25</xdr:col>
      <xdr:colOff>309562</xdr:colOff>
      <xdr:row>51</xdr:row>
      <xdr:rowOff>38100</xdr:rowOff>
    </xdr:from>
    <xdr:to>
      <xdr:col>33</xdr:col>
      <xdr:colOff>300037</xdr:colOff>
      <xdr:row>69</xdr:row>
      <xdr:rowOff>130175</xdr:rowOff>
    </xdr:to>
    <xdr:graphicFrame macro="">
      <xdr:nvGraphicFramePr>
        <xdr:cNvPr id="5" name="Chart 4 (4)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133350</xdr:colOff>
      <xdr:row>5</xdr:row>
      <xdr:rowOff>38100</xdr:rowOff>
    </xdr:from>
    <xdr:to>
      <xdr:col>35</xdr:col>
      <xdr:colOff>332664</xdr:colOff>
      <xdr:row>8</xdr:row>
      <xdr:rowOff>133277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34700" y="847725"/>
          <a:ext cx="5685714" cy="580952"/>
        </a:xfrm>
        <a:prstGeom prst="rect">
          <a:avLst/>
        </a:prstGeom>
      </xdr:spPr>
    </xdr:pic>
    <xdr:clientData/>
  </xdr:twoCellAnchor>
  <xdr:twoCellAnchor editAs="oneCell">
    <xdr:from>
      <xdr:col>26</xdr:col>
      <xdr:colOff>285750</xdr:colOff>
      <xdr:row>9</xdr:row>
      <xdr:rowOff>38100</xdr:rowOff>
    </xdr:from>
    <xdr:to>
      <xdr:col>35</xdr:col>
      <xdr:colOff>170779</xdr:colOff>
      <xdr:row>21</xdr:row>
      <xdr:rowOff>123571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87100" y="1495425"/>
          <a:ext cx="5371429" cy="2028571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24</xdr:row>
      <xdr:rowOff>0</xdr:rowOff>
    </xdr:from>
    <xdr:to>
      <xdr:col>42</xdr:col>
      <xdr:colOff>27809</xdr:colOff>
      <xdr:row>37</xdr:row>
      <xdr:rowOff>85451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458950" y="3724275"/>
          <a:ext cx="6123809" cy="219047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0</xdr:rowOff>
    </xdr:from>
    <xdr:to>
      <xdr:col>21</xdr:col>
      <xdr:colOff>427582</xdr:colOff>
      <xdr:row>29</xdr:row>
      <xdr:rowOff>37509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81875" y="0"/>
          <a:ext cx="8352382" cy="473333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39</xdr:row>
      <xdr:rowOff>0</xdr:rowOff>
    </xdr:from>
    <xdr:to>
      <xdr:col>17</xdr:col>
      <xdr:colOff>409067</xdr:colOff>
      <xdr:row>68</xdr:row>
      <xdr:rowOff>94652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10675" y="5181600"/>
          <a:ext cx="4066667" cy="4790477"/>
        </a:xfrm>
        <a:prstGeom prst="rect">
          <a:avLst/>
        </a:prstGeom>
      </xdr:spPr>
    </xdr:pic>
    <xdr:clientData/>
  </xdr:twoCellAnchor>
  <xdr:oneCellAnchor>
    <xdr:from>
      <xdr:col>10</xdr:col>
      <xdr:colOff>41359</xdr:colOff>
      <xdr:row>52</xdr:row>
      <xdr:rowOff>97924</xdr:rowOff>
    </xdr:from>
    <xdr:ext cx="5025941" cy="311496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8642434" y="7384549"/>
          <a:ext cx="502594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MACPAC</a:t>
          </a:r>
          <a:r>
            <a:rPr lang="en-US" sz="1400" b="1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 mix on purchase</a:t>
          </a:r>
          <a:endParaRPr lang="en-US" sz="14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565898</xdr:colOff>
      <xdr:row>76</xdr:row>
      <xdr:rowOff>109257</xdr:rowOff>
    </xdr:from>
    <xdr:to>
      <xdr:col>10</xdr:col>
      <xdr:colOff>600076</xdr:colOff>
      <xdr:row>109</xdr:row>
      <xdr:rowOff>99732</xdr:rowOff>
    </xdr:to>
    <xdr:pic>
      <xdr:nvPicPr>
        <xdr:cNvPr id="5" name="Picture 1" descr="image001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898" y="12032316"/>
          <a:ext cx="8595472" cy="516759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493059</xdr:colOff>
      <xdr:row>73</xdr:row>
      <xdr:rowOff>12326</xdr:rowOff>
    </xdr:from>
    <xdr:to>
      <xdr:col>21</xdr:col>
      <xdr:colOff>224118</xdr:colOff>
      <xdr:row>90</xdr:row>
      <xdr:rowOff>88526</xdr:rowOff>
    </xdr:to>
    <xdr:graphicFrame macro="">
      <xdr:nvGraphicFramePr>
        <xdr:cNvPr id="6" name="Chart 5 (2)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20</xdr:row>
      <xdr:rowOff>23532</xdr:rowOff>
    </xdr:from>
    <xdr:to>
      <xdr:col>28</xdr:col>
      <xdr:colOff>336177</xdr:colOff>
      <xdr:row>37</xdr:row>
      <xdr:rowOff>99732</xdr:rowOff>
    </xdr:to>
    <xdr:graphicFrame macro="">
      <xdr:nvGraphicFramePr>
        <xdr:cNvPr id="2" name="Chart 1 (6)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1</xdr:row>
      <xdr:rowOff>0</xdr:rowOff>
    </xdr:from>
    <xdr:to>
      <xdr:col>28</xdr:col>
      <xdr:colOff>336177</xdr:colOff>
      <xdr:row>19</xdr:row>
      <xdr:rowOff>42582</xdr:rowOff>
    </xdr:to>
    <xdr:graphicFrame macro="">
      <xdr:nvGraphicFramePr>
        <xdr:cNvPr id="3" name="Chart 2 (5)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33</xdr:row>
      <xdr:rowOff>128587</xdr:rowOff>
    </xdr:from>
    <xdr:to>
      <xdr:col>9</xdr:col>
      <xdr:colOff>581025</xdr:colOff>
      <xdr:row>50</xdr:row>
      <xdr:rowOff>119062</xdr:rowOff>
    </xdr:to>
    <xdr:graphicFrame macro="">
      <xdr:nvGraphicFramePr>
        <xdr:cNvPr id="2" name="Chart 1 (7)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32</xdr:row>
      <xdr:rowOff>109537</xdr:rowOff>
    </xdr:from>
    <xdr:to>
      <xdr:col>18</xdr:col>
      <xdr:colOff>314325</xdr:colOff>
      <xdr:row>49</xdr:row>
      <xdr:rowOff>100012</xdr:rowOff>
    </xdr:to>
    <xdr:graphicFrame macro="">
      <xdr:nvGraphicFramePr>
        <xdr:cNvPr id="3" name="Chart 2 (6)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GIR Exhibits">
      <a:dk1>
        <a:srgbClr val="000000"/>
      </a:dk1>
      <a:lt1>
        <a:sysClr val="window" lastClr="FFFFFF"/>
      </a:lt1>
      <a:dk2>
        <a:srgbClr val="BE3232"/>
      </a:dk2>
      <a:lt2>
        <a:srgbClr val="F67F26"/>
      </a:lt2>
      <a:accent1>
        <a:srgbClr val="00355F"/>
      </a:accent1>
      <a:accent2>
        <a:srgbClr val="ACD4F1"/>
      </a:accent2>
      <a:accent3>
        <a:srgbClr val="A5A5A5"/>
      </a:accent3>
      <a:accent4>
        <a:srgbClr val="7399C6"/>
      </a:accent4>
      <a:accent5>
        <a:srgbClr val="078549"/>
      </a:accent5>
      <a:accent6>
        <a:srgbClr val="8BC346"/>
      </a:accent6>
      <a:hlink>
        <a:srgbClr val="7399C6"/>
      </a:hlink>
      <a:folHlink>
        <a:srgbClr val="A5A5A5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C9AA312-AF30-42D2-A7A5-B147B29E19EE}">
  <we:reference id="49825c50-e8d8-4c4a-9a2c-e6f24181e018" version="1.0.0.0" store="EXCatalog" storeType="EXCatalog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customProperty" Target="../customProperty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3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4.bin"/><Relationship Id="rId4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1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16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customProperty" Target="../customProperty19.bin"/><Relationship Id="rId1" Type="http://schemas.openxmlformats.org/officeDocument/2006/relationships/printerSettings" Target="../printerSettings/printerSettings17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1.bin"/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customProperty" Target="../customProperty22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customProperty" Target="../customProperty23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4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customProperty" Target="../customProperty25.bin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customProperty" Target="../customProperty26.bin"/><Relationship Id="rId1" Type="http://schemas.openxmlformats.org/officeDocument/2006/relationships/printerSettings" Target="../printerSettings/printerSettings24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7.bin"/><Relationship Id="rId1" Type="http://schemas.openxmlformats.org/officeDocument/2006/relationships/printerSettings" Target="../printerSettings/printerSettings25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customProperty" Target="../customProperty28.bin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8.xml"/><Relationship Id="rId4" Type="http://schemas.openxmlformats.org/officeDocument/2006/relationships/vmlDrawing" Target="../drawings/vmlDrawing8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9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0.bin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"/>
  <sheetViews>
    <sheetView workbookViewId="0"/>
  </sheetViews>
  <sheetFormatPr defaultRowHeight="12.75"/>
  <sheetData>
    <row r="1" spans="1:2">
      <c r="B1" t="s">
        <v>348</v>
      </c>
    </row>
  </sheetData>
  <pageMargins left="0.7" right="0.7" top="0.75" bottom="0.75" header="0.3" footer="0.3"/>
  <pageSetup paperSize="0" orientation="portrait" r:id="rId1"/>
  <customProperties>
    <customPr name="Qube.Worksheet.Visibility" r:id="rId2"/>
  </customPropertie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J46"/>
  <sheetViews>
    <sheetView showGridLines="0" tabSelected="1" workbookViewId="0">
      <selection activeCell="D8" sqref="D8"/>
    </sheetView>
  </sheetViews>
  <sheetFormatPr defaultColWidth="0" defaultRowHeight="0" customHeight="1" zeroHeight="1"/>
  <cols>
    <col min="1" max="1" width="2.5703125" style="107" customWidth="1"/>
    <col min="2" max="2" width="61.140625" style="107" bestFit="1" customWidth="1"/>
    <col min="3" max="3" width="18.42578125" style="107" customWidth="1"/>
    <col min="4" max="9" width="9.140625" style="107" customWidth="1"/>
    <col min="10" max="10" width="2.5703125" style="107" customWidth="1"/>
    <col min="11" max="21" width="9.140625" style="107" hidden="1" customWidth="1"/>
    <col min="22" max="16384" width="9.140625" style="107" hidden="1"/>
  </cols>
  <sheetData>
    <row r="1" spans="2:9" ht="5.0999999999999996" customHeight="1"/>
    <row r="2" spans="2:9" ht="18" customHeight="1"/>
    <row r="3" spans="2:9" ht="18" customHeight="1"/>
    <row r="4" spans="2:9" ht="18" customHeight="1">
      <c r="B4" s="108" t="s">
        <v>493</v>
      </c>
    </row>
    <row r="5" spans="2:9" ht="5.0999999999999996" customHeight="1"/>
    <row r="6" spans="2:9" ht="18" customHeight="1">
      <c r="B6" s="1396" t="s">
        <v>489</v>
      </c>
      <c r="C6" s="1396"/>
      <c r="D6" s="1396"/>
      <c r="E6" s="1396"/>
      <c r="F6" s="1396"/>
      <c r="G6" s="1396"/>
      <c r="H6" s="1396"/>
      <c r="I6" s="1396"/>
    </row>
    <row r="7" spans="2:9" ht="18" customHeight="1">
      <c r="B7" s="109" t="s">
        <v>490</v>
      </c>
      <c r="C7" s="110" t="s">
        <v>275</v>
      </c>
    </row>
    <row r="8" spans="2:9" ht="18" customHeight="1">
      <c r="B8" s="109" t="s">
        <v>739</v>
      </c>
      <c r="C8" s="184">
        <f>Valuation!I32</f>
        <v>18.3</v>
      </c>
    </row>
    <row r="9" spans="2:9" ht="18" customHeight="1">
      <c r="B9" s="109" t="s">
        <v>260</v>
      </c>
      <c r="C9" s="111">
        <v>3</v>
      </c>
    </row>
    <row r="10" spans="2:9" ht="18" customHeight="1">
      <c r="B10" s="109" t="s">
        <v>1061</v>
      </c>
      <c r="C10" s="110">
        <v>45953</v>
      </c>
    </row>
    <row r="11" spans="2:9" ht="5.0999999999999996" customHeight="1"/>
    <row r="12" spans="2:9" ht="18" customHeight="1">
      <c r="B12" s="1396" t="s">
        <v>491</v>
      </c>
      <c r="C12" s="1396"/>
      <c r="D12" s="1396"/>
      <c r="E12" s="1396"/>
      <c r="F12" s="1396"/>
      <c r="G12" s="1396"/>
      <c r="H12" s="1396"/>
      <c r="I12" s="1396"/>
    </row>
    <row r="13" spans="2:9" ht="18" customHeight="1">
      <c r="B13" s="113" t="s">
        <v>492</v>
      </c>
    </row>
    <row r="14" spans="2:9" ht="18" customHeight="1">
      <c r="B14" s="112" t="s">
        <v>926</v>
      </c>
    </row>
    <row r="15" spans="2:9" ht="18" customHeight="1">
      <c r="B15" s="113" t="s">
        <v>1002</v>
      </c>
    </row>
    <row r="16" spans="2:9" ht="18" customHeight="1">
      <c r="B16" s="112" t="s">
        <v>1003</v>
      </c>
    </row>
    <row r="17" ht="18" customHeight="1"/>
    <row r="18" ht="18" hidden="1" customHeight="1"/>
    <row r="19" ht="18" hidden="1" customHeight="1"/>
    <row r="20" ht="18" hidden="1" customHeight="1"/>
    <row r="21" ht="18" hidden="1" customHeight="1"/>
    <row r="22" ht="18" hidden="1" customHeight="1"/>
    <row r="23" ht="18" hidden="1" customHeight="1"/>
    <row r="24" ht="18" hidden="1" customHeight="1"/>
    <row r="25" ht="18" hidden="1" customHeight="1"/>
    <row r="26" ht="18" hidden="1" customHeight="1"/>
    <row r="27" ht="18" hidden="1" customHeight="1"/>
    <row r="28" ht="18" hidden="1" customHeight="1"/>
    <row r="29" ht="18" hidden="1" customHeight="1"/>
    <row r="30" ht="18" hidden="1" customHeight="1"/>
    <row r="31" ht="18" hidden="1" customHeight="1"/>
    <row r="32" ht="18" hidden="1" customHeight="1"/>
    <row r="33" ht="18" hidden="1" customHeight="1"/>
    <row r="34" ht="18" hidden="1" customHeight="1"/>
    <row r="35" ht="18" hidden="1" customHeight="1"/>
    <row r="36" ht="18" hidden="1" customHeight="1"/>
    <row r="37" ht="18" hidden="1" customHeight="1"/>
    <row r="38" ht="18" hidden="1" customHeight="1"/>
    <row r="39" ht="18" hidden="1" customHeight="1"/>
    <row r="40" ht="18" hidden="1" customHeight="1"/>
    <row r="41" ht="18" hidden="1" customHeight="1"/>
    <row r="42" ht="18" hidden="1" customHeight="1"/>
    <row r="43" ht="18" hidden="1" customHeight="1"/>
    <row r="44" ht="18" hidden="1" customHeight="1"/>
    <row r="45" ht="18" hidden="1" customHeight="1"/>
    <row r="46" ht="18" hidden="1" customHeight="1"/>
  </sheetData>
  <protectedRanges>
    <protectedRange password="EFD2" sqref="B15" name="Cover_2_1_1_1_1_1_1"/>
  </protectedRanges>
  <mergeCells count="2">
    <mergeCell ref="B6:I6"/>
    <mergeCell ref="B12:I12"/>
  </mergeCells>
  <dataValidations count="2">
    <dataValidation type="list" allowBlank="1" showInputMessage="1" showErrorMessage="1" sqref="C7" xr:uid="{00000000-0002-0000-0500-000000000000}">
      <formula1>"Buy, Sell, Neutral, Not Rated, Rating Suspended"</formula1>
    </dataValidation>
    <dataValidation type="list" allowBlank="1" showInputMessage="1" showErrorMessage="1" sqref="C9" xr:uid="{00000000-0002-0000-0500-000001000000}">
      <formula1>"1, 2, 3"</formula1>
    </dataValidation>
  </dataValidations>
  <pageMargins left="0.7" right="0.7" top="0.75" bottom="0.75" header="0.3" footer="0.3"/>
  <pageSetup paperSize="0" orientation="portrait" r:id="rId1"/>
  <customProperties>
    <customPr name="Qube.Worksheet.ID" r:id="rId2"/>
    <customPr name="Qube.Worksheet.Visibility" r:id="rId3"/>
  </customPropertie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4" tint="0.89999084444715716"/>
    <pageSetUpPr fitToPage="1"/>
  </sheetPr>
  <dimension ref="A1:O1272"/>
  <sheetViews>
    <sheetView workbookViewId="0">
      <selection activeCell="D62" sqref="D62:D63"/>
    </sheetView>
  </sheetViews>
  <sheetFormatPr defaultColWidth="9.140625" defaultRowHeight="12.75"/>
  <cols>
    <col min="1" max="1" width="9.140625" style="644"/>
    <col min="2" max="2" width="33.28515625" style="644" customWidth="1"/>
    <col min="3" max="3" width="9.140625" style="644"/>
    <col min="4" max="4" width="30.28515625" style="644" bestFit="1" customWidth="1"/>
    <col min="5" max="8" width="9.140625" style="644"/>
    <col min="9" max="9" width="10.28515625" style="644" bestFit="1" customWidth="1"/>
    <col min="10" max="10" width="14.140625" style="644" customWidth="1"/>
    <col min="11" max="11" width="12.140625" style="644" bestFit="1" customWidth="1"/>
    <col min="12" max="16384" width="9.140625" style="644"/>
  </cols>
  <sheetData>
    <row r="1" spans="2:15" ht="13.5" thickBot="1"/>
    <row r="2" spans="2:15">
      <c r="B2" s="653" t="s">
        <v>347</v>
      </c>
      <c r="C2" s="654"/>
      <c r="D2" s="654"/>
      <c r="E2" s="654"/>
      <c r="F2" s="654"/>
      <c r="G2" s="654"/>
      <c r="H2" s="654"/>
      <c r="I2" s="654"/>
      <c r="J2" s="655"/>
    </row>
    <row r="3" spans="2:15">
      <c r="B3" s="656" t="s">
        <v>330</v>
      </c>
      <c r="C3" s="657"/>
      <c r="D3" s="657"/>
      <c r="E3" s="657"/>
      <c r="F3" s="657"/>
      <c r="G3" s="657"/>
      <c r="H3" s="657"/>
      <c r="I3" s="657"/>
      <c r="J3" s="658"/>
    </row>
    <row r="4" spans="2:15" ht="12.75" customHeight="1">
      <c r="B4" s="659" t="s">
        <v>331</v>
      </c>
      <c r="C4" s="660"/>
      <c r="D4" s="661" t="s">
        <v>332</v>
      </c>
      <c r="E4" s="662"/>
      <c r="F4" s="663" t="s">
        <v>874</v>
      </c>
      <c r="G4" s="664"/>
      <c r="H4" s="665"/>
      <c r="I4" s="666" t="s">
        <v>27</v>
      </c>
      <c r="J4" s="667" t="s">
        <v>909</v>
      </c>
    </row>
    <row r="5" spans="2:15">
      <c r="B5" s="659"/>
      <c r="C5" s="665"/>
      <c r="D5" s="661" t="s">
        <v>1006</v>
      </c>
      <c r="E5" s="668"/>
      <c r="F5" s="668" t="s">
        <v>875</v>
      </c>
      <c r="G5" s="668"/>
      <c r="H5" s="664"/>
      <c r="I5" s="668" t="s">
        <v>557</v>
      </c>
      <c r="J5" s="669" t="s">
        <v>910</v>
      </c>
      <c r="O5" s="645"/>
    </row>
    <row r="6" spans="2:15">
      <c r="B6" s="670" t="s">
        <v>612</v>
      </c>
      <c r="C6" s="664"/>
      <c r="D6" s="671">
        <f>Divisionals!AI33</f>
        <v>247.68158064487216</v>
      </c>
      <c r="E6" s="672"/>
      <c r="F6" s="672">
        <v>10</v>
      </c>
      <c r="G6" s="673"/>
      <c r="H6" s="664"/>
      <c r="I6" s="673">
        <f>F6*D6</f>
        <v>2476.8158064487216</v>
      </c>
      <c r="J6" s="674">
        <f>I6/$I$13</f>
        <v>0.66283122345439571</v>
      </c>
      <c r="K6" s="650"/>
      <c r="M6" s="650"/>
      <c r="O6" s="645"/>
    </row>
    <row r="7" spans="2:15">
      <c r="B7" s="670" t="s">
        <v>873</v>
      </c>
      <c r="C7" s="664"/>
      <c r="D7" s="671">
        <f>Divisionals!AI34+Divisionals!AI35</f>
        <v>100.78318681289963</v>
      </c>
      <c r="E7" s="672"/>
      <c r="F7" s="767">
        <v>9</v>
      </c>
      <c r="G7" s="673"/>
      <c r="H7" s="664"/>
      <c r="I7" s="673">
        <f>F7*D7</f>
        <v>907.04868131609669</v>
      </c>
      <c r="J7" s="674">
        <f t="shared" ref="J7:J10" si="0">I7/$I$13</f>
        <v>0.24273915953059061</v>
      </c>
      <c r="K7" s="650"/>
      <c r="M7" s="650"/>
      <c r="O7" s="645"/>
    </row>
    <row r="8" spans="2:15">
      <c r="B8" s="670" t="s">
        <v>168</v>
      </c>
      <c r="C8" s="664"/>
      <c r="D8" s="671">
        <f>Divisionals!AI36</f>
        <v>144.09341088730633</v>
      </c>
      <c r="E8" s="672"/>
      <c r="F8" s="672">
        <v>9</v>
      </c>
      <c r="G8" s="673"/>
      <c r="H8" s="664"/>
      <c r="I8" s="673">
        <f>F8*D8</f>
        <v>1296.8406979857571</v>
      </c>
      <c r="J8" s="674">
        <f>I8/$I$13</f>
        <v>0.34705306072147279</v>
      </c>
      <c r="K8" s="650"/>
      <c r="M8" s="650"/>
      <c r="O8" s="645"/>
    </row>
    <row r="9" spans="2:15">
      <c r="B9" s="670" t="s">
        <v>72</v>
      </c>
      <c r="C9" s="664"/>
      <c r="D9" s="671">
        <f>Divisionals!AI37</f>
        <v>-35.550000000000004</v>
      </c>
      <c r="E9" s="672"/>
      <c r="F9" s="672">
        <v>9.5</v>
      </c>
      <c r="G9" s="673"/>
      <c r="H9" s="664"/>
      <c r="I9" s="673">
        <f>F9*D9</f>
        <v>-337.72500000000002</v>
      </c>
      <c r="J9" s="674">
        <f t="shared" si="0"/>
        <v>-9.0380025175186701E-2</v>
      </c>
      <c r="K9" s="650"/>
      <c r="M9" s="650"/>
      <c r="O9" s="645"/>
    </row>
    <row r="10" spans="2:15">
      <c r="B10" s="670" t="s">
        <v>841</v>
      </c>
      <c r="C10" s="664"/>
      <c r="D10" s="671">
        <f>'PPE &amp; Leases'!AI78</f>
        <v>-63.816684246401792</v>
      </c>
      <c r="E10" s="672"/>
      <c r="F10" s="672">
        <v>9.5</v>
      </c>
      <c r="G10" s="673"/>
      <c r="H10" s="664"/>
      <c r="I10" s="673">
        <f>F10*D10</f>
        <v>-606.25850034081702</v>
      </c>
      <c r="J10" s="674">
        <f t="shared" si="0"/>
        <v>-0.16224341853127242</v>
      </c>
      <c r="K10" s="650"/>
      <c r="O10" s="645"/>
    </row>
    <row r="11" spans="2:15">
      <c r="B11" s="675" t="s">
        <v>929</v>
      </c>
      <c r="C11" s="665"/>
      <c r="D11" s="676">
        <f>SUM(D6:D10)</f>
        <v>393.19149409867634</v>
      </c>
      <c r="E11" s="677"/>
      <c r="F11" s="709">
        <f>SUM(I6:I9)/SUM(D6:D9)</f>
        <v>9.5030688542104684</v>
      </c>
      <c r="G11" s="676"/>
      <c r="H11" s="665"/>
      <c r="I11" s="676"/>
      <c r="J11" s="678"/>
      <c r="O11" s="645"/>
    </row>
    <row r="12" spans="2:15">
      <c r="B12" s="679"/>
      <c r="C12" s="664"/>
      <c r="D12" s="673"/>
      <c r="E12" s="677"/>
      <c r="F12" s="677"/>
      <c r="G12" s="673"/>
      <c r="H12" s="664"/>
      <c r="I12" s="673"/>
      <c r="J12" s="678"/>
      <c r="O12" s="645"/>
    </row>
    <row r="13" spans="2:15">
      <c r="B13" s="659" t="s">
        <v>876</v>
      </c>
      <c r="C13" s="664"/>
      <c r="D13" s="664"/>
      <c r="E13" s="665"/>
      <c r="F13" s="665"/>
      <c r="G13" s="676"/>
      <c r="H13" s="664"/>
      <c r="I13" s="676">
        <f>SUM(I6:I10)</f>
        <v>3736.7216854097583</v>
      </c>
      <c r="J13" s="678"/>
      <c r="K13" s="680"/>
      <c r="L13" s="649"/>
      <c r="O13" s="645"/>
    </row>
    <row r="14" spans="2:15">
      <c r="B14" s="681" t="s">
        <v>333</v>
      </c>
      <c r="C14" s="664"/>
      <c r="D14" s="664"/>
      <c r="E14" s="664"/>
      <c r="F14" s="664"/>
      <c r="G14" s="673"/>
      <c r="H14" s="664"/>
      <c r="I14" s="673">
        <f>MODEL!A42</f>
        <v>0</v>
      </c>
      <c r="J14" s="678"/>
      <c r="K14" s="680"/>
      <c r="L14" s="682"/>
      <c r="M14" s="682"/>
      <c r="O14" s="645"/>
    </row>
    <row r="15" spans="2:15">
      <c r="B15" s="681" t="s">
        <v>1008</v>
      </c>
      <c r="C15" s="664"/>
      <c r="D15" s="664"/>
      <c r="E15" s="664"/>
      <c r="F15" s="664"/>
      <c r="G15" s="673"/>
      <c r="H15" s="664"/>
      <c r="I15" s="673">
        <f>MODEL!AF168+MODEL!AF176-MODEL!AF150</f>
        <v>-94.380738442804343</v>
      </c>
      <c r="J15" s="678"/>
      <c r="K15" s="680"/>
      <c r="L15" s="682"/>
      <c r="O15" s="645"/>
    </row>
    <row r="16" spans="2:15">
      <c r="B16" s="681"/>
      <c r="C16" s="664"/>
      <c r="D16" s="664"/>
      <c r="E16" s="664"/>
      <c r="F16" s="664"/>
      <c r="G16" s="673"/>
      <c r="H16" s="664"/>
      <c r="I16" s="673"/>
      <c r="J16" s="678"/>
      <c r="K16" s="680"/>
      <c r="L16" s="650"/>
      <c r="O16" s="645"/>
    </row>
    <row r="17" spans="1:15">
      <c r="B17" s="659" t="s">
        <v>877</v>
      </c>
      <c r="C17" s="664"/>
      <c r="D17" s="664"/>
      <c r="E17" s="665"/>
      <c r="F17" s="665"/>
      <c r="G17" s="676"/>
      <c r="H17" s="664"/>
      <c r="I17" s="676">
        <f>I13-I14-I15</f>
        <v>3831.1024238525624</v>
      </c>
      <c r="J17" s="678"/>
      <c r="K17" s="680"/>
      <c r="L17" s="649"/>
      <c r="O17" s="645"/>
    </row>
    <row r="18" spans="1:15">
      <c r="B18" s="683" t="s">
        <v>1009</v>
      </c>
      <c r="C18" s="664"/>
      <c r="D18" s="664"/>
      <c r="E18" s="664"/>
      <c r="F18" s="664"/>
      <c r="G18" s="673"/>
      <c r="H18" s="664"/>
      <c r="I18" s="673">
        <f>MODEL!AF86</f>
        <v>225.82650000000001</v>
      </c>
      <c r="J18" s="678"/>
      <c r="K18" s="680"/>
      <c r="L18" s="682"/>
      <c r="M18" s="682"/>
      <c r="O18" s="645"/>
    </row>
    <row r="19" spans="1:15">
      <c r="B19" s="670"/>
      <c r="C19" s="664"/>
      <c r="D19" s="664"/>
      <c r="E19" s="664"/>
      <c r="F19" s="664"/>
      <c r="G19" s="684"/>
      <c r="H19" s="664"/>
      <c r="I19" s="684"/>
      <c r="J19" s="685"/>
      <c r="K19" s="680"/>
      <c r="O19" s="645"/>
    </row>
    <row r="20" spans="1:15">
      <c r="B20" s="686" t="s">
        <v>334</v>
      </c>
      <c r="C20" s="687"/>
      <c r="D20" s="687"/>
      <c r="E20" s="687"/>
      <c r="F20" s="687"/>
      <c r="G20" s="688"/>
      <c r="H20" s="664"/>
      <c r="I20" s="688">
        <f>ROUND(I17/I18,1)</f>
        <v>17</v>
      </c>
      <c r="J20" s="689"/>
      <c r="K20" s="690"/>
      <c r="L20" s="650"/>
      <c r="N20" s="691"/>
      <c r="O20" s="645"/>
    </row>
    <row r="21" spans="1:15" ht="12.75" hidden="1" customHeight="1">
      <c r="B21" s="692"/>
      <c r="C21" s="664"/>
      <c r="D21" s="664"/>
      <c r="E21" s="664"/>
      <c r="F21" s="693"/>
      <c r="G21" s="694"/>
      <c r="H21" s="664"/>
      <c r="I21" s="695"/>
      <c r="J21" s="696"/>
      <c r="K21" s="690"/>
      <c r="L21" s="650"/>
      <c r="O21" s="645"/>
    </row>
    <row r="22" spans="1:15">
      <c r="B22" s="697" t="s">
        <v>271</v>
      </c>
      <c r="C22" s="698"/>
      <c r="D22" s="698"/>
      <c r="E22" s="698"/>
      <c r="F22" s="698"/>
      <c r="G22" s="698"/>
      <c r="H22" s="698"/>
      <c r="I22" s="698"/>
      <c r="J22" s="699"/>
      <c r="K22" s="690"/>
      <c r="L22" s="650"/>
      <c r="O22" s="645"/>
    </row>
    <row r="23" spans="1:15">
      <c r="B23" s="700"/>
      <c r="C23" s="701"/>
      <c r="D23" s="701"/>
      <c r="E23" s="701"/>
      <c r="F23" s="701"/>
      <c r="G23" s="701"/>
      <c r="H23" s="701"/>
      <c r="I23" s="701"/>
      <c r="J23" s="678"/>
      <c r="K23" s="690"/>
      <c r="L23" s="650"/>
      <c r="O23" s="645"/>
    </row>
    <row r="24" spans="1:15">
      <c r="B24" s="670"/>
      <c r="C24" s="702" t="s">
        <v>335</v>
      </c>
      <c r="D24" s="702" t="s">
        <v>336</v>
      </c>
      <c r="E24" s="702" t="s">
        <v>272</v>
      </c>
      <c r="F24" s="702" t="s">
        <v>337</v>
      </c>
      <c r="G24" s="702" t="s">
        <v>338</v>
      </c>
      <c r="H24" s="702" t="s">
        <v>273</v>
      </c>
      <c r="I24" s="688"/>
      <c r="J24" s="678"/>
      <c r="K24" s="690"/>
      <c r="L24" s="650"/>
      <c r="O24" s="645"/>
    </row>
    <row r="25" spans="1:15">
      <c r="B25" s="703" t="s">
        <v>339</v>
      </c>
      <c r="C25" s="704">
        <f>DCF!I2</f>
        <v>3.5000000000000003E-2</v>
      </c>
      <c r="D25" s="704">
        <f>DCF!I4</f>
        <v>0.06</v>
      </c>
      <c r="E25" s="705">
        <f>DCF!I3</f>
        <v>1.2</v>
      </c>
      <c r="F25" s="704">
        <f>DCF!I5</f>
        <v>0.107</v>
      </c>
      <c r="G25" s="704">
        <f>DCF!I6</f>
        <v>4.5000000000000005E-2</v>
      </c>
      <c r="H25" s="704">
        <f>DCF!C5</f>
        <v>9.9449999999999997E-2</v>
      </c>
      <c r="I25" s="688">
        <f>ROUND(DCF!C22,1)</f>
        <v>19.5</v>
      </c>
      <c r="J25" s="678"/>
      <c r="K25" s="690"/>
      <c r="L25" s="650"/>
      <c r="N25" s="650"/>
      <c r="O25" s="645"/>
    </row>
    <row r="26" spans="1:15">
      <c r="B26" s="670"/>
      <c r="C26" s="664"/>
      <c r="D26" s="664"/>
      <c r="E26" s="664"/>
      <c r="F26" s="664"/>
      <c r="G26" s="664"/>
      <c r="H26" s="664"/>
      <c r="I26" s="688"/>
      <c r="J26" s="678"/>
      <c r="K26" s="690"/>
      <c r="L26" s="650"/>
      <c r="O26" s="645"/>
    </row>
    <row r="27" spans="1:15" ht="18" hidden="1" customHeight="1">
      <c r="B27" s="706" t="s">
        <v>340</v>
      </c>
      <c r="C27" s="707"/>
      <c r="D27" s="707"/>
      <c r="E27" s="707"/>
      <c r="F27" s="707"/>
      <c r="G27" s="707"/>
      <c r="H27" s="707"/>
      <c r="I27" s="707"/>
      <c r="J27" s="696"/>
      <c r="K27" s="690"/>
      <c r="L27" s="650"/>
      <c r="O27" s="645"/>
    </row>
    <row r="28" spans="1:15" ht="51" hidden="1" customHeight="1">
      <c r="B28" s="670"/>
      <c r="C28" s="664"/>
      <c r="D28" s="702" t="s">
        <v>341</v>
      </c>
      <c r="E28" s="708" t="s">
        <v>342</v>
      </c>
      <c r="F28" s="708" t="s">
        <v>343</v>
      </c>
      <c r="G28" s="708" t="s">
        <v>344</v>
      </c>
      <c r="H28" s="708" t="s">
        <v>345</v>
      </c>
      <c r="I28" s="688"/>
      <c r="J28" s="696"/>
      <c r="K28" s="690"/>
      <c r="L28" s="650"/>
      <c r="O28" s="645"/>
    </row>
    <row r="29" spans="1:15" ht="12.75" hidden="1" customHeight="1">
      <c r="B29" s="703" t="s">
        <v>339</v>
      </c>
      <c r="C29" s="664"/>
      <c r="D29" s="673">
        <v>3</v>
      </c>
      <c r="E29" s="709">
        <v>15</v>
      </c>
      <c r="F29" s="673">
        <f>E29*D11</f>
        <v>5897.8724114801453</v>
      </c>
      <c r="G29" s="684" t="e">
        <f>(F29-#REF!-#REF!)/#REF!</f>
        <v>#REF!</v>
      </c>
      <c r="H29" s="710">
        <v>0</v>
      </c>
      <c r="I29" s="688" t="e">
        <f>G29*H29</f>
        <v>#REF!</v>
      </c>
      <c r="J29" s="696"/>
      <c r="K29" s="690"/>
      <c r="L29" s="650"/>
      <c r="O29" s="645"/>
    </row>
    <row r="30" spans="1:15" ht="12.75" hidden="1" customHeight="1">
      <c r="B30" s="670"/>
      <c r="C30" s="664"/>
      <c r="D30" s="664"/>
      <c r="E30" s="664"/>
      <c r="F30" s="664"/>
      <c r="G30" s="664"/>
      <c r="H30" s="664"/>
      <c r="I30" s="688"/>
      <c r="J30" s="696"/>
      <c r="K30" s="690"/>
      <c r="L30" s="650"/>
      <c r="O30" s="645"/>
    </row>
    <row r="31" spans="1:15" ht="12.75" hidden="1" customHeight="1">
      <c r="A31" s="644" t="e">
        <f>Valuation!I32\</f>
        <v>#NAME?</v>
      </c>
      <c r="B31" s="670"/>
      <c r="C31" s="664"/>
      <c r="D31" s="664"/>
      <c r="E31" s="664"/>
      <c r="F31" s="664"/>
      <c r="G31" s="664"/>
      <c r="H31" s="664"/>
      <c r="I31" s="664"/>
      <c r="J31" s="696"/>
      <c r="K31" s="690"/>
      <c r="L31" s="650"/>
      <c r="O31" s="645"/>
    </row>
    <row r="32" spans="1:15" ht="13.5" thickBot="1">
      <c r="B32" s="711" t="s">
        <v>346</v>
      </c>
      <c r="C32" s="712"/>
      <c r="D32" s="713"/>
      <c r="E32" s="713"/>
      <c r="F32" s="713"/>
      <c r="G32" s="713"/>
      <c r="H32" s="713"/>
      <c r="I32" s="714">
        <f>ROUND(AVERAGE(I20,I25),1)</f>
        <v>18.3</v>
      </c>
      <c r="J32" s="715"/>
      <c r="K32" s="690"/>
      <c r="L32" s="650"/>
      <c r="O32" s="645"/>
    </row>
    <row r="33" spans="2:15">
      <c r="I33" s="716"/>
      <c r="J33" s="650"/>
      <c r="K33" s="650"/>
      <c r="L33" s="717"/>
      <c r="O33" s="645"/>
    </row>
    <row r="34" spans="2:15">
      <c r="B34" s="718" t="s">
        <v>878</v>
      </c>
      <c r="C34" s="664"/>
      <c r="D34" s="693"/>
      <c r="E34" s="664"/>
      <c r="F34" s="719"/>
      <c r="G34" s="694"/>
      <c r="H34" s="664"/>
      <c r="I34" s="720">
        <v>16.47</v>
      </c>
      <c r="J34" s="650"/>
      <c r="K34" s="717"/>
      <c r="L34" s="717"/>
      <c r="O34" s="645"/>
    </row>
    <row r="35" spans="2:15">
      <c r="B35" s="718" t="s">
        <v>879</v>
      </c>
      <c r="C35" s="664"/>
      <c r="D35" s="693"/>
      <c r="E35" s="664"/>
      <c r="F35" s="719"/>
      <c r="G35" s="694"/>
      <c r="H35" s="664"/>
      <c r="I35" s="722">
        <f>I32/I34-1</f>
        <v>0.11111111111111116</v>
      </c>
      <c r="J35" s="721"/>
      <c r="O35" s="645"/>
    </row>
    <row r="36" spans="2:15">
      <c r="B36" s="718" t="s">
        <v>880</v>
      </c>
      <c r="C36" s="664"/>
      <c r="D36" s="664"/>
      <c r="E36" s="664"/>
      <c r="F36" s="693"/>
      <c r="G36" s="694"/>
      <c r="H36" s="664"/>
      <c r="I36" s="722">
        <f>MODEL!AF56/100/Valuation!I34</f>
        <v>4.0687183068547572E-2</v>
      </c>
      <c r="J36" s="650"/>
      <c r="O36" s="645"/>
    </row>
    <row r="37" spans="2:15">
      <c r="B37" s="718" t="s">
        <v>881</v>
      </c>
      <c r="C37" s="664"/>
      <c r="D37" s="664"/>
      <c r="E37" s="664"/>
      <c r="F37" s="693"/>
      <c r="G37" s="694"/>
      <c r="H37" s="664"/>
      <c r="I37" s="722">
        <f>I35+I36</f>
        <v>0.15179829417965873</v>
      </c>
      <c r="O37" s="645"/>
    </row>
    <row r="38" spans="2:15">
      <c r="O38" s="645"/>
    </row>
    <row r="39" spans="2:15">
      <c r="O39" s="645"/>
    </row>
    <row r="40" spans="2:15">
      <c r="H40" s="1397" t="s">
        <v>1007</v>
      </c>
      <c r="I40" s="1397"/>
      <c r="O40" s="645"/>
    </row>
    <row r="41" spans="2:15">
      <c r="H41" s="644" t="s">
        <v>740</v>
      </c>
      <c r="I41" s="690">
        <f>I34/MODEL!Z77*100</f>
        <v>15.490624409665424</v>
      </c>
      <c r="O41" s="645"/>
    </row>
    <row r="42" spans="2:15">
      <c r="H42" s="644" t="s">
        <v>913</v>
      </c>
      <c r="I42" s="723">
        <f>I34/MODEL!AC77*100</f>
        <v>16.130733732960415</v>
      </c>
      <c r="O42" s="645"/>
    </row>
    <row r="43" spans="2:15">
      <c r="H43" s="644" t="s">
        <v>942</v>
      </c>
      <c r="I43" s="649">
        <f>I34/MODEL!AF77*100</f>
        <v>15.975546867054302</v>
      </c>
      <c r="O43" s="645"/>
    </row>
    <row r="44" spans="2:15">
      <c r="H44" s="644" t="s">
        <v>991</v>
      </c>
      <c r="I44" s="649">
        <f>I34/MODEL!AI77*100</f>
        <v>13.605918251553392</v>
      </c>
      <c r="O44" s="645"/>
    </row>
    <row r="45" spans="2:15">
      <c r="O45" s="645"/>
    </row>
    <row r="46" spans="2:15">
      <c r="I46" s="682"/>
      <c r="O46" s="645"/>
    </row>
    <row r="47" spans="2:15">
      <c r="I47" s="1416"/>
      <c r="J47" s="1417"/>
      <c r="O47" s="645"/>
    </row>
    <row r="48" spans="2:15">
      <c r="I48" s="647"/>
      <c r="J48" s="1418"/>
      <c r="O48" s="645"/>
    </row>
    <row r="49" spans="9:15">
      <c r="I49" s="767"/>
      <c r="J49" s="1419"/>
      <c r="O49" s="645"/>
    </row>
    <row r="50" spans="9:15">
      <c r="I50" s="1420"/>
      <c r="J50" s="1419"/>
      <c r="O50" s="645"/>
    </row>
    <row r="51" spans="9:15">
      <c r="I51" s="1419"/>
      <c r="J51" s="1419"/>
      <c r="O51" s="645"/>
    </row>
    <row r="52" spans="9:15">
      <c r="I52" s="1419"/>
      <c r="J52" s="1419"/>
      <c r="O52" s="645"/>
    </row>
    <row r="53" spans="9:15">
      <c r="I53" s="1419"/>
      <c r="J53" s="1419"/>
      <c r="O53" s="645"/>
    </row>
    <row r="54" spans="9:15">
      <c r="O54" s="645"/>
    </row>
    <row r="55" spans="9:15">
      <c r="O55" s="645"/>
    </row>
    <row r="56" spans="9:15">
      <c r="O56" s="645"/>
    </row>
    <row r="57" spans="9:15">
      <c r="O57" s="645"/>
    </row>
    <row r="58" spans="9:15">
      <c r="O58" s="645"/>
    </row>
    <row r="59" spans="9:15">
      <c r="O59" s="645"/>
    </row>
    <row r="60" spans="9:15">
      <c r="O60" s="645"/>
    </row>
    <row r="61" spans="9:15">
      <c r="O61" s="645"/>
    </row>
    <row r="62" spans="9:15">
      <c r="O62" s="645"/>
    </row>
    <row r="63" spans="9:15">
      <c r="O63" s="645"/>
    </row>
    <row r="64" spans="9:15">
      <c r="O64" s="645"/>
    </row>
    <row r="65" spans="15:15">
      <c r="O65" s="645"/>
    </row>
    <row r="66" spans="15:15">
      <c r="O66" s="645"/>
    </row>
    <row r="67" spans="15:15">
      <c r="O67" s="645"/>
    </row>
    <row r="68" spans="15:15">
      <c r="O68" s="645"/>
    </row>
    <row r="69" spans="15:15">
      <c r="O69" s="645"/>
    </row>
    <row r="70" spans="15:15">
      <c r="O70" s="645"/>
    </row>
    <row r="71" spans="15:15">
      <c r="O71" s="645"/>
    </row>
    <row r="72" spans="15:15">
      <c r="O72" s="645"/>
    </row>
    <row r="73" spans="15:15">
      <c r="O73" s="645"/>
    </row>
    <row r="74" spans="15:15">
      <c r="O74" s="645"/>
    </row>
    <row r="75" spans="15:15">
      <c r="O75" s="645"/>
    </row>
    <row r="76" spans="15:15">
      <c r="O76" s="645"/>
    </row>
    <row r="77" spans="15:15">
      <c r="O77" s="645"/>
    </row>
    <row r="78" spans="15:15">
      <c r="O78" s="645"/>
    </row>
    <row r="79" spans="15:15">
      <c r="O79" s="645"/>
    </row>
    <row r="80" spans="15:15">
      <c r="O80" s="645"/>
    </row>
    <row r="81" spans="15:15">
      <c r="O81" s="645"/>
    </row>
    <row r="82" spans="15:15">
      <c r="O82" s="645"/>
    </row>
    <row r="83" spans="15:15">
      <c r="O83" s="645"/>
    </row>
    <row r="84" spans="15:15">
      <c r="O84" s="645"/>
    </row>
    <row r="85" spans="15:15">
      <c r="O85" s="645"/>
    </row>
    <row r="86" spans="15:15">
      <c r="O86" s="645"/>
    </row>
    <row r="87" spans="15:15">
      <c r="O87" s="645"/>
    </row>
    <row r="88" spans="15:15">
      <c r="O88" s="645"/>
    </row>
    <row r="89" spans="15:15">
      <c r="O89" s="645"/>
    </row>
    <row r="90" spans="15:15">
      <c r="O90" s="645"/>
    </row>
    <row r="91" spans="15:15">
      <c r="O91" s="645"/>
    </row>
    <row r="92" spans="15:15">
      <c r="O92" s="645"/>
    </row>
    <row r="93" spans="15:15">
      <c r="O93" s="645"/>
    </row>
    <row r="94" spans="15:15">
      <c r="O94" s="645"/>
    </row>
    <row r="95" spans="15:15">
      <c r="O95" s="645"/>
    </row>
    <row r="96" spans="15:15">
      <c r="O96" s="645"/>
    </row>
    <row r="97" spans="15:15">
      <c r="O97" s="645"/>
    </row>
    <row r="98" spans="15:15">
      <c r="O98" s="645"/>
    </row>
    <row r="99" spans="15:15">
      <c r="O99" s="645"/>
    </row>
    <row r="100" spans="15:15">
      <c r="O100" s="645"/>
    </row>
    <row r="101" spans="15:15">
      <c r="O101" s="645"/>
    </row>
    <row r="102" spans="15:15">
      <c r="O102" s="645"/>
    </row>
    <row r="103" spans="15:15">
      <c r="O103" s="645"/>
    </row>
    <row r="104" spans="15:15">
      <c r="O104" s="645"/>
    </row>
    <row r="105" spans="15:15">
      <c r="O105" s="645"/>
    </row>
    <row r="106" spans="15:15">
      <c r="O106" s="645"/>
    </row>
    <row r="107" spans="15:15">
      <c r="O107" s="645"/>
    </row>
    <row r="108" spans="15:15">
      <c r="O108" s="645"/>
    </row>
    <row r="109" spans="15:15">
      <c r="O109" s="645"/>
    </row>
    <row r="110" spans="15:15">
      <c r="O110" s="645"/>
    </row>
    <row r="111" spans="15:15">
      <c r="O111" s="645"/>
    </row>
    <row r="112" spans="15:15">
      <c r="O112" s="645"/>
    </row>
    <row r="113" spans="15:15">
      <c r="O113" s="645"/>
    </row>
    <row r="114" spans="15:15">
      <c r="O114" s="645"/>
    </row>
    <row r="115" spans="15:15">
      <c r="O115" s="645"/>
    </row>
    <row r="116" spans="15:15">
      <c r="O116" s="645"/>
    </row>
    <row r="117" spans="15:15">
      <c r="O117" s="645"/>
    </row>
    <row r="118" spans="15:15">
      <c r="O118" s="645"/>
    </row>
    <row r="119" spans="15:15">
      <c r="O119" s="645"/>
    </row>
    <row r="120" spans="15:15">
      <c r="O120" s="645"/>
    </row>
    <row r="121" spans="15:15">
      <c r="O121" s="645"/>
    </row>
    <row r="122" spans="15:15">
      <c r="O122" s="645"/>
    </row>
    <row r="123" spans="15:15">
      <c r="O123" s="645"/>
    </row>
    <row r="124" spans="15:15">
      <c r="O124" s="645"/>
    </row>
    <row r="125" spans="15:15">
      <c r="O125" s="645"/>
    </row>
    <row r="126" spans="15:15">
      <c r="O126" s="645"/>
    </row>
    <row r="127" spans="15:15">
      <c r="O127" s="645"/>
    </row>
    <row r="128" spans="15:15">
      <c r="O128" s="645"/>
    </row>
    <row r="129" spans="15:15">
      <c r="O129" s="645"/>
    </row>
    <row r="130" spans="15:15">
      <c r="O130" s="645"/>
    </row>
    <row r="131" spans="15:15">
      <c r="O131" s="645"/>
    </row>
    <row r="132" spans="15:15">
      <c r="O132" s="645"/>
    </row>
    <row r="133" spans="15:15">
      <c r="O133" s="645"/>
    </row>
    <row r="134" spans="15:15">
      <c r="O134" s="645"/>
    </row>
    <row r="135" spans="15:15">
      <c r="O135" s="645"/>
    </row>
    <row r="136" spans="15:15">
      <c r="O136" s="645"/>
    </row>
    <row r="137" spans="15:15">
      <c r="O137" s="645"/>
    </row>
    <row r="138" spans="15:15">
      <c r="O138" s="645"/>
    </row>
    <row r="139" spans="15:15">
      <c r="O139" s="645"/>
    </row>
    <row r="140" spans="15:15">
      <c r="O140" s="645"/>
    </row>
    <row r="141" spans="15:15">
      <c r="O141" s="645"/>
    </row>
    <row r="142" spans="15:15">
      <c r="O142" s="645"/>
    </row>
    <row r="143" spans="15:15">
      <c r="O143" s="645"/>
    </row>
    <row r="144" spans="15:15">
      <c r="O144" s="645"/>
    </row>
    <row r="145" spans="15:15">
      <c r="O145" s="645"/>
    </row>
    <row r="146" spans="15:15">
      <c r="O146" s="645"/>
    </row>
    <row r="147" spans="15:15">
      <c r="O147" s="645"/>
    </row>
    <row r="148" spans="15:15">
      <c r="O148" s="645"/>
    </row>
    <row r="149" spans="15:15">
      <c r="O149" s="645"/>
    </row>
    <row r="150" spans="15:15">
      <c r="O150" s="645"/>
    </row>
    <row r="151" spans="15:15">
      <c r="O151" s="645"/>
    </row>
    <row r="152" spans="15:15">
      <c r="O152" s="645"/>
    </row>
    <row r="153" spans="15:15">
      <c r="O153" s="645"/>
    </row>
    <row r="154" spans="15:15">
      <c r="O154" s="645"/>
    </row>
    <row r="155" spans="15:15">
      <c r="O155" s="645"/>
    </row>
    <row r="156" spans="15:15">
      <c r="O156" s="645"/>
    </row>
    <row r="157" spans="15:15">
      <c r="O157" s="645"/>
    </row>
    <row r="158" spans="15:15">
      <c r="O158" s="645"/>
    </row>
    <row r="159" spans="15:15">
      <c r="O159" s="645"/>
    </row>
    <row r="160" spans="15:15">
      <c r="O160" s="645"/>
    </row>
    <row r="161" spans="15:15">
      <c r="O161" s="645"/>
    </row>
    <row r="162" spans="15:15">
      <c r="O162" s="645"/>
    </row>
    <row r="163" spans="15:15">
      <c r="O163" s="645"/>
    </row>
    <row r="164" spans="15:15">
      <c r="O164" s="645"/>
    </row>
    <row r="165" spans="15:15">
      <c r="O165" s="645"/>
    </row>
    <row r="166" spans="15:15">
      <c r="O166" s="645"/>
    </row>
    <row r="167" spans="15:15">
      <c r="O167" s="645"/>
    </row>
    <row r="168" spans="15:15">
      <c r="O168" s="645"/>
    </row>
    <row r="169" spans="15:15">
      <c r="O169" s="645"/>
    </row>
    <row r="170" spans="15:15">
      <c r="O170" s="645"/>
    </row>
    <row r="171" spans="15:15">
      <c r="O171" s="645"/>
    </row>
    <row r="172" spans="15:15">
      <c r="O172" s="645"/>
    </row>
    <row r="173" spans="15:15">
      <c r="O173" s="645"/>
    </row>
    <row r="174" spans="15:15">
      <c r="O174" s="645"/>
    </row>
    <row r="175" spans="15:15">
      <c r="O175" s="645"/>
    </row>
    <row r="176" spans="15:15">
      <c r="O176" s="645"/>
    </row>
    <row r="177" spans="15:15">
      <c r="O177" s="645"/>
    </row>
    <row r="178" spans="15:15">
      <c r="O178" s="645"/>
    </row>
    <row r="179" spans="15:15">
      <c r="O179" s="645"/>
    </row>
    <row r="180" spans="15:15">
      <c r="O180" s="645"/>
    </row>
    <row r="181" spans="15:15">
      <c r="O181" s="645"/>
    </row>
    <row r="182" spans="15:15">
      <c r="O182" s="645"/>
    </row>
    <row r="183" spans="15:15">
      <c r="O183" s="645"/>
    </row>
    <row r="184" spans="15:15">
      <c r="O184" s="645"/>
    </row>
    <row r="185" spans="15:15">
      <c r="O185" s="645"/>
    </row>
    <row r="186" spans="15:15">
      <c r="O186" s="645"/>
    </row>
    <row r="187" spans="15:15">
      <c r="O187" s="645"/>
    </row>
    <row r="188" spans="15:15">
      <c r="O188" s="645"/>
    </row>
    <row r="189" spans="15:15">
      <c r="O189" s="645"/>
    </row>
    <row r="190" spans="15:15">
      <c r="O190" s="645"/>
    </row>
    <row r="191" spans="15:15">
      <c r="O191" s="645"/>
    </row>
    <row r="192" spans="15:15">
      <c r="O192" s="645"/>
    </row>
    <row r="193" spans="15:15">
      <c r="O193" s="645"/>
    </row>
    <row r="194" spans="15:15">
      <c r="O194" s="645"/>
    </row>
    <row r="195" spans="15:15">
      <c r="O195" s="645"/>
    </row>
    <row r="196" spans="15:15">
      <c r="O196" s="645"/>
    </row>
    <row r="197" spans="15:15">
      <c r="O197" s="645"/>
    </row>
    <row r="198" spans="15:15">
      <c r="O198" s="645"/>
    </row>
    <row r="199" spans="15:15">
      <c r="O199" s="645"/>
    </row>
    <row r="200" spans="15:15">
      <c r="O200" s="645"/>
    </row>
    <row r="201" spans="15:15">
      <c r="O201" s="645"/>
    </row>
    <row r="202" spans="15:15">
      <c r="O202" s="645"/>
    </row>
    <row r="203" spans="15:15">
      <c r="O203" s="645"/>
    </row>
    <row r="204" spans="15:15">
      <c r="O204" s="645"/>
    </row>
    <row r="205" spans="15:15">
      <c r="O205" s="645"/>
    </row>
    <row r="206" spans="15:15">
      <c r="O206" s="645"/>
    </row>
    <row r="207" spans="15:15">
      <c r="O207" s="645"/>
    </row>
    <row r="208" spans="15:15">
      <c r="O208" s="645"/>
    </row>
    <row r="209" spans="15:15">
      <c r="O209" s="645"/>
    </row>
    <row r="210" spans="15:15">
      <c r="O210" s="645"/>
    </row>
    <row r="211" spans="15:15">
      <c r="O211" s="645"/>
    </row>
    <row r="212" spans="15:15">
      <c r="O212" s="645"/>
    </row>
    <row r="213" spans="15:15">
      <c r="O213" s="645"/>
    </row>
    <row r="214" spans="15:15">
      <c r="O214" s="645"/>
    </row>
    <row r="215" spans="15:15">
      <c r="O215" s="645"/>
    </row>
    <row r="216" spans="15:15">
      <c r="O216" s="645"/>
    </row>
    <row r="217" spans="15:15">
      <c r="O217" s="645"/>
    </row>
    <row r="218" spans="15:15">
      <c r="O218" s="645"/>
    </row>
    <row r="219" spans="15:15">
      <c r="O219" s="645"/>
    </row>
    <row r="220" spans="15:15">
      <c r="O220" s="645"/>
    </row>
    <row r="221" spans="15:15">
      <c r="O221" s="645"/>
    </row>
    <row r="222" spans="15:15">
      <c r="O222" s="645"/>
    </row>
    <row r="223" spans="15:15">
      <c r="O223" s="645"/>
    </row>
    <row r="224" spans="15:15">
      <c r="O224" s="645"/>
    </row>
    <row r="225" spans="15:15">
      <c r="O225" s="645"/>
    </row>
    <row r="226" spans="15:15">
      <c r="O226" s="645"/>
    </row>
    <row r="227" spans="15:15">
      <c r="O227" s="645"/>
    </row>
    <row r="228" spans="15:15">
      <c r="O228" s="645"/>
    </row>
    <row r="229" spans="15:15">
      <c r="O229" s="645"/>
    </row>
    <row r="230" spans="15:15">
      <c r="O230" s="645"/>
    </row>
    <row r="231" spans="15:15">
      <c r="O231" s="645"/>
    </row>
    <row r="232" spans="15:15">
      <c r="O232" s="645"/>
    </row>
    <row r="233" spans="15:15">
      <c r="O233" s="645"/>
    </row>
    <row r="234" spans="15:15">
      <c r="O234" s="645"/>
    </row>
    <row r="235" spans="15:15">
      <c r="O235" s="645"/>
    </row>
    <row r="236" spans="15:15">
      <c r="O236" s="645"/>
    </row>
    <row r="237" spans="15:15">
      <c r="O237" s="645"/>
    </row>
    <row r="238" spans="15:15">
      <c r="O238" s="645"/>
    </row>
    <row r="239" spans="15:15">
      <c r="O239" s="645"/>
    </row>
    <row r="240" spans="15:15">
      <c r="O240" s="645"/>
    </row>
    <row r="241" spans="15:15">
      <c r="O241" s="645"/>
    </row>
    <row r="242" spans="15:15">
      <c r="O242" s="645"/>
    </row>
    <row r="243" spans="15:15">
      <c r="O243" s="645"/>
    </row>
    <row r="244" spans="15:15">
      <c r="O244" s="645"/>
    </row>
    <row r="245" spans="15:15">
      <c r="O245" s="645"/>
    </row>
    <row r="246" spans="15:15">
      <c r="O246" s="645"/>
    </row>
    <row r="247" spans="15:15">
      <c r="O247" s="645"/>
    </row>
    <row r="248" spans="15:15">
      <c r="O248" s="645"/>
    </row>
    <row r="249" spans="15:15">
      <c r="O249" s="645"/>
    </row>
    <row r="250" spans="15:15">
      <c r="O250" s="645"/>
    </row>
    <row r="251" spans="15:15">
      <c r="O251" s="645"/>
    </row>
    <row r="252" spans="15:15">
      <c r="O252" s="645"/>
    </row>
    <row r="253" spans="15:15">
      <c r="O253" s="645"/>
    </row>
    <row r="254" spans="15:15">
      <c r="O254" s="645"/>
    </row>
    <row r="255" spans="15:15">
      <c r="O255" s="645"/>
    </row>
    <row r="256" spans="15:15">
      <c r="O256" s="645"/>
    </row>
    <row r="257" spans="15:15">
      <c r="O257" s="645"/>
    </row>
    <row r="258" spans="15:15">
      <c r="O258" s="645"/>
    </row>
    <row r="259" spans="15:15">
      <c r="O259" s="645"/>
    </row>
    <row r="260" spans="15:15">
      <c r="O260" s="645"/>
    </row>
    <row r="261" spans="15:15">
      <c r="O261" s="645"/>
    </row>
    <row r="262" spans="15:15">
      <c r="O262" s="645"/>
    </row>
    <row r="263" spans="15:15">
      <c r="O263" s="645"/>
    </row>
    <row r="264" spans="15:15">
      <c r="O264" s="645"/>
    </row>
    <row r="265" spans="15:15">
      <c r="O265" s="645"/>
    </row>
    <row r="266" spans="15:15">
      <c r="O266" s="645"/>
    </row>
    <row r="267" spans="15:15">
      <c r="O267" s="645"/>
    </row>
    <row r="268" spans="15:15">
      <c r="O268" s="645"/>
    </row>
    <row r="269" spans="15:15">
      <c r="O269" s="645"/>
    </row>
    <row r="270" spans="15:15">
      <c r="O270" s="645"/>
    </row>
    <row r="271" spans="15:15">
      <c r="O271" s="645"/>
    </row>
    <row r="272" spans="15:15">
      <c r="O272" s="645"/>
    </row>
    <row r="273" spans="15:15">
      <c r="O273" s="645"/>
    </row>
    <row r="274" spans="15:15">
      <c r="O274" s="645"/>
    </row>
    <row r="275" spans="15:15">
      <c r="O275" s="645"/>
    </row>
    <row r="276" spans="15:15">
      <c r="O276" s="645"/>
    </row>
    <row r="277" spans="15:15">
      <c r="O277" s="645"/>
    </row>
    <row r="278" spans="15:15">
      <c r="O278" s="645"/>
    </row>
    <row r="279" spans="15:15">
      <c r="O279" s="645"/>
    </row>
    <row r="280" spans="15:15">
      <c r="O280" s="645"/>
    </row>
    <row r="281" spans="15:15">
      <c r="O281" s="645"/>
    </row>
    <row r="282" spans="15:15">
      <c r="O282" s="645"/>
    </row>
    <row r="283" spans="15:15">
      <c r="O283" s="645"/>
    </row>
    <row r="284" spans="15:15">
      <c r="O284" s="645"/>
    </row>
    <row r="285" spans="15:15">
      <c r="O285" s="645"/>
    </row>
    <row r="286" spans="15:15">
      <c r="O286" s="645"/>
    </row>
    <row r="287" spans="15:15">
      <c r="O287" s="645"/>
    </row>
    <row r="288" spans="15:15">
      <c r="O288" s="645"/>
    </row>
    <row r="289" spans="15:15">
      <c r="O289" s="645"/>
    </row>
    <row r="290" spans="15:15">
      <c r="O290" s="645"/>
    </row>
    <row r="291" spans="15:15">
      <c r="O291" s="645"/>
    </row>
    <row r="292" spans="15:15">
      <c r="O292" s="645"/>
    </row>
    <row r="293" spans="15:15">
      <c r="O293" s="645"/>
    </row>
    <row r="294" spans="15:15">
      <c r="O294" s="645"/>
    </row>
    <row r="295" spans="15:15">
      <c r="O295" s="645"/>
    </row>
    <row r="296" spans="15:15">
      <c r="O296" s="645"/>
    </row>
    <row r="297" spans="15:15">
      <c r="O297" s="645"/>
    </row>
    <row r="298" spans="15:15">
      <c r="O298" s="645"/>
    </row>
    <row r="299" spans="15:15">
      <c r="O299" s="645"/>
    </row>
    <row r="300" spans="15:15">
      <c r="O300" s="645"/>
    </row>
    <row r="301" spans="15:15">
      <c r="O301" s="645"/>
    </row>
    <row r="302" spans="15:15">
      <c r="O302" s="645"/>
    </row>
    <row r="303" spans="15:15">
      <c r="O303" s="645"/>
    </row>
    <row r="304" spans="15:15">
      <c r="O304" s="645"/>
    </row>
    <row r="305" spans="15:15">
      <c r="O305" s="645"/>
    </row>
    <row r="306" spans="15:15">
      <c r="O306" s="645"/>
    </row>
    <row r="307" spans="15:15">
      <c r="O307" s="645"/>
    </row>
    <row r="308" spans="15:15">
      <c r="O308" s="645"/>
    </row>
    <row r="309" spans="15:15">
      <c r="O309" s="645"/>
    </row>
    <row r="310" spans="15:15">
      <c r="O310" s="645"/>
    </row>
    <row r="311" spans="15:15">
      <c r="O311" s="645"/>
    </row>
    <row r="312" spans="15:15">
      <c r="O312" s="645"/>
    </row>
    <row r="313" spans="15:15">
      <c r="O313" s="645"/>
    </row>
    <row r="314" spans="15:15">
      <c r="O314" s="645"/>
    </row>
    <row r="315" spans="15:15">
      <c r="O315" s="645"/>
    </row>
    <row r="316" spans="15:15">
      <c r="O316" s="645"/>
    </row>
    <row r="317" spans="15:15">
      <c r="O317" s="645"/>
    </row>
    <row r="318" spans="15:15">
      <c r="O318" s="645"/>
    </row>
    <row r="319" spans="15:15">
      <c r="O319" s="645"/>
    </row>
    <row r="320" spans="15:15">
      <c r="O320" s="645"/>
    </row>
    <row r="321" spans="15:15">
      <c r="O321" s="645"/>
    </row>
    <row r="322" spans="15:15">
      <c r="O322" s="645"/>
    </row>
    <row r="323" spans="15:15">
      <c r="O323" s="645"/>
    </row>
    <row r="324" spans="15:15">
      <c r="O324" s="645"/>
    </row>
    <row r="325" spans="15:15">
      <c r="O325" s="645"/>
    </row>
    <row r="326" spans="15:15">
      <c r="O326" s="645"/>
    </row>
    <row r="327" spans="15:15">
      <c r="O327" s="645"/>
    </row>
    <row r="328" spans="15:15">
      <c r="O328" s="645"/>
    </row>
    <row r="329" spans="15:15">
      <c r="O329" s="645"/>
    </row>
    <row r="330" spans="15:15">
      <c r="O330" s="645"/>
    </row>
    <row r="331" spans="15:15">
      <c r="O331" s="645"/>
    </row>
    <row r="332" spans="15:15">
      <c r="O332" s="645"/>
    </row>
    <row r="333" spans="15:15">
      <c r="O333" s="645"/>
    </row>
    <row r="334" spans="15:15">
      <c r="O334" s="645"/>
    </row>
    <row r="335" spans="15:15">
      <c r="O335" s="645"/>
    </row>
    <row r="336" spans="15:15">
      <c r="O336" s="645"/>
    </row>
    <row r="337" spans="15:15">
      <c r="O337" s="645"/>
    </row>
    <row r="338" spans="15:15">
      <c r="O338" s="645"/>
    </row>
    <row r="339" spans="15:15">
      <c r="O339" s="645"/>
    </row>
    <row r="340" spans="15:15">
      <c r="O340" s="645"/>
    </row>
    <row r="341" spans="15:15">
      <c r="O341" s="645"/>
    </row>
    <row r="342" spans="15:15">
      <c r="O342" s="645"/>
    </row>
    <row r="343" spans="15:15">
      <c r="O343" s="645"/>
    </row>
    <row r="344" spans="15:15">
      <c r="O344" s="645"/>
    </row>
    <row r="345" spans="15:15">
      <c r="O345" s="645"/>
    </row>
    <row r="346" spans="15:15">
      <c r="O346" s="645"/>
    </row>
    <row r="347" spans="15:15">
      <c r="O347" s="645"/>
    </row>
    <row r="348" spans="15:15">
      <c r="O348" s="645"/>
    </row>
    <row r="349" spans="15:15">
      <c r="O349" s="645"/>
    </row>
    <row r="350" spans="15:15">
      <c r="O350" s="645"/>
    </row>
    <row r="351" spans="15:15">
      <c r="O351" s="645"/>
    </row>
    <row r="352" spans="15:15">
      <c r="O352" s="645"/>
    </row>
    <row r="353" spans="15:15">
      <c r="O353" s="645"/>
    </row>
    <row r="354" spans="15:15">
      <c r="O354" s="645"/>
    </row>
    <row r="355" spans="15:15">
      <c r="O355" s="645"/>
    </row>
    <row r="356" spans="15:15">
      <c r="O356" s="645"/>
    </row>
    <row r="357" spans="15:15">
      <c r="O357" s="645"/>
    </row>
    <row r="358" spans="15:15">
      <c r="O358" s="645"/>
    </row>
    <row r="359" spans="15:15">
      <c r="O359" s="645"/>
    </row>
    <row r="360" spans="15:15">
      <c r="O360" s="645"/>
    </row>
    <row r="361" spans="15:15">
      <c r="O361" s="645"/>
    </row>
    <row r="362" spans="15:15">
      <c r="O362" s="645"/>
    </row>
    <row r="363" spans="15:15">
      <c r="O363" s="645"/>
    </row>
    <row r="364" spans="15:15">
      <c r="O364" s="645"/>
    </row>
    <row r="365" spans="15:15">
      <c r="O365" s="645"/>
    </row>
    <row r="366" spans="15:15">
      <c r="O366" s="645"/>
    </row>
    <row r="367" spans="15:15">
      <c r="O367" s="645"/>
    </row>
    <row r="368" spans="15:15">
      <c r="O368" s="645"/>
    </row>
    <row r="369" spans="15:15">
      <c r="O369" s="645"/>
    </row>
    <row r="370" spans="15:15">
      <c r="O370" s="645"/>
    </row>
    <row r="371" spans="15:15">
      <c r="O371" s="645"/>
    </row>
    <row r="372" spans="15:15">
      <c r="O372" s="645"/>
    </row>
    <row r="373" spans="15:15">
      <c r="O373" s="645"/>
    </row>
    <row r="374" spans="15:15">
      <c r="O374" s="645"/>
    </row>
    <row r="375" spans="15:15">
      <c r="O375" s="645"/>
    </row>
    <row r="376" spans="15:15">
      <c r="O376" s="645"/>
    </row>
    <row r="377" spans="15:15">
      <c r="O377" s="645"/>
    </row>
    <row r="378" spans="15:15">
      <c r="O378" s="645"/>
    </row>
    <row r="379" spans="15:15">
      <c r="O379" s="645"/>
    </row>
    <row r="380" spans="15:15">
      <c r="O380" s="645"/>
    </row>
    <row r="381" spans="15:15">
      <c r="O381" s="645"/>
    </row>
    <row r="382" spans="15:15">
      <c r="O382" s="645"/>
    </row>
    <row r="383" spans="15:15">
      <c r="O383" s="645"/>
    </row>
    <row r="384" spans="15:15">
      <c r="O384" s="645"/>
    </row>
    <row r="385" spans="15:15">
      <c r="O385" s="645"/>
    </row>
    <row r="386" spans="15:15">
      <c r="O386" s="645"/>
    </row>
    <row r="387" spans="15:15">
      <c r="O387" s="645"/>
    </row>
    <row r="388" spans="15:15">
      <c r="O388" s="645"/>
    </row>
    <row r="389" spans="15:15">
      <c r="O389" s="645"/>
    </row>
    <row r="390" spans="15:15">
      <c r="O390" s="645"/>
    </row>
    <row r="391" spans="15:15">
      <c r="O391" s="645"/>
    </row>
    <row r="392" spans="15:15">
      <c r="O392" s="645"/>
    </row>
    <row r="393" spans="15:15">
      <c r="O393" s="645"/>
    </row>
    <row r="394" spans="15:15">
      <c r="O394" s="645"/>
    </row>
    <row r="395" spans="15:15">
      <c r="O395" s="645"/>
    </row>
    <row r="396" spans="15:15">
      <c r="O396" s="645"/>
    </row>
    <row r="397" spans="15:15">
      <c r="O397" s="645"/>
    </row>
    <row r="398" spans="15:15">
      <c r="O398" s="645"/>
    </row>
    <row r="399" spans="15:15">
      <c r="O399" s="645"/>
    </row>
    <row r="400" spans="15:15">
      <c r="O400" s="645"/>
    </row>
    <row r="401" spans="15:15">
      <c r="O401" s="645"/>
    </row>
    <row r="402" spans="15:15">
      <c r="O402" s="645"/>
    </row>
    <row r="403" spans="15:15">
      <c r="O403" s="645"/>
    </row>
    <row r="404" spans="15:15">
      <c r="O404" s="645"/>
    </row>
    <row r="405" spans="15:15">
      <c r="O405" s="645"/>
    </row>
    <row r="406" spans="15:15">
      <c r="O406" s="645"/>
    </row>
    <row r="407" spans="15:15">
      <c r="O407" s="645"/>
    </row>
    <row r="408" spans="15:15">
      <c r="O408" s="645"/>
    </row>
    <row r="409" spans="15:15">
      <c r="O409" s="645"/>
    </row>
    <row r="410" spans="15:15">
      <c r="O410" s="645"/>
    </row>
    <row r="411" spans="15:15">
      <c r="O411" s="645"/>
    </row>
    <row r="412" spans="15:15">
      <c r="O412" s="645"/>
    </row>
    <row r="413" spans="15:15">
      <c r="O413" s="645"/>
    </row>
    <row r="414" spans="15:15">
      <c r="O414" s="645"/>
    </row>
    <row r="415" spans="15:15">
      <c r="O415" s="645"/>
    </row>
    <row r="416" spans="15:15">
      <c r="O416" s="645"/>
    </row>
    <row r="417" spans="15:15">
      <c r="O417" s="645"/>
    </row>
    <row r="418" spans="15:15">
      <c r="O418" s="645"/>
    </row>
    <row r="419" spans="15:15">
      <c r="O419" s="645"/>
    </row>
    <row r="420" spans="15:15">
      <c r="O420" s="645"/>
    </row>
    <row r="421" spans="15:15">
      <c r="O421" s="645"/>
    </row>
    <row r="422" spans="15:15">
      <c r="O422" s="645"/>
    </row>
    <row r="423" spans="15:15">
      <c r="O423" s="645"/>
    </row>
    <row r="424" spans="15:15">
      <c r="O424" s="645"/>
    </row>
    <row r="425" spans="15:15">
      <c r="O425" s="645"/>
    </row>
    <row r="426" spans="15:15">
      <c r="O426" s="645"/>
    </row>
    <row r="427" spans="15:15">
      <c r="O427" s="645"/>
    </row>
    <row r="428" spans="15:15">
      <c r="O428" s="645"/>
    </row>
    <row r="429" spans="15:15">
      <c r="O429" s="645"/>
    </row>
    <row r="430" spans="15:15">
      <c r="O430" s="645"/>
    </row>
    <row r="431" spans="15:15">
      <c r="O431" s="645"/>
    </row>
    <row r="432" spans="15:15">
      <c r="O432" s="645"/>
    </row>
    <row r="433" spans="15:15">
      <c r="O433" s="645"/>
    </row>
    <row r="434" spans="15:15">
      <c r="O434" s="645"/>
    </row>
    <row r="435" spans="15:15">
      <c r="O435" s="645"/>
    </row>
    <row r="436" spans="15:15">
      <c r="O436" s="645"/>
    </row>
    <row r="437" spans="15:15">
      <c r="O437" s="645"/>
    </row>
    <row r="438" spans="15:15">
      <c r="O438" s="645"/>
    </row>
    <row r="439" spans="15:15">
      <c r="O439" s="645"/>
    </row>
    <row r="440" spans="15:15">
      <c r="O440" s="645"/>
    </row>
    <row r="441" spans="15:15">
      <c r="O441" s="645"/>
    </row>
    <row r="442" spans="15:15">
      <c r="O442" s="645"/>
    </row>
    <row r="443" spans="15:15">
      <c r="O443" s="645"/>
    </row>
    <row r="444" spans="15:15">
      <c r="O444" s="645"/>
    </row>
    <row r="445" spans="15:15">
      <c r="O445" s="645"/>
    </row>
    <row r="446" spans="15:15">
      <c r="O446" s="645"/>
    </row>
    <row r="447" spans="15:15">
      <c r="O447" s="645"/>
    </row>
    <row r="448" spans="15:15">
      <c r="O448" s="645"/>
    </row>
    <row r="449" spans="15:15">
      <c r="O449" s="645"/>
    </row>
    <row r="450" spans="15:15">
      <c r="O450" s="645"/>
    </row>
    <row r="451" spans="15:15">
      <c r="O451" s="645"/>
    </row>
    <row r="452" spans="15:15">
      <c r="O452" s="645"/>
    </row>
    <row r="453" spans="15:15">
      <c r="O453" s="645"/>
    </row>
    <row r="454" spans="15:15">
      <c r="O454" s="645"/>
    </row>
    <row r="455" spans="15:15">
      <c r="O455" s="645"/>
    </row>
    <row r="456" spans="15:15">
      <c r="O456" s="645"/>
    </row>
    <row r="457" spans="15:15">
      <c r="O457" s="645"/>
    </row>
    <row r="458" spans="15:15">
      <c r="O458" s="645"/>
    </row>
    <row r="459" spans="15:15">
      <c r="O459" s="645"/>
    </row>
    <row r="460" spans="15:15">
      <c r="O460" s="645"/>
    </row>
    <row r="461" spans="15:15">
      <c r="O461" s="645"/>
    </row>
    <row r="462" spans="15:15">
      <c r="O462" s="645"/>
    </row>
    <row r="463" spans="15:15">
      <c r="O463" s="645"/>
    </row>
    <row r="464" spans="15:15">
      <c r="O464" s="645"/>
    </row>
    <row r="465" spans="15:15">
      <c r="O465" s="645"/>
    </row>
    <row r="466" spans="15:15">
      <c r="O466" s="645"/>
    </row>
    <row r="467" spans="15:15">
      <c r="O467" s="645"/>
    </row>
    <row r="468" spans="15:15">
      <c r="O468" s="645"/>
    </row>
    <row r="469" spans="15:15">
      <c r="O469" s="645"/>
    </row>
    <row r="470" spans="15:15">
      <c r="O470" s="645"/>
    </row>
    <row r="471" spans="15:15">
      <c r="O471" s="645"/>
    </row>
    <row r="472" spans="15:15">
      <c r="O472" s="645"/>
    </row>
    <row r="473" spans="15:15">
      <c r="O473" s="645"/>
    </row>
    <row r="474" spans="15:15">
      <c r="O474" s="645"/>
    </row>
    <row r="475" spans="15:15">
      <c r="O475" s="645"/>
    </row>
    <row r="476" spans="15:15">
      <c r="O476" s="645"/>
    </row>
    <row r="477" spans="15:15">
      <c r="O477" s="645"/>
    </row>
    <row r="478" spans="15:15">
      <c r="O478" s="645"/>
    </row>
    <row r="479" spans="15:15">
      <c r="O479" s="645"/>
    </row>
    <row r="480" spans="15:15">
      <c r="O480" s="645"/>
    </row>
    <row r="481" spans="15:15">
      <c r="O481" s="645"/>
    </row>
    <row r="482" spans="15:15">
      <c r="O482" s="645"/>
    </row>
    <row r="483" spans="15:15">
      <c r="O483" s="645"/>
    </row>
    <row r="484" spans="15:15">
      <c r="O484" s="645"/>
    </row>
    <row r="485" spans="15:15">
      <c r="O485" s="645"/>
    </row>
    <row r="486" spans="15:15">
      <c r="O486" s="645"/>
    </row>
    <row r="487" spans="15:15">
      <c r="O487" s="645"/>
    </row>
    <row r="488" spans="15:15">
      <c r="O488" s="645"/>
    </row>
    <row r="489" spans="15:15">
      <c r="O489" s="645"/>
    </row>
    <row r="490" spans="15:15">
      <c r="O490" s="645"/>
    </row>
    <row r="491" spans="15:15">
      <c r="O491" s="645"/>
    </row>
    <row r="492" spans="15:15">
      <c r="O492" s="645"/>
    </row>
    <row r="493" spans="15:15">
      <c r="O493" s="645"/>
    </row>
    <row r="494" spans="15:15">
      <c r="O494" s="645"/>
    </row>
    <row r="495" spans="15:15">
      <c r="O495" s="645"/>
    </row>
    <row r="496" spans="15:15">
      <c r="O496" s="645"/>
    </row>
    <row r="497" spans="15:15">
      <c r="O497" s="645"/>
    </row>
    <row r="498" spans="15:15">
      <c r="O498" s="645"/>
    </row>
    <row r="499" spans="15:15">
      <c r="O499" s="645"/>
    </row>
    <row r="500" spans="15:15">
      <c r="O500" s="645"/>
    </row>
    <row r="501" spans="15:15">
      <c r="O501" s="645"/>
    </row>
    <row r="502" spans="15:15">
      <c r="O502" s="645"/>
    </row>
    <row r="503" spans="15:15">
      <c r="O503" s="645"/>
    </row>
    <row r="504" spans="15:15">
      <c r="O504" s="645"/>
    </row>
    <row r="505" spans="15:15">
      <c r="O505" s="645"/>
    </row>
    <row r="506" spans="15:15">
      <c r="O506" s="645"/>
    </row>
    <row r="507" spans="15:15">
      <c r="O507" s="645"/>
    </row>
    <row r="508" spans="15:15">
      <c r="O508" s="645"/>
    </row>
    <row r="509" spans="15:15">
      <c r="O509" s="645"/>
    </row>
    <row r="510" spans="15:15">
      <c r="O510" s="645"/>
    </row>
    <row r="511" spans="15:15">
      <c r="O511" s="645"/>
    </row>
    <row r="512" spans="15:15">
      <c r="O512" s="645"/>
    </row>
    <row r="513" spans="15:15">
      <c r="O513" s="645"/>
    </row>
    <row r="514" spans="15:15">
      <c r="O514" s="645"/>
    </row>
    <row r="515" spans="15:15">
      <c r="O515" s="645"/>
    </row>
    <row r="516" spans="15:15">
      <c r="O516" s="645"/>
    </row>
    <row r="517" spans="15:15">
      <c r="O517" s="645"/>
    </row>
    <row r="518" spans="15:15">
      <c r="O518" s="645"/>
    </row>
    <row r="519" spans="15:15">
      <c r="O519" s="645"/>
    </row>
    <row r="520" spans="15:15">
      <c r="O520" s="645"/>
    </row>
    <row r="521" spans="15:15">
      <c r="O521" s="645"/>
    </row>
    <row r="522" spans="15:15">
      <c r="O522" s="645"/>
    </row>
    <row r="523" spans="15:15">
      <c r="O523" s="645"/>
    </row>
    <row r="524" spans="15:15">
      <c r="O524" s="645"/>
    </row>
    <row r="525" spans="15:15">
      <c r="O525" s="645"/>
    </row>
    <row r="526" spans="15:15">
      <c r="O526" s="645"/>
    </row>
    <row r="527" spans="15:15">
      <c r="O527" s="645"/>
    </row>
    <row r="528" spans="15:15">
      <c r="O528" s="645"/>
    </row>
    <row r="529" spans="15:15">
      <c r="O529" s="645"/>
    </row>
    <row r="530" spans="15:15">
      <c r="O530" s="645"/>
    </row>
    <row r="531" spans="15:15">
      <c r="O531" s="645"/>
    </row>
    <row r="532" spans="15:15">
      <c r="O532" s="645"/>
    </row>
    <row r="533" spans="15:15">
      <c r="O533" s="645"/>
    </row>
    <row r="534" spans="15:15">
      <c r="O534" s="645"/>
    </row>
    <row r="535" spans="15:15">
      <c r="O535" s="645"/>
    </row>
    <row r="536" spans="15:15">
      <c r="O536" s="645"/>
    </row>
    <row r="537" spans="15:15">
      <c r="O537" s="645"/>
    </row>
    <row r="538" spans="15:15">
      <c r="O538" s="645"/>
    </row>
    <row r="539" spans="15:15">
      <c r="O539" s="645"/>
    </row>
    <row r="540" spans="15:15">
      <c r="O540" s="645"/>
    </row>
    <row r="541" spans="15:15">
      <c r="O541" s="645"/>
    </row>
    <row r="542" spans="15:15">
      <c r="O542" s="645"/>
    </row>
    <row r="543" spans="15:15">
      <c r="O543" s="645"/>
    </row>
    <row r="544" spans="15:15">
      <c r="O544" s="645"/>
    </row>
    <row r="545" spans="15:15">
      <c r="O545" s="645"/>
    </row>
    <row r="546" spans="15:15">
      <c r="O546" s="645"/>
    </row>
    <row r="547" spans="15:15">
      <c r="O547" s="645"/>
    </row>
    <row r="548" spans="15:15">
      <c r="O548" s="645"/>
    </row>
    <row r="549" spans="15:15">
      <c r="O549" s="645"/>
    </row>
    <row r="550" spans="15:15">
      <c r="O550" s="645"/>
    </row>
    <row r="551" spans="15:15">
      <c r="O551" s="645"/>
    </row>
    <row r="552" spans="15:15">
      <c r="O552" s="645"/>
    </row>
    <row r="553" spans="15:15">
      <c r="O553" s="645"/>
    </row>
    <row r="554" spans="15:15">
      <c r="O554" s="645"/>
    </row>
    <row r="555" spans="15:15">
      <c r="O555" s="645"/>
    </row>
    <row r="556" spans="15:15">
      <c r="O556" s="645"/>
    </row>
    <row r="557" spans="15:15">
      <c r="O557" s="645"/>
    </row>
    <row r="558" spans="15:15">
      <c r="O558" s="645"/>
    </row>
    <row r="559" spans="15:15">
      <c r="O559" s="645"/>
    </row>
    <row r="560" spans="15:15">
      <c r="O560" s="645"/>
    </row>
    <row r="561" spans="15:15">
      <c r="O561" s="645"/>
    </row>
    <row r="562" spans="15:15">
      <c r="O562" s="645"/>
    </row>
    <row r="563" spans="15:15">
      <c r="O563" s="645"/>
    </row>
    <row r="564" spans="15:15">
      <c r="O564" s="645"/>
    </row>
    <row r="565" spans="15:15">
      <c r="O565" s="645"/>
    </row>
    <row r="566" spans="15:15">
      <c r="O566" s="645"/>
    </row>
    <row r="567" spans="15:15">
      <c r="O567" s="645"/>
    </row>
    <row r="568" spans="15:15">
      <c r="O568" s="645"/>
    </row>
    <row r="569" spans="15:15">
      <c r="O569" s="645"/>
    </row>
    <row r="570" spans="15:15">
      <c r="O570" s="645"/>
    </row>
    <row r="571" spans="15:15">
      <c r="O571" s="645"/>
    </row>
    <row r="572" spans="15:15">
      <c r="O572" s="645"/>
    </row>
    <row r="573" spans="15:15">
      <c r="O573" s="645"/>
    </row>
    <row r="574" spans="15:15">
      <c r="O574" s="645"/>
    </row>
    <row r="575" spans="15:15">
      <c r="O575" s="645"/>
    </row>
    <row r="576" spans="15:15">
      <c r="O576" s="645"/>
    </row>
    <row r="577" spans="15:15">
      <c r="O577" s="645"/>
    </row>
    <row r="578" spans="15:15">
      <c r="O578" s="645"/>
    </row>
    <row r="579" spans="15:15">
      <c r="O579" s="645"/>
    </row>
    <row r="580" spans="15:15">
      <c r="O580" s="645"/>
    </row>
    <row r="581" spans="15:15">
      <c r="O581" s="645"/>
    </row>
    <row r="582" spans="15:15">
      <c r="O582" s="645"/>
    </row>
    <row r="583" spans="15:15">
      <c r="O583" s="645"/>
    </row>
    <row r="584" spans="15:15">
      <c r="O584" s="645"/>
    </row>
    <row r="585" spans="15:15">
      <c r="O585" s="645"/>
    </row>
    <row r="586" spans="15:15">
      <c r="O586" s="645"/>
    </row>
    <row r="587" spans="15:15">
      <c r="O587" s="645"/>
    </row>
    <row r="588" spans="15:15">
      <c r="O588" s="645"/>
    </row>
    <row r="589" spans="15:15">
      <c r="O589" s="645"/>
    </row>
    <row r="590" spans="15:15">
      <c r="O590" s="645"/>
    </row>
    <row r="591" spans="15:15">
      <c r="O591" s="645"/>
    </row>
    <row r="592" spans="15:15">
      <c r="O592" s="645"/>
    </row>
    <row r="593" spans="15:15">
      <c r="O593" s="645"/>
    </row>
    <row r="594" spans="15:15">
      <c r="O594" s="645"/>
    </row>
    <row r="595" spans="15:15">
      <c r="O595" s="645"/>
    </row>
    <row r="596" spans="15:15">
      <c r="O596" s="645"/>
    </row>
    <row r="597" spans="15:15">
      <c r="O597" s="645"/>
    </row>
    <row r="598" spans="15:15">
      <c r="O598" s="645"/>
    </row>
    <row r="599" spans="15:15">
      <c r="O599" s="645"/>
    </row>
    <row r="600" spans="15:15">
      <c r="O600" s="645"/>
    </row>
    <row r="601" spans="15:15">
      <c r="O601" s="645"/>
    </row>
    <row r="602" spans="15:15">
      <c r="O602" s="645"/>
    </row>
    <row r="603" spans="15:15">
      <c r="O603" s="645"/>
    </row>
    <row r="604" spans="15:15">
      <c r="O604" s="645"/>
    </row>
    <row r="605" spans="15:15">
      <c r="O605" s="645"/>
    </row>
    <row r="606" spans="15:15">
      <c r="O606" s="645"/>
    </row>
    <row r="607" spans="15:15">
      <c r="O607" s="645"/>
    </row>
    <row r="608" spans="15:15">
      <c r="O608" s="645"/>
    </row>
    <row r="609" spans="15:15">
      <c r="O609" s="645"/>
    </row>
    <row r="610" spans="15:15">
      <c r="O610" s="645"/>
    </row>
    <row r="611" spans="15:15">
      <c r="O611" s="645"/>
    </row>
    <row r="612" spans="15:15">
      <c r="O612" s="645"/>
    </row>
    <row r="613" spans="15:15">
      <c r="O613" s="645"/>
    </row>
    <row r="614" spans="15:15">
      <c r="O614" s="645"/>
    </row>
    <row r="615" spans="15:15">
      <c r="O615" s="645"/>
    </row>
    <row r="616" spans="15:15">
      <c r="O616" s="645"/>
    </row>
    <row r="617" spans="15:15">
      <c r="O617" s="645"/>
    </row>
    <row r="618" spans="15:15">
      <c r="O618" s="645"/>
    </row>
    <row r="619" spans="15:15">
      <c r="O619" s="645"/>
    </row>
    <row r="620" spans="15:15">
      <c r="O620" s="645"/>
    </row>
    <row r="621" spans="15:15">
      <c r="O621" s="645"/>
    </row>
    <row r="622" spans="15:15">
      <c r="O622" s="645"/>
    </row>
    <row r="623" spans="15:15">
      <c r="O623" s="645"/>
    </row>
    <row r="624" spans="15:15">
      <c r="O624" s="645"/>
    </row>
    <row r="625" spans="15:15">
      <c r="O625" s="645"/>
    </row>
    <row r="626" spans="15:15">
      <c r="O626" s="645"/>
    </row>
    <row r="627" spans="15:15">
      <c r="O627" s="645"/>
    </row>
    <row r="628" spans="15:15">
      <c r="O628" s="645"/>
    </row>
    <row r="629" spans="15:15">
      <c r="O629" s="645"/>
    </row>
    <row r="630" spans="15:15">
      <c r="O630" s="645"/>
    </row>
    <row r="631" spans="15:15">
      <c r="O631" s="645"/>
    </row>
    <row r="632" spans="15:15">
      <c r="O632" s="645"/>
    </row>
    <row r="633" spans="15:15">
      <c r="O633" s="645"/>
    </row>
    <row r="634" spans="15:15">
      <c r="O634" s="645"/>
    </row>
    <row r="635" spans="15:15">
      <c r="O635" s="645"/>
    </row>
    <row r="636" spans="15:15">
      <c r="O636" s="645"/>
    </row>
    <row r="637" spans="15:15">
      <c r="O637" s="645"/>
    </row>
    <row r="638" spans="15:15">
      <c r="O638" s="645"/>
    </row>
    <row r="639" spans="15:15">
      <c r="O639" s="645"/>
    </row>
    <row r="640" spans="15:15">
      <c r="O640" s="645"/>
    </row>
    <row r="641" spans="15:15">
      <c r="O641" s="645"/>
    </row>
    <row r="642" spans="15:15">
      <c r="O642" s="645"/>
    </row>
    <row r="643" spans="15:15">
      <c r="O643" s="645"/>
    </row>
    <row r="644" spans="15:15">
      <c r="O644" s="645"/>
    </row>
    <row r="645" spans="15:15">
      <c r="O645" s="645"/>
    </row>
    <row r="646" spans="15:15">
      <c r="O646" s="645"/>
    </row>
    <row r="647" spans="15:15">
      <c r="O647" s="645"/>
    </row>
    <row r="648" spans="15:15">
      <c r="O648" s="645"/>
    </row>
    <row r="649" spans="15:15">
      <c r="O649" s="645"/>
    </row>
    <row r="650" spans="15:15">
      <c r="O650" s="645"/>
    </row>
    <row r="651" spans="15:15">
      <c r="O651" s="645"/>
    </row>
    <row r="652" spans="15:15">
      <c r="O652" s="645"/>
    </row>
    <row r="653" spans="15:15">
      <c r="O653" s="645"/>
    </row>
    <row r="654" spans="15:15">
      <c r="O654" s="645"/>
    </row>
    <row r="655" spans="15:15">
      <c r="O655" s="645"/>
    </row>
    <row r="656" spans="15:15">
      <c r="O656" s="645"/>
    </row>
    <row r="657" spans="15:15">
      <c r="O657" s="645"/>
    </row>
    <row r="658" spans="15:15">
      <c r="O658" s="645"/>
    </row>
    <row r="659" spans="15:15">
      <c r="O659" s="645"/>
    </row>
    <row r="660" spans="15:15">
      <c r="O660" s="645"/>
    </row>
    <row r="661" spans="15:15">
      <c r="O661" s="645"/>
    </row>
    <row r="662" spans="15:15">
      <c r="O662" s="645"/>
    </row>
    <row r="663" spans="15:15">
      <c r="O663" s="645"/>
    </row>
    <row r="664" spans="15:15">
      <c r="O664" s="645"/>
    </row>
    <row r="665" spans="15:15">
      <c r="O665" s="645"/>
    </row>
    <row r="666" spans="15:15">
      <c r="O666" s="645"/>
    </row>
    <row r="667" spans="15:15">
      <c r="O667" s="645"/>
    </row>
    <row r="668" spans="15:15">
      <c r="O668" s="645"/>
    </row>
    <row r="669" spans="15:15">
      <c r="O669" s="645"/>
    </row>
    <row r="670" spans="15:15">
      <c r="O670" s="645"/>
    </row>
    <row r="671" spans="15:15">
      <c r="O671" s="645"/>
    </row>
    <row r="672" spans="15:15">
      <c r="O672" s="645"/>
    </row>
    <row r="673" spans="15:15">
      <c r="O673" s="645"/>
    </row>
    <row r="674" spans="15:15">
      <c r="O674" s="645"/>
    </row>
    <row r="675" spans="15:15">
      <c r="O675" s="645"/>
    </row>
    <row r="676" spans="15:15">
      <c r="O676" s="645"/>
    </row>
    <row r="677" spans="15:15">
      <c r="O677" s="645"/>
    </row>
    <row r="678" spans="15:15">
      <c r="O678" s="645"/>
    </row>
    <row r="679" spans="15:15">
      <c r="O679" s="645"/>
    </row>
    <row r="680" spans="15:15">
      <c r="O680" s="645"/>
    </row>
    <row r="681" spans="15:15">
      <c r="O681" s="645"/>
    </row>
    <row r="682" spans="15:15">
      <c r="O682" s="645"/>
    </row>
    <row r="683" spans="15:15">
      <c r="O683" s="645"/>
    </row>
    <row r="684" spans="15:15">
      <c r="O684" s="645"/>
    </row>
    <row r="685" spans="15:15">
      <c r="O685" s="645"/>
    </row>
    <row r="686" spans="15:15">
      <c r="O686" s="645"/>
    </row>
    <row r="687" spans="15:15">
      <c r="O687" s="645"/>
    </row>
    <row r="688" spans="15:15">
      <c r="O688" s="645"/>
    </row>
    <row r="689" spans="15:15">
      <c r="O689" s="645"/>
    </row>
    <row r="690" spans="15:15">
      <c r="O690" s="645"/>
    </row>
    <row r="691" spans="15:15">
      <c r="O691" s="645"/>
    </row>
    <row r="692" spans="15:15">
      <c r="O692" s="645"/>
    </row>
    <row r="693" spans="15:15">
      <c r="O693" s="645"/>
    </row>
    <row r="694" spans="15:15">
      <c r="O694" s="645"/>
    </row>
    <row r="695" spans="15:15">
      <c r="O695" s="645"/>
    </row>
    <row r="696" spans="15:15">
      <c r="O696" s="645"/>
    </row>
    <row r="697" spans="15:15">
      <c r="O697" s="645"/>
    </row>
    <row r="698" spans="15:15">
      <c r="O698" s="645"/>
    </row>
    <row r="699" spans="15:15">
      <c r="O699" s="645"/>
    </row>
    <row r="700" spans="15:15">
      <c r="O700" s="645"/>
    </row>
    <row r="701" spans="15:15">
      <c r="O701" s="645"/>
    </row>
    <row r="702" spans="15:15">
      <c r="O702" s="645"/>
    </row>
    <row r="703" spans="15:15">
      <c r="O703" s="645"/>
    </row>
    <row r="704" spans="15:15">
      <c r="O704" s="645"/>
    </row>
    <row r="705" spans="15:15">
      <c r="O705" s="645"/>
    </row>
    <row r="706" spans="15:15">
      <c r="O706" s="645"/>
    </row>
    <row r="707" spans="15:15">
      <c r="O707" s="645"/>
    </row>
    <row r="708" spans="15:15">
      <c r="O708" s="645"/>
    </row>
    <row r="709" spans="15:15">
      <c r="O709" s="645"/>
    </row>
    <row r="710" spans="15:15">
      <c r="O710" s="645"/>
    </row>
    <row r="711" spans="15:15">
      <c r="O711" s="645"/>
    </row>
    <row r="712" spans="15:15">
      <c r="O712" s="645"/>
    </row>
    <row r="713" spans="15:15">
      <c r="O713" s="645"/>
    </row>
    <row r="714" spans="15:15">
      <c r="O714" s="645"/>
    </row>
    <row r="715" spans="15:15">
      <c r="O715" s="645"/>
    </row>
    <row r="716" spans="15:15">
      <c r="O716" s="645"/>
    </row>
    <row r="717" spans="15:15">
      <c r="O717" s="645"/>
    </row>
    <row r="718" spans="15:15">
      <c r="O718" s="645"/>
    </row>
    <row r="719" spans="15:15">
      <c r="O719" s="645"/>
    </row>
    <row r="720" spans="15:15">
      <c r="O720" s="645"/>
    </row>
    <row r="721" spans="15:15">
      <c r="O721" s="645"/>
    </row>
    <row r="722" spans="15:15">
      <c r="O722" s="645"/>
    </row>
    <row r="723" spans="15:15">
      <c r="O723" s="645"/>
    </row>
    <row r="724" spans="15:15">
      <c r="O724" s="645"/>
    </row>
    <row r="725" spans="15:15">
      <c r="O725" s="645"/>
    </row>
    <row r="726" spans="15:15">
      <c r="O726" s="645"/>
    </row>
    <row r="727" spans="15:15">
      <c r="O727" s="645"/>
    </row>
    <row r="728" spans="15:15">
      <c r="O728" s="645"/>
    </row>
    <row r="729" spans="15:15">
      <c r="O729" s="645"/>
    </row>
    <row r="730" spans="15:15">
      <c r="O730" s="645"/>
    </row>
    <row r="731" spans="15:15">
      <c r="O731" s="645"/>
    </row>
    <row r="732" spans="15:15">
      <c r="O732" s="645"/>
    </row>
    <row r="733" spans="15:15">
      <c r="O733" s="645"/>
    </row>
    <row r="734" spans="15:15">
      <c r="O734" s="645"/>
    </row>
    <row r="735" spans="15:15">
      <c r="O735" s="645"/>
    </row>
    <row r="736" spans="15:15">
      <c r="O736" s="645"/>
    </row>
    <row r="737" spans="15:15">
      <c r="O737" s="645"/>
    </row>
    <row r="738" spans="15:15">
      <c r="O738" s="645"/>
    </row>
    <row r="739" spans="15:15">
      <c r="O739" s="645"/>
    </row>
    <row r="740" spans="15:15">
      <c r="O740" s="645"/>
    </row>
    <row r="741" spans="15:15">
      <c r="O741" s="645"/>
    </row>
    <row r="742" spans="15:15">
      <c r="O742" s="645"/>
    </row>
    <row r="743" spans="15:15">
      <c r="O743" s="645"/>
    </row>
    <row r="744" spans="15:15">
      <c r="O744" s="645"/>
    </row>
    <row r="745" spans="15:15">
      <c r="O745" s="645"/>
    </row>
    <row r="746" spans="15:15">
      <c r="O746" s="645"/>
    </row>
    <row r="747" spans="15:15">
      <c r="O747" s="645"/>
    </row>
    <row r="748" spans="15:15">
      <c r="O748" s="645"/>
    </row>
    <row r="749" spans="15:15">
      <c r="O749" s="645"/>
    </row>
    <row r="750" spans="15:15">
      <c r="O750" s="645"/>
    </row>
    <row r="751" spans="15:15">
      <c r="O751" s="645"/>
    </row>
    <row r="752" spans="15:15">
      <c r="O752" s="645"/>
    </row>
    <row r="753" spans="15:15">
      <c r="O753" s="645"/>
    </row>
    <row r="754" spans="15:15">
      <c r="O754" s="645"/>
    </row>
    <row r="755" spans="15:15">
      <c r="O755" s="645"/>
    </row>
    <row r="756" spans="15:15">
      <c r="O756" s="645"/>
    </row>
    <row r="757" spans="15:15">
      <c r="O757" s="645"/>
    </row>
    <row r="758" spans="15:15">
      <c r="O758" s="645"/>
    </row>
    <row r="759" spans="15:15">
      <c r="O759" s="645"/>
    </row>
    <row r="760" spans="15:15">
      <c r="O760" s="645"/>
    </row>
    <row r="761" spans="15:15">
      <c r="O761" s="645"/>
    </row>
    <row r="762" spans="15:15">
      <c r="O762" s="645"/>
    </row>
    <row r="763" spans="15:15">
      <c r="O763" s="645"/>
    </row>
    <row r="764" spans="15:15">
      <c r="O764" s="645"/>
    </row>
    <row r="765" spans="15:15">
      <c r="O765" s="645"/>
    </row>
    <row r="766" spans="15:15">
      <c r="O766" s="645"/>
    </row>
    <row r="767" spans="15:15">
      <c r="O767" s="645"/>
    </row>
    <row r="768" spans="15:15">
      <c r="O768" s="645"/>
    </row>
    <row r="769" spans="15:15">
      <c r="O769" s="645"/>
    </row>
    <row r="770" spans="15:15">
      <c r="O770" s="645"/>
    </row>
    <row r="771" spans="15:15">
      <c r="O771" s="645"/>
    </row>
    <row r="772" spans="15:15">
      <c r="O772" s="645"/>
    </row>
    <row r="773" spans="15:15">
      <c r="O773" s="645"/>
    </row>
    <row r="774" spans="15:15">
      <c r="O774" s="645"/>
    </row>
    <row r="775" spans="15:15">
      <c r="O775" s="645"/>
    </row>
    <row r="776" spans="15:15">
      <c r="O776" s="645"/>
    </row>
    <row r="777" spans="15:15">
      <c r="O777" s="645"/>
    </row>
    <row r="778" spans="15:15">
      <c r="O778" s="645"/>
    </row>
    <row r="779" spans="15:15">
      <c r="O779" s="645"/>
    </row>
    <row r="780" spans="15:15">
      <c r="O780" s="645"/>
    </row>
    <row r="781" spans="15:15">
      <c r="O781" s="645"/>
    </row>
    <row r="782" spans="15:15">
      <c r="O782" s="645"/>
    </row>
    <row r="783" spans="15:15">
      <c r="O783" s="645"/>
    </row>
    <row r="784" spans="15:15">
      <c r="O784" s="645"/>
    </row>
    <row r="785" spans="15:15">
      <c r="O785" s="645"/>
    </row>
    <row r="786" spans="15:15">
      <c r="O786" s="645"/>
    </row>
    <row r="787" spans="15:15">
      <c r="O787" s="645"/>
    </row>
    <row r="788" spans="15:15">
      <c r="O788" s="645"/>
    </row>
    <row r="789" spans="15:15">
      <c r="O789" s="645"/>
    </row>
    <row r="790" spans="15:15">
      <c r="O790" s="645"/>
    </row>
    <row r="791" spans="15:15">
      <c r="O791" s="645"/>
    </row>
    <row r="792" spans="15:15">
      <c r="O792" s="645"/>
    </row>
    <row r="793" spans="15:15">
      <c r="O793" s="645"/>
    </row>
    <row r="794" spans="15:15">
      <c r="O794" s="645"/>
    </row>
    <row r="795" spans="15:15">
      <c r="O795" s="645"/>
    </row>
    <row r="796" spans="15:15">
      <c r="O796" s="645"/>
    </row>
    <row r="797" spans="15:15">
      <c r="O797" s="645"/>
    </row>
    <row r="798" spans="15:15">
      <c r="O798" s="645"/>
    </row>
    <row r="799" spans="15:15">
      <c r="O799" s="645"/>
    </row>
    <row r="800" spans="15:15">
      <c r="O800" s="645"/>
    </row>
    <row r="801" spans="15:15">
      <c r="O801" s="645"/>
    </row>
    <row r="802" spans="15:15">
      <c r="O802" s="645"/>
    </row>
    <row r="803" spans="15:15">
      <c r="O803" s="645"/>
    </row>
    <row r="804" spans="15:15">
      <c r="O804" s="645"/>
    </row>
    <row r="805" spans="15:15">
      <c r="O805" s="645"/>
    </row>
    <row r="806" spans="15:15">
      <c r="O806" s="645"/>
    </row>
    <row r="807" spans="15:15">
      <c r="O807" s="645"/>
    </row>
    <row r="808" spans="15:15">
      <c r="O808" s="645"/>
    </row>
    <row r="809" spans="15:15">
      <c r="O809" s="645"/>
    </row>
    <row r="810" spans="15:15">
      <c r="O810" s="645"/>
    </row>
    <row r="811" spans="15:15">
      <c r="O811" s="645"/>
    </row>
    <row r="812" spans="15:15">
      <c r="O812" s="645"/>
    </row>
    <row r="813" spans="15:15">
      <c r="O813" s="645"/>
    </row>
    <row r="814" spans="15:15">
      <c r="O814" s="645"/>
    </row>
    <row r="815" spans="15:15">
      <c r="O815" s="645"/>
    </row>
    <row r="816" spans="15:15">
      <c r="O816" s="645"/>
    </row>
    <row r="817" spans="15:15">
      <c r="O817" s="645"/>
    </row>
    <row r="818" spans="15:15">
      <c r="O818" s="645"/>
    </row>
    <row r="819" spans="15:15">
      <c r="O819" s="645"/>
    </row>
    <row r="820" spans="15:15">
      <c r="O820" s="645"/>
    </row>
    <row r="821" spans="15:15">
      <c r="O821" s="645"/>
    </row>
    <row r="822" spans="15:15">
      <c r="O822" s="645"/>
    </row>
    <row r="823" spans="15:15">
      <c r="O823" s="645"/>
    </row>
    <row r="824" spans="15:15">
      <c r="O824" s="645"/>
    </row>
    <row r="825" spans="15:15">
      <c r="O825" s="645"/>
    </row>
    <row r="826" spans="15:15">
      <c r="O826" s="645"/>
    </row>
    <row r="827" spans="15:15">
      <c r="O827" s="645"/>
    </row>
    <row r="828" spans="15:15">
      <c r="O828" s="645"/>
    </row>
    <row r="829" spans="15:15">
      <c r="O829" s="645"/>
    </row>
    <row r="830" spans="15:15">
      <c r="O830" s="645"/>
    </row>
    <row r="831" spans="15:15">
      <c r="O831" s="645"/>
    </row>
    <row r="832" spans="15:15">
      <c r="O832" s="645"/>
    </row>
    <row r="833" spans="15:15">
      <c r="O833" s="645"/>
    </row>
    <row r="834" spans="15:15">
      <c r="O834" s="645"/>
    </row>
    <row r="835" spans="15:15">
      <c r="O835" s="645"/>
    </row>
    <row r="836" spans="15:15">
      <c r="O836" s="645"/>
    </row>
    <row r="837" spans="15:15">
      <c r="O837" s="645"/>
    </row>
    <row r="838" spans="15:15">
      <c r="O838" s="645"/>
    </row>
    <row r="839" spans="15:15">
      <c r="O839" s="645"/>
    </row>
    <row r="840" spans="15:15">
      <c r="O840" s="645"/>
    </row>
    <row r="841" spans="15:15">
      <c r="O841" s="645"/>
    </row>
    <row r="842" spans="15:15">
      <c r="O842" s="645"/>
    </row>
    <row r="843" spans="15:15">
      <c r="O843" s="645"/>
    </row>
    <row r="844" spans="15:15">
      <c r="O844" s="645"/>
    </row>
    <row r="845" spans="15:15">
      <c r="O845" s="645"/>
    </row>
    <row r="846" spans="15:15">
      <c r="O846" s="645"/>
    </row>
    <row r="847" spans="15:15">
      <c r="O847" s="645"/>
    </row>
    <row r="848" spans="15:15">
      <c r="O848" s="645"/>
    </row>
    <row r="849" spans="15:15">
      <c r="O849" s="645"/>
    </row>
    <row r="850" spans="15:15">
      <c r="O850" s="645"/>
    </row>
    <row r="851" spans="15:15">
      <c r="O851" s="645"/>
    </row>
    <row r="852" spans="15:15">
      <c r="O852" s="645"/>
    </row>
    <row r="853" spans="15:15">
      <c r="O853" s="645"/>
    </row>
    <row r="854" spans="15:15">
      <c r="O854" s="645"/>
    </row>
    <row r="855" spans="15:15">
      <c r="O855" s="645"/>
    </row>
    <row r="856" spans="15:15">
      <c r="O856" s="645"/>
    </row>
    <row r="857" spans="15:15">
      <c r="O857" s="645"/>
    </row>
    <row r="858" spans="15:15">
      <c r="O858" s="645"/>
    </row>
    <row r="859" spans="15:15">
      <c r="O859" s="645"/>
    </row>
    <row r="860" spans="15:15">
      <c r="O860" s="645"/>
    </row>
    <row r="861" spans="15:15">
      <c r="O861" s="645"/>
    </row>
    <row r="862" spans="15:15">
      <c r="O862" s="645"/>
    </row>
    <row r="863" spans="15:15">
      <c r="O863" s="645"/>
    </row>
    <row r="864" spans="15:15">
      <c r="O864" s="645"/>
    </row>
    <row r="865" spans="15:15">
      <c r="O865" s="645"/>
    </row>
    <row r="866" spans="15:15">
      <c r="O866" s="645"/>
    </row>
    <row r="867" spans="15:15">
      <c r="O867" s="645"/>
    </row>
    <row r="868" spans="15:15">
      <c r="O868" s="645"/>
    </row>
    <row r="869" spans="15:15">
      <c r="O869" s="645"/>
    </row>
    <row r="870" spans="15:15">
      <c r="O870" s="645"/>
    </row>
    <row r="871" spans="15:15">
      <c r="O871" s="645"/>
    </row>
    <row r="872" spans="15:15">
      <c r="O872" s="645"/>
    </row>
    <row r="873" spans="15:15">
      <c r="O873" s="645"/>
    </row>
    <row r="874" spans="15:15">
      <c r="O874" s="645"/>
    </row>
    <row r="875" spans="15:15">
      <c r="O875" s="645"/>
    </row>
    <row r="876" spans="15:15">
      <c r="O876" s="645"/>
    </row>
    <row r="877" spans="15:15">
      <c r="O877" s="645"/>
    </row>
    <row r="878" spans="15:15">
      <c r="O878" s="645"/>
    </row>
    <row r="879" spans="15:15">
      <c r="O879" s="645"/>
    </row>
    <row r="880" spans="15:15">
      <c r="O880" s="645"/>
    </row>
    <row r="881" spans="15:15">
      <c r="O881" s="645"/>
    </row>
    <row r="882" spans="15:15">
      <c r="O882" s="645"/>
    </row>
    <row r="883" spans="15:15">
      <c r="O883" s="645"/>
    </row>
    <row r="884" spans="15:15">
      <c r="O884" s="645"/>
    </row>
    <row r="885" spans="15:15">
      <c r="O885" s="645"/>
    </row>
    <row r="886" spans="15:15">
      <c r="O886" s="645"/>
    </row>
    <row r="887" spans="15:15">
      <c r="O887" s="645"/>
    </row>
    <row r="888" spans="15:15">
      <c r="O888" s="645"/>
    </row>
    <row r="889" spans="15:15">
      <c r="O889" s="645"/>
    </row>
    <row r="890" spans="15:15">
      <c r="O890" s="645"/>
    </row>
    <row r="891" spans="15:15">
      <c r="O891" s="645"/>
    </row>
    <row r="892" spans="15:15">
      <c r="O892" s="645"/>
    </row>
    <row r="893" spans="15:15">
      <c r="O893" s="645"/>
    </row>
    <row r="894" spans="15:15">
      <c r="O894" s="645"/>
    </row>
    <row r="895" spans="15:15">
      <c r="O895" s="645"/>
    </row>
    <row r="896" spans="15:15">
      <c r="O896" s="645"/>
    </row>
    <row r="897" spans="15:15">
      <c r="O897" s="645"/>
    </row>
    <row r="898" spans="15:15">
      <c r="O898" s="645"/>
    </row>
    <row r="899" spans="15:15">
      <c r="O899" s="645"/>
    </row>
    <row r="900" spans="15:15">
      <c r="O900" s="645"/>
    </row>
    <row r="901" spans="15:15">
      <c r="O901" s="645"/>
    </row>
    <row r="902" spans="15:15">
      <c r="O902" s="645"/>
    </row>
    <row r="903" spans="15:15">
      <c r="O903" s="645"/>
    </row>
    <row r="904" spans="15:15">
      <c r="O904" s="645"/>
    </row>
    <row r="905" spans="15:15">
      <c r="O905" s="645"/>
    </row>
    <row r="906" spans="15:15">
      <c r="O906" s="645"/>
    </row>
    <row r="907" spans="15:15">
      <c r="O907" s="645"/>
    </row>
    <row r="908" spans="15:15">
      <c r="O908" s="645"/>
    </row>
    <row r="909" spans="15:15">
      <c r="O909" s="645"/>
    </row>
    <row r="910" spans="15:15">
      <c r="O910" s="645"/>
    </row>
    <row r="911" spans="15:15">
      <c r="O911" s="645"/>
    </row>
    <row r="912" spans="15:15">
      <c r="O912" s="645"/>
    </row>
    <row r="913" spans="15:15">
      <c r="O913" s="645"/>
    </row>
    <row r="914" spans="15:15">
      <c r="O914" s="645"/>
    </row>
    <row r="915" spans="15:15">
      <c r="O915" s="645"/>
    </row>
    <row r="916" spans="15:15">
      <c r="O916" s="645"/>
    </row>
    <row r="917" spans="15:15">
      <c r="O917" s="645"/>
    </row>
    <row r="918" spans="15:15">
      <c r="O918" s="645"/>
    </row>
    <row r="919" spans="15:15">
      <c r="O919" s="645"/>
    </row>
    <row r="920" spans="15:15">
      <c r="O920" s="645"/>
    </row>
    <row r="921" spans="15:15">
      <c r="O921" s="645"/>
    </row>
    <row r="922" spans="15:15">
      <c r="O922" s="645"/>
    </row>
    <row r="923" spans="15:15">
      <c r="O923" s="645"/>
    </row>
    <row r="924" spans="15:15">
      <c r="O924" s="645"/>
    </row>
    <row r="925" spans="15:15">
      <c r="O925" s="645"/>
    </row>
    <row r="926" spans="15:15">
      <c r="O926" s="645"/>
    </row>
    <row r="927" spans="15:15">
      <c r="O927" s="645"/>
    </row>
    <row r="928" spans="15:15">
      <c r="O928" s="645"/>
    </row>
    <row r="929" spans="15:15">
      <c r="O929" s="645"/>
    </row>
    <row r="930" spans="15:15">
      <c r="O930" s="645"/>
    </row>
    <row r="931" spans="15:15">
      <c r="O931" s="645"/>
    </row>
    <row r="932" spans="15:15">
      <c r="O932" s="645"/>
    </row>
    <row r="933" spans="15:15">
      <c r="O933" s="645"/>
    </row>
    <row r="934" spans="15:15">
      <c r="O934" s="645"/>
    </row>
    <row r="935" spans="15:15">
      <c r="O935" s="645"/>
    </row>
    <row r="936" spans="15:15">
      <c r="O936" s="645"/>
    </row>
    <row r="937" spans="15:15">
      <c r="O937" s="645"/>
    </row>
    <row r="938" spans="15:15">
      <c r="O938" s="645"/>
    </row>
    <row r="939" spans="15:15">
      <c r="O939" s="645"/>
    </row>
    <row r="940" spans="15:15">
      <c r="O940" s="645"/>
    </row>
    <row r="941" spans="15:15">
      <c r="O941" s="645"/>
    </row>
    <row r="942" spans="15:15">
      <c r="O942" s="645"/>
    </row>
    <row r="943" spans="15:15">
      <c r="O943" s="645"/>
    </row>
    <row r="944" spans="15:15">
      <c r="O944" s="645"/>
    </row>
    <row r="945" spans="15:15">
      <c r="O945" s="645"/>
    </row>
    <row r="946" spans="15:15">
      <c r="O946" s="645"/>
    </row>
    <row r="947" spans="15:15">
      <c r="O947" s="645"/>
    </row>
    <row r="948" spans="15:15">
      <c r="O948" s="645"/>
    </row>
    <row r="949" spans="15:15">
      <c r="O949" s="645"/>
    </row>
    <row r="950" spans="15:15">
      <c r="O950" s="645"/>
    </row>
    <row r="951" spans="15:15">
      <c r="O951" s="645"/>
    </row>
    <row r="952" spans="15:15">
      <c r="O952" s="645"/>
    </row>
    <row r="953" spans="15:15">
      <c r="O953" s="645"/>
    </row>
    <row r="954" spans="15:15">
      <c r="O954" s="645"/>
    </row>
    <row r="955" spans="15:15">
      <c r="O955" s="645"/>
    </row>
    <row r="956" spans="15:15">
      <c r="O956" s="645"/>
    </row>
    <row r="957" spans="15:15">
      <c r="O957" s="645"/>
    </row>
    <row r="958" spans="15:15">
      <c r="O958" s="645"/>
    </row>
    <row r="959" spans="15:15">
      <c r="O959" s="645"/>
    </row>
    <row r="960" spans="15:15">
      <c r="O960" s="645"/>
    </row>
    <row r="961" spans="15:15">
      <c r="O961" s="645"/>
    </row>
    <row r="962" spans="15:15">
      <c r="O962" s="645"/>
    </row>
    <row r="963" spans="15:15">
      <c r="O963" s="645"/>
    </row>
    <row r="964" spans="15:15">
      <c r="O964" s="645"/>
    </row>
    <row r="965" spans="15:15">
      <c r="O965" s="645"/>
    </row>
    <row r="966" spans="15:15">
      <c r="O966" s="645"/>
    </row>
    <row r="967" spans="15:15">
      <c r="O967" s="645"/>
    </row>
    <row r="968" spans="15:15">
      <c r="O968" s="645"/>
    </row>
    <row r="969" spans="15:15">
      <c r="O969" s="645"/>
    </row>
    <row r="970" spans="15:15">
      <c r="O970" s="645"/>
    </row>
    <row r="971" spans="15:15">
      <c r="O971" s="645"/>
    </row>
    <row r="972" spans="15:15">
      <c r="O972" s="645"/>
    </row>
    <row r="973" spans="15:15">
      <c r="O973" s="645"/>
    </row>
    <row r="974" spans="15:15">
      <c r="O974" s="645"/>
    </row>
    <row r="975" spans="15:15">
      <c r="O975" s="645"/>
    </row>
    <row r="976" spans="15:15">
      <c r="O976" s="645"/>
    </row>
    <row r="977" spans="15:15">
      <c r="O977" s="645"/>
    </row>
    <row r="978" spans="15:15">
      <c r="O978" s="645"/>
    </row>
    <row r="979" spans="15:15">
      <c r="O979" s="645"/>
    </row>
    <row r="980" spans="15:15">
      <c r="O980" s="645"/>
    </row>
    <row r="981" spans="15:15">
      <c r="O981" s="645"/>
    </row>
    <row r="982" spans="15:15">
      <c r="O982" s="645"/>
    </row>
    <row r="983" spans="15:15">
      <c r="O983" s="645"/>
    </row>
    <row r="984" spans="15:15">
      <c r="O984" s="645"/>
    </row>
    <row r="985" spans="15:15">
      <c r="O985" s="645"/>
    </row>
    <row r="986" spans="15:15">
      <c r="O986" s="645"/>
    </row>
    <row r="987" spans="15:15">
      <c r="O987" s="645"/>
    </row>
    <row r="988" spans="15:15">
      <c r="O988" s="645"/>
    </row>
    <row r="989" spans="15:15">
      <c r="O989" s="645"/>
    </row>
    <row r="990" spans="15:15">
      <c r="O990" s="645"/>
    </row>
    <row r="991" spans="15:15">
      <c r="O991" s="645"/>
    </row>
    <row r="992" spans="15:15">
      <c r="O992" s="645"/>
    </row>
    <row r="993" spans="15:15">
      <c r="O993" s="645"/>
    </row>
    <row r="994" spans="15:15">
      <c r="O994" s="645"/>
    </row>
    <row r="995" spans="15:15">
      <c r="O995" s="645"/>
    </row>
    <row r="996" spans="15:15">
      <c r="O996" s="645"/>
    </row>
    <row r="997" spans="15:15">
      <c r="O997" s="645"/>
    </row>
    <row r="998" spans="15:15">
      <c r="O998" s="645"/>
    </row>
    <row r="999" spans="15:15">
      <c r="O999" s="645"/>
    </row>
    <row r="1000" spans="15:15">
      <c r="O1000" s="645"/>
    </row>
    <row r="1001" spans="15:15">
      <c r="O1001" s="645"/>
    </row>
    <row r="1002" spans="15:15">
      <c r="O1002" s="645"/>
    </row>
    <row r="1003" spans="15:15">
      <c r="O1003" s="645"/>
    </row>
    <row r="1004" spans="15:15">
      <c r="O1004" s="645"/>
    </row>
    <row r="1005" spans="15:15">
      <c r="O1005" s="645"/>
    </row>
    <row r="1006" spans="15:15">
      <c r="O1006" s="645"/>
    </row>
    <row r="1007" spans="15:15">
      <c r="O1007" s="645"/>
    </row>
    <row r="1008" spans="15:15">
      <c r="O1008" s="645"/>
    </row>
    <row r="1009" spans="15:15">
      <c r="O1009" s="645"/>
    </row>
    <row r="1010" spans="15:15">
      <c r="O1010" s="645"/>
    </row>
    <row r="1011" spans="15:15">
      <c r="O1011" s="645"/>
    </row>
    <row r="1012" spans="15:15">
      <c r="O1012" s="645"/>
    </row>
    <row r="1013" spans="15:15">
      <c r="O1013" s="645"/>
    </row>
    <row r="1014" spans="15:15">
      <c r="O1014" s="645"/>
    </row>
    <row r="1015" spans="15:15">
      <c r="O1015" s="645"/>
    </row>
    <row r="1016" spans="15:15">
      <c r="O1016" s="645"/>
    </row>
    <row r="1017" spans="15:15">
      <c r="O1017" s="645"/>
    </row>
    <row r="1018" spans="15:15">
      <c r="O1018" s="645"/>
    </row>
    <row r="1019" spans="15:15">
      <c r="O1019" s="645"/>
    </row>
    <row r="1020" spans="15:15">
      <c r="O1020" s="645"/>
    </row>
    <row r="1021" spans="15:15">
      <c r="O1021" s="645"/>
    </row>
    <row r="1022" spans="15:15">
      <c r="O1022" s="645"/>
    </row>
    <row r="1023" spans="15:15">
      <c r="O1023" s="645"/>
    </row>
    <row r="1024" spans="15:15">
      <c r="O1024" s="645"/>
    </row>
    <row r="1025" spans="15:15">
      <c r="O1025" s="645"/>
    </row>
    <row r="1026" spans="15:15">
      <c r="O1026" s="645"/>
    </row>
    <row r="1027" spans="15:15">
      <c r="O1027" s="645"/>
    </row>
    <row r="1028" spans="15:15">
      <c r="O1028" s="645"/>
    </row>
    <row r="1029" spans="15:15">
      <c r="O1029" s="645"/>
    </row>
    <row r="1030" spans="15:15">
      <c r="O1030" s="645"/>
    </row>
    <row r="1031" spans="15:15">
      <c r="O1031" s="645"/>
    </row>
    <row r="1032" spans="15:15">
      <c r="O1032" s="645"/>
    </row>
    <row r="1033" spans="15:15">
      <c r="O1033" s="645"/>
    </row>
    <row r="1034" spans="15:15">
      <c r="O1034" s="645"/>
    </row>
    <row r="1035" spans="15:15">
      <c r="O1035" s="645"/>
    </row>
    <row r="1036" spans="15:15">
      <c r="O1036" s="645"/>
    </row>
    <row r="1037" spans="15:15">
      <c r="O1037" s="645"/>
    </row>
    <row r="1038" spans="15:15">
      <c r="O1038" s="645"/>
    </row>
    <row r="1039" spans="15:15">
      <c r="O1039" s="645"/>
    </row>
    <row r="1040" spans="15:15">
      <c r="O1040" s="645"/>
    </row>
    <row r="1041" spans="15:15">
      <c r="O1041" s="645"/>
    </row>
    <row r="1042" spans="15:15">
      <c r="O1042" s="645"/>
    </row>
    <row r="1043" spans="15:15">
      <c r="O1043" s="645"/>
    </row>
    <row r="1044" spans="15:15">
      <c r="O1044" s="645"/>
    </row>
    <row r="1045" spans="15:15">
      <c r="O1045" s="645"/>
    </row>
    <row r="1046" spans="15:15">
      <c r="O1046" s="645"/>
    </row>
    <row r="1047" spans="15:15">
      <c r="O1047" s="645"/>
    </row>
    <row r="1048" spans="15:15">
      <c r="O1048" s="645"/>
    </row>
    <row r="1049" spans="15:15">
      <c r="O1049" s="645"/>
    </row>
    <row r="1050" spans="15:15">
      <c r="O1050" s="645"/>
    </row>
    <row r="1051" spans="15:15">
      <c r="O1051" s="645"/>
    </row>
    <row r="1052" spans="15:15">
      <c r="O1052" s="645"/>
    </row>
    <row r="1053" spans="15:15">
      <c r="O1053" s="645"/>
    </row>
    <row r="1054" spans="15:15">
      <c r="O1054" s="645"/>
    </row>
    <row r="1055" spans="15:15">
      <c r="O1055" s="645"/>
    </row>
    <row r="1056" spans="15:15">
      <c r="O1056" s="645"/>
    </row>
    <row r="1057" spans="15:15">
      <c r="O1057" s="645"/>
    </row>
    <row r="1058" spans="15:15">
      <c r="O1058" s="645"/>
    </row>
    <row r="1059" spans="15:15">
      <c r="O1059" s="645"/>
    </row>
    <row r="1060" spans="15:15">
      <c r="O1060" s="645"/>
    </row>
    <row r="1061" spans="15:15">
      <c r="O1061" s="645"/>
    </row>
    <row r="1062" spans="15:15">
      <c r="O1062" s="645"/>
    </row>
    <row r="1063" spans="15:15">
      <c r="O1063" s="645"/>
    </row>
    <row r="1064" spans="15:15">
      <c r="O1064" s="645"/>
    </row>
    <row r="1065" spans="15:15">
      <c r="O1065" s="645"/>
    </row>
    <row r="1066" spans="15:15">
      <c r="O1066" s="645"/>
    </row>
    <row r="1067" spans="15:15">
      <c r="O1067" s="645"/>
    </row>
    <row r="1068" spans="15:15">
      <c r="O1068" s="645"/>
    </row>
    <row r="1069" spans="15:15">
      <c r="O1069" s="645"/>
    </row>
    <row r="1070" spans="15:15">
      <c r="O1070" s="645"/>
    </row>
    <row r="1071" spans="15:15">
      <c r="O1071" s="645"/>
    </row>
    <row r="1072" spans="15:15">
      <c r="O1072" s="645"/>
    </row>
    <row r="1073" spans="15:15">
      <c r="O1073" s="645"/>
    </row>
    <row r="1074" spans="15:15">
      <c r="O1074" s="645"/>
    </row>
    <row r="1075" spans="15:15">
      <c r="O1075" s="645"/>
    </row>
    <row r="1076" spans="15:15">
      <c r="O1076" s="645"/>
    </row>
    <row r="1077" spans="15:15">
      <c r="O1077" s="645"/>
    </row>
    <row r="1078" spans="15:15">
      <c r="O1078" s="645"/>
    </row>
    <row r="1079" spans="15:15">
      <c r="O1079" s="645"/>
    </row>
    <row r="1080" spans="15:15">
      <c r="O1080" s="645"/>
    </row>
    <row r="1081" spans="15:15">
      <c r="O1081" s="645"/>
    </row>
    <row r="1082" spans="15:15">
      <c r="O1082" s="645"/>
    </row>
    <row r="1083" spans="15:15">
      <c r="O1083" s="645"/>
    </row>
    <row r="1084" spans="15:15">
      <c r="O1084" s="645"/>
    </row>
    <row r="1085" spans="15:15">
      <c r="O1085" s="645"/>
    </row>
    <row r="1086" spans="15:15">
      <c r="O1086" s="645"/>
    </row>
    <row r="1087" spans="15:15">
      <c r="O1087" s="645"/>
    </row>
    <row r="1088" spans="15:15">
      <c r="O1088" s="645"/>
    </row>
    <row r="1089" spans="15:15">
      <c r="O1089" s="645"/>
    </row>
    <row r="1090" spans="15:15">
      <c r="O1090" s="645"/>
    </row>
    <row r="1091" spans="15:15">
      <c r="O1091" s="645"/>
    </row>
    <row r="1092" spans="15:15">
      <c r="O1092" s="645"/>
    </row>
    <row r="1093" spans="15:15">
      <c r="O1093" s="645"/>
    </row>
    <row r="1094" spans="15:15">
      <c r="O1094" s="645"/>
    </row>
    <row r="1095" spans="15:15">
      <c r="O1095" s="645"/>
    </row>
    <row r="1096" spans="15:15">
      <c r="O1096" s="645"/>
    </row>
    <row r="1097" spans="15:15">
      <c r="O1097" s="645"/>
    </row>
    <row r="1098" spans="15:15">
      <c r="O1098" s="645"/>
    </row>
    <row r="1099" spans="15:15">
      <c r="O1099" s="645"/>
    </row>
    <row r="1100" spans="15:15">
      <c r="O1100" s="645"/>
    </row>
    <row r="1101" spans="15:15">
      <c r="O1101" s="645"/>
    </row>
    <row r="1102" spans="15:15">
      <c r="O1102" s="645"/>
    </row>
    <row r="1103" spans="15:15">
      <c r="O1103" s="645"/>
    </row>
    <row r="1104" spans="15:15">
      <c r="O1104" s="645"/>
    </row>
    <row r="1105" spans="15:15">
      <c r="O1105" s="645"/>
    </row>
    <row r="1106" spans="15:15">
      <c r="O1106" s="645"/>
    </row>
    <row r="1107" spans="15:15">
      <c r="O1107" s="645"/>
    </row>
    <row r="1108" spans="15:15">
      <c r="O1108" s="645"/>
    </row>
    <row r="1109" spans="15:15">
      <c r="O1109" s="645"/>
    </row>
    <row r="1110" spans="15:15">
      <c r="O1110" s="645"/>
    </row>
    <row r="1111" spans="15:15">
      <c r="O1111" s="645"/>
    </row>
    <row r="1112" spans="15:15">
      <c r="O1112" s="645"/>
    </row>
    <row r="1113" spans="15:15">
      <c r="O1113" s="645"/>
    </row>
    <row r="1114" spans="15:15">
      <c r="O1114" s="645"/>
    </row>
    <row r="1115" spans="15:15">
      <c r="O1115" s="645"/>
    </row>
    <row r="1116" spans="15:15">
      <c r="O1116" s="645"/>
    </row>
    <row r="1117" spans="15:15">
      <c r="O1117" s="645"/>
    </row>
    <row r="1118" spans="15:15">
      <c r="O1118" s="645"/>
    </row>
    <row r="1119" spans="15:15">
      <c r="O1119" s="645"/>
    </row>
    <row r="1120" spans="15:15">
      <c r="O1120" s="645"/>
    </row>
    <row r="1121" spans="15:15">
      <c r="O1121" s="645"/>
    </row>
    <row r="1122" spans="15:15">
      <c r="O1122" s="645"/>
    </row>
    <row r="1123" spans="15:15">
      <c r="O1123" s="645"/>
    </row>
    <row r="1124" spans="15:15">
      <c r="O1124" s="645"/>
    </row>
    <row r="1125" spans="15:15">
      <c r="O1125" s="645"/>
    </row>
    <row r="1126" spans="15:15">
      <c r="O1126" s="645"/>
    </row>
    <row r="1127" spans="15:15">
      <c r="O1127" s="645"/>
    </row>
    <row r="1128" spans="15:15">
      <c r="O1128" s="645"/>
    </row>
    <row r="1129" spans="15:15">
      <c r="O1129" s="645"/>
    </row>
    <row r="1130" spans="15:15">
      <c r="O1130" s="645"/>
    </row>
    <row r="1131" spans="15:15">
      <c r="O1131" s="645"/>
    </row>
    <row r="1132" spans="15:15">
      <c r="O1132" s="645"/>
    </row>
    <row r="1133" spans="15:15">
      <c r="O1133" s="645"/>
    </row>
    <row r="1134" spans="15:15">
      <c r="O1134" s="645"/>
    </row>
    <row r="1135" spans="15:15">
      <c r="O1135" s="645"/>
    </row>
    <row r="1136" spans="15:15">
      <c r="O1136" s="645"/>
    </row>
    <row r="1137" spans="15:15">
      <c r="O1137" s="645"/>
    </row>
    <row r="1138" spans="15:15">
      <c r="O1138" s="645"/>
    </row>
    <row r="1139" spans="15:15">
      <c r="O1139" s="645"/>
    </row>
    <row r="1140" spans="15:15">
      <c r="O1140" s="645"/>
    </row>
    <row r="1141" spans="15:15">
      <c r="O1141" s="645"/>
    </row>
    <row r="1142" spans="15:15">
      <c r="O1142" s="645"/>
    </row>
    <row r="1143" spans="15:15">
      <c r="O1143" s="645"/>
    </row>
    <row r="1144" spans="15:15">
      <c r="O1144" s="645"/>
    </row>
    <row r="1145" spans="15:15">
      <c r="O1145" s="645"/>
    </row>
    <row r="1146" spans="15:15">
      <c r="O1146" s="645"/>
    </row>
    <row r="1147" spans="15:15">
      <c r="O1147" s="645"/>
    </row>
    <row r="1148" spans="15:15">
      <c r="O1148" s="645"/>
    </row>
    <row r="1149" spans="15:15">
      <c r="O1149" s="645"/>
    </row>
    <row r="1150" spans="15:15">
      <c r="O1150" s="645"/>
    </row>
    <row r="1151" spans="15:15">
      <c r="O1151" s="645"/>
    </row>
    <row r="1152" spans="15:15">
      <c r="O1152" s="645"/>
    </row>
    <row r="1153" spans="15:15">
      <c r="O1153" s="645"/>
    </row>
    <row r="1154" spans="15:15">
      <c r="O1154" s="645"/>
    </row>
    <row r="1155" spans="15:15">
      <c r="O1155" s="645"/>
    </row>
    <row r="1156" spans="15:15">
      <c r="O1156" s="645"/>
    </row>
    <row r="1157" spans="15:15">
      <c r="O1157" s="645"/>
    </row>
    <row r="1158" spans="15:15">
      <c r="O1158" s="645"/>
    </row>
    <row r="1159" spans="15:15">
      <c r="O1159" s="645"/>
    </row>
    <row r="1160" spans="15:15">
      <c r="O1160" s="645"/>
    </row>
    <row r="1161" spans="15:15">
      <c r="O1161" s="645"/>
    </row>
    <row r="1162" spans="15:15">
      <c r="O1162" s="645"/>
    </row>
    <row r="1163" spans="15:15">
      <c r="O1163" s="645"/>
    </row>
    <row r="1164" spans="15:15">
      <c r="O1164" s="645"/>
    </row>
    <row r="1165" spans="15:15">
      <c r="O1165" s="645"/>
    </row>
    <row r="1166" spans="15:15">
      <c r="O1166" s="645"/>
    </row>
    <row r="1167" spans="15:15">
      <c r="O1167" s="645"/>
    </row>
    <row r="1168" spans="15:15">
      <c r="O1168" s="645"/>
    </row>
    <row r="1169" spans="15:15">
      <c r="O1169" s="645"/>
    </row>
    <row r="1170" spans="15:15">
      <c r="O1170" s="645"/>
    </row>
    <row r="1171" spans="15:15">
      <c r="O1171" s="645"/>
    </row>
    <row r="1172" spans="15:15">
      <c r="O1172" s="645"/>
    </row>
    <row r="1173" spans="15:15">
      <c r="O1173" s="645"/>
    </row>
    <row r="1174" spans="15:15">
      <c r="O1174" s="645"/>
    </row>
    <row r="1175" spans="15:15">
      <c r="O1175" s="645"/>
    </row>
    <row r="1176" spans="15:15">
      <c r="O1176" s="645"/>
    </row>
    <row r="1177" spans="15:15">
      <c r="O1177" s="645"/>
    </row>
    <row r="1178" spans="15:15">
      <c r="O1178" s="645"/>
    </row>
    <row r="1179" spans="15:15">
      <c r="O1179" s="645"/>
    </row>
    <row r="1180" spans="15:15">
      <c r="O1180" s="645"/>
    </row>
    <row r="1181" spans="15:15">
      <c r="O1181" s="645"/>
    </row>
    <row r="1182" spans="15:15">
      <c r="O1182" s="645"/>
    </row>
    <row r="1183" spans="15:15">
      <c r="O1183" s="645"/>
    </row>
    <row r="1184" spans="15:15">
      <c r="O1184" s="645"/>
    </row>
    <row r="1185" spans="15:15">
      <c r="O1185" s="645"/>
    </row>
    <row r="1186" spans="15:15">
      <c r="O1186" s="645"/>
    </row>
    <row r="1187" spans="15:15">
      <c r="O1187" s="645"/>
    </row>
    <row r="1188" spans="15:15">
      <c r="O1188" s="645"/>
    </row>
    <row r="1189" spans="15:15">
      <c r="O1189" s="645"/>
    </row>
    <row r="1190" spans="15:15">
      <c r="O1190" s="645"/>
    </row>
    <row r="1191" spans="15:15">
      <c r="O1191" s="645"/>
    </row>
    <row r="1192" spans="15:15">
      <c r="O1192" s="645"/>
    </row>
    <row r="1193" spans="15:15">
      <c r="O1193" s="645"/>
    </row>
    <row r="1194" spans="15:15">
      <c r="O1194" s="645"/>
    </row>
    <row r="1195" spans="15:15">
      <c r="O1195" s="645"/>
    </row>
    <row r="1196" spans="15:15">
      <c r="O1196" s="645"/>
    </row>
    <row r="1197" spans="15:15">
      <c r="O1197" s="645"/>
    </row>
    <row r="1198" spans="15:15">
      <c r="O1198" s="645"/>
    </row>
    <row r="1199" spans="15:15">
      <c r="O1199" s="645"/>
    </row>
    <row r="1200" spans="15:15">
      <c r="O1200" s="645"/>
    </row>
    <row r="1201" spans="15:15">
      <c r="O1201" s="645"/>
    </row>
    <row r="1202" spans="15:15">
      <c r="O1202" s="645"/>
    </row>
    <row r="1203" spans="15:15">
      <c r="O1203" s="645"/>
    </row>
    <row r="1204" spans="15:15">
      <c r="O1204" s="645"/>
    </row>
    <row r="1205" spans="15:15">
      <c r="O1205" s="645"/>
    </row>
    <row r="1206" spans="15:15">
      <c r="O1206" s="645"/>
    </row>
    <row r="1207" spans="15:15">
      <c r="O1207" s="645"/>
    </row>
    <row r="1208" spans="15:15">
      <c r="O1208" s="645"/>
    </row>
    <row r="1209" spans="15:15">
      <c r="O1209" s="645"/>
    </row>
    <row r="1210" spans="15:15">
      <c r="O1210" s="645"/>
    </row>
    <row r="1211" spans="15:15">
      <c r="O1211" s="645"/>
    </row>
    <row r="1212" spans="15:15">
      <c r="O1212" s="645"/>
    </row>
    <row r="1213" spans="15:15">
      <c r="O1213" s="645"/>
    </row>
    <row r="1214" spans="15:15">
      <c r="O1214" s="645"/>
    </row>
    <row r="1215" spans="15:15">
      <c r="O1215" s="645"/>
    </row>
    <row r="1216" spans="15:15">
      <c r="O1216" s="645"/>
    </row>
    <row r="1217" spans="15:15">
      <c r="O1217" s="645"/>
    </row>
    <row r="1218" spans="15:15">
      <c r="O1218" s="645"/>
    </row>
    <row r="1219" spans="15:15">
      <c r="O1219" s="645"/>
    </row>
    <row r="1220" spans="15:15">
      <c r="O1220" s="645"/>
    </row>
    <row r="1221" spans="15:15">
      <c r="O1221" s="645"/>
    </row>
    <row r="1222" spans="15:15">
      <c r="O1222" s="645"/>
    </row>
    <row r="1223" spans="15:15">
      <c r="O1223" s="645"/>
    </row>
    <row r="1224" spans="15:15">
      <c r="O1224" s="645"/>
    </row>
    <row r="1225" spans="15:15">
      <c r="O1225" s="645"/>
    </row>
    <row r="1226" spans="15:15">
      <c r="O1226" s="645"/>
    </row>
    <row r="1227" spans="15:15">
      <c r="O1227" s="645"/>
    </row>
    <row r="1228" spans="15:15">
      <c r="O1228" s="645"/>
    </row>
    <row r="1229" spans="15:15">
      <c r="O1229" s="645"/>
    </row>
    <row r="1230" spans="15:15">
      <c r="O1230" s="645"/>
    </row>
    <row r="1231" spans="15:15">
      <c r="O1231" s="645"/>
    </row>
    <row r="1232" spans="15:15">
      <c r="O1232" s="645"/>
    </row>
    <row r="1233" spans="15:15">
      <c r="O1233" s="645"/>
    </row>
    <row r="1234" spans="15:15">
      <c r="O1234" s="645"/>
    </row>
    <row r="1235" spans="15:15">
      <c r="O1235" s="645"/>
    </row>
    <row r="1236" spans="15:15">
      <c r="O1236" s="645"/>
    </row>
    <row r="1237" spans="15:15">
      <c r="O1237" s="645"/>
    </row>
    <row r="1238" spans="15:15">
      <c r="O1238" s="645"/>
    </row>
    <row r="1239" spans="15:15">
      <c r="O1239" s="645"/>
    </row>
    <row r="1240" spans="15:15">
      <c r="O1240" s="645"/>
    </row>
    <row r="1241" spans="15:15">
      <c r="O1241" s="645"/>
    </row>
    <row r="1242" spans="15:15">
      <c r="O1242" s="645"/>
    </row>
    <row r="1243" spans="15:15">
      <c r="O1243" s="645"/>
    </row>
    <row r="1244" spans="15:15">
      <c r="O1244" s="645"/>
    </row>
    <row r="1245" spans="15:15">
      <c r="O1245" s="645"/>
    </row>
    <row r="1246" spans="15:15">
      <c r="O1246" s="645"/>
    </row>
    <row r="1247" spans="15:15">
      <c r="O1247" s="645"/>
    </row>
    <row r="1248" spans="15:15">
      <c r="O1248" s="645"/>
    </row>
    <row r="1249" spans="15:15">
      <c r="O1249" s="645"/>
    </row>
    <row r="1250" spans="15:15">
      <c r="O1250" s="645"/>
    </row>
    <row r="1251" spans="15:15">
      <c r="O1251" s="645"/>
    </row>
    <row r="1252" spans="15:15">
      <c r="O1252" s="645"/>
    </row>
    <row r="1253" spans="15:15">
      <c r="O1253" s="645"/>
    </row>
    <row r="1254" spans="15:15">
      <c r="O1254" s="645"/>
    </row>
    <row r="1255" spans="15:15">
      <c r="O1255" s="645"/>
    </row>
    <row r="1256" spans="15:15">
      <c r="O1256" s="645"/>
    </row>
    <row r="1257" spans="15:15">
      <c r="O1257" s="645"/>
    </row>
    <row r="1258" spans="15:15">
      <c r="O1258" s="645"/>
    </row>
    <row r="1259" spans="15:15">
      <c r="O1259" s="645"/>
    </row>
    <row r="1260" spans="15:15">
      <c r="O1260" s="645"/>
    </row>
    <row r="1261" spans="15:15">
      <c r="O1261" s="645"/>
    </row>
    <row r="1262" spans="15:15">
      <c r="O1262" s="645"/>
    </row>
    <row r="1263" spans="15:15">
      <c r="O1263" s="645"/>
    </row>
    <row r="1264" spans="15:15">
      <c r="O1264" s="645"/>
    </row>
    <row r="1265" spans="15:15">
      <c r="O1265" s="645"/>
    </row>
    <row r="1266" spans="15:15">
      <c r="O1266" s="645"/>
    </row>
    <row r="1267" spans="15:15">
      <c r="O1267" s="645"/>
    </row>
    <row r="1268" spans="15:15">
      <c r="O1268" s="645"/>
    </row>
    <row r="1269" spans="15:15">
      <c r="O1269" s="645"/>
    </row>
    <row r="1270" spans="15:15">
      <c r="O1270" s="645"/>
    </row>
    <row r="1271" spans="15:15">
      <c r="O1271" s="645"/>
    </row>
    <row r="1272" spans="15:15">
      <c r="O1272" s="645"/>
    </row>
  </sheetData>
  <mergeCells count="1">
    <mergeCell ref="H40:I40"/>
  </mergeCells>
  <printOptions horizontalCentered="1" verticalCentered="1"/>
  <pageMargins left="0.7" right="0.7" top="0.75" bottom="0.75" header="0.3" footer="0.3"/>
  <pageSetup paperSize="9" scale="19" orientation="portrait" r:id="rId1"/>
  <customProperties>
    <customPr name="Qube.Worksheet.ID" r:id="rId2"/>
    <customPr name="Qube.Worksheet.Visibility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B75E2-2469-4D34-9DAE-AE555FE3BC5C}">
  <sheetPr>
    <tabColor theme="4" tint="0.89999084444715716"/>
    <pageSetUpPr fitToPage="1"/>
  </sheetPr>
  <dimension ref="A2:E19"/>
  <sheetViews>
    <sheetView workbookViewId="0">
      <selection activeCell="F25" sqref="F25"/>
    </sheetView>
  </sheetViews>
  <sheetFormatPr defaultRowHeight="12.75"/>
  <cols>
    <col min="1" max="1" width="26.7109375" style="644" customWidth="1"/>
    <col min="2" max="4" width="11.28515625" style="644" customWidth="1"/>
    <col min="5" max="16384" width="9.140625" style="644"/>
  </cols>
  <sheetData>
    <row r="2" spans="1:4">
      <c r="A2" s="1340" t="s">
        <v>1073</v>
      </c>
      <c r="B2" s="1340"/>
      <c r="C2" s="1340"/>
      <c r="D2" s="1340"/>
    </row>
    <row r="3" spans="1:4" ht="3.75" customHeight="1">
      <c r="A3" s="1341"/>
      <c r="B3" s="1341"/>
      <c r="C3" s="1341"/>
      <c r="D3" s="1341"/>
    </row>
    <row r="4" spans="1:4">
      <c r="A4" s="1398" t="s">
        <v>1074</v>
      </c>
      <c r="B4" s="1346" t="s">
        <v>991</v>
      </c>
      <c r="C4" s="1346" t="s">
        <v>1075</v>
      </c>
      <c r="D4" s="1346" t="s">
        <v>1077</v>
      </c>
    </row>
    <row r="5" spans="1:4">
      <c r="A5" s="1398"/>
      <c r="B5" s="1346" t="s">
        <v>557</v>
      </c>
      <c r="C5" s="1346" t="s">
        <v>1076</v>
      </c>
      <c r="D5" s="1346" t="s">
        <v>557</v>
      </c>
    </row>
    <row r="6" spans="1:4">
      <c r="A6" s="664" t="s">
        <v>612</v>
      </c>
      <c r="B6" s="1347">
        <f>Valuation!D6</f>
        <v>247.68158064487216</v>
      </c>
      <c r="C6" s="719">
        <f>Valuation!F6</f>
        <v>10</v>
      </c>
      <c r="D6" s="1347">
        <f>C6*B6</f>
        <v>2476.8158064487216</v>
      </c>
    </row>
    <row r="7" spans="1:4">
      <c r="A7" s="664" t="s">
        <v>873</v>
      </c>
      <c r="B7" s="1347">
        <f>Valuation!D7</f>
        <v>100.78318681289963</v>
      </c>
      <c r="C7" s="719">
        <f>Valuation!F7</f>
        <v>9</v>
      </c>
      <c r="D7" s="1347">
        <f t="shared" ref="D7:D9" si="0">C7*B7</f>
        <v>907.04868131609669</v>
      </c>
    </row>
    <row r="8" spans="1:4">
      <c r="A8" s="664" t="s">
        <v>168</v>
      </c>
      <c r="B8" s="1347">
        <f>Valuation!D8</f>
        <v>144.09341088730633</v>
      </c>
      <c r="C8" s="719">
        <f>Valuation!F8</f>
        <v>9</v>
      </c>
      <c r="D8" s="1347">
        <f t="shared" si="0"/>
        <v>1296.8406979857571</v>
      </c>
    </row>
    <row r="9" spans="1:4">
      <c r="A9" s="664" t="s">
        <v>1078</v>
      </c>
      <c r="B9" s="1347">
        <f>Valuation!D9+Valuation!D10</f>
        <v>-99.366684246401803</v>
      </c>
      <c r="C9" s="664">
        <f>Valuation!F9</f>
        <v>9.5</v>
      </c>
      <c r="D9" s="1347">
        <f t="shared" si="0"/>
        <v>-943.98350034081716</v>
      </c>
    </row>
    <row r="10" spans="1:4">
      <c r="A10" s="1348" t="s">
        <v>1079</v>
      </c>
      <c r="B10" s="1349"/>
      <c r="C10" s="664"/>
      <c r="D10" s="1349">
        <f>SUM(D6:D9)</f>
        <v>3736.7216854097587</v>
      </c>
    </row>
    <row r="11" spans="1:4">
      <c r="A11" s="1342" t="s">
        <v>1008</v>
      </c>
      <c r="B11" s="664"/>
      <c r="C11" s="664"/>
      <c r="D11" s="1350">
        <f>Valuation!I15</f>
        <v>-94.380738442804343</v>
      </c>
    </row>
    <row r="12" spans="1:4">
      <c r="A12" s="666" t="s">
        <v>268</v>
      </c>
      <c r="B12" s="664"/>
      <c r="C12" s="664"/>
      <c r="D12" s="1350">
        <f>D10-D11</f>
        <v>3831.1024238525629</v>
      </c>
    </row>
    <row r="13" spans="1:4">
      <c r="A13" s="1351" t="s">
        <v>1009</v>
      </c>
      <c r="B13" s="664"/>
      <c r="C13" s="664"/>
      <c r="D13" s="1350">
        <f>Valuation!I18</f>
        <v>225.82650000000001</v>
      </c>
    </row>
    <row r="14" spans="1:4">
      <c r="A14" s="1343" t="s">
        <v>334</v>
      </c>
      <c r="B14" s="665"/>
      <c r="C14" s="665"/>
      <c r="D14" s="1352">
        <f>D12/D13</f>
        <v>16.964804501918785</v>
      </c>
    </row>
    <row r="15" spans="1:4">
      <c r="A15" s="1398" t="s">
        <v>1080</v>
      </c>
      <c r="B15" s="1346"/>
      <c r="C15" s="1346"/>
      <c r="D15" s="1346"/>
    </row>
    <row r="16" spans="1:4">
      <c r="A16" s="1398"/>
      <c r="B16" s="1346"/>
      <c r="C16" s="1346"/>
      <c r="D16" s="1346"/>
    </row>
    <row r="17" spans="1:5">
      <c r="A17" s="664" t="s">
        <v>1084</v>
      </c>
      <c r="B17" s="664"/>
      <c r="C17" s="664"/>
      <c r="D17" s="1353"/>
    </row>
    <row r="18" spans="1:5">
      <c r="A18" s="1343" t="s">
        <v>334</v>
      </c>
      <c r="B18" s="664"/>
      <c r="C18" s="664"/>
      <c r="D18" s="1353">
        <f>Valuation!I25</f>
        <v>19.5</v>
      </c>
    </row>
    <row r="19" spans="1:5">
      <c r="A19" s="1344" t="s">
        <v>1081</v>
      </c>
      <c r="B19" s="1344"/>
      <c r="C19" s="1344"/>
      <c r="D19" s="1345">
        <f>Valuation!I32</f>
        <v>18.3</v>
      </c>
      <c r="E19" s="646"/>
    </row>
  </sheetData>
  <mergeCells count="2">
    <mergeCell ref="A4:A5"/>
    <mergeCell ref="A15:A16"/>
  </mergeCells>
  <printOptions horizontalCentered="1" verticalCentered="1"/>
  <pageMargins left="0.7" right="0.7" top="0.75" bottom="0.75" header="0.3" footer="0.3"/>
  <pageSetup paperSize="0" scale="46" orientation="portrait" r:id="rId1"/>
  <customProperties>
    <customPr name="Qube.Worksheet.Visibility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4" tint="0.89999084444715716"/>
  </sheetPr>
  <dimension ref="A1:U59"/>
  <sheetViews>
    <sheetView workbookViewId="0">
      <selection activeCell="B67" sqref="B67"/>
    </sheetView>
  </sheetViews>
  <sheetFormatPr defaultColWidth="9.140625" defaultRowHeight="12.75"/>
  <cols>
    <col min="1" max="1" width="9.140625" style="4"/>
    <col min="2" max="2" width="78" style="4" bestFit="1" customWidth="1"/>
    <col min="3" max="9" width="11" style="4" customWidth="1"/>
    <col min="10" max="21" width="11" style="276" customWidth="1"/>
    <col min="22" max="16384" width="9.140625" style="4"/>
  </cols>
  <sheetData>
    <row r="1" spans="2:21">
      <c r="B1" s="769" t="s">
        <v>323</v>
      </c>
      <c r="C1" s="770" t="s">
        <v>29</v>
      </c>
      <c r="G1" s="769" t="s">
        <v>324</v>
      </c>
      <c r="H1" s="778"/>
      <c r="I1" s="779"/>
    </row>
    <row r="2" spans="2:21">
      <c r="B2" s="771" t="s">
        <v>291</v>
      </c>
      <c r="C2" s="772">
        <v>45838</v>
      </c>
      <c r="G2" s="771" t="s">
        <v>325</v>
      </c>
      <c r="I2" s="780">
        <v>3.5000000000000003E-2</v>
      </c>
    </row>
    <row r="3" spans="2:21">
      <c r="B3" s="771" t="s">
        <v>292</v>
      </c>
      <c r="C3" s="773"/>
      <c r="G3" s="771" t="s">
        <v>272</v>
      </c>
      <c r="I3" s="773">
        <v>1.2</v>
      </c>
    </row>
    <row r="4" spans="2:21">
      <c r="B4" s="771" t="s">
        <v>293</v>
      </c>
      <c r="C4" s="774">
        <f>MODEL!AF86</f>
        <v>225.82650000000001</v>
      </c>
      <c r="G4" s="771" t="s">
        <v>326</v>
      </c>
      <c r="I4" s="781">
        <v>0.06</v>
      </c>
    </row>
    <row r="5" spans="2:21">
      <c r="B5" s="771" t="s">
        <v>273</v>
      </c>
      <c r="C5" s="775">
        <f>(I7*I6*(0.7)+(1-I7)*I5)</f>
        <v>9.9449999999999997E-2</v>
      </c>
      <c r="G5" s="771" t="s">
        <v>327</v>
      </c>
      <c r="I5" s="782">
        <f>I2+I3*I4</f>
        <v>0.107</v>
      </c>
    </row>
    <row r="6" spans="2:21" ht="13.5" thickBot="1">
      <c r="B6" s="776" t="s">
        <v>294</v>
      </c>
      <c r="C6" s="777">
        <v>0.03</v>
      </c>
      <c r="G6" s="771" t="s">
        <v>328</v>
      </c>
      <c r="I6" s="782">
        <f>I2+1%</f>
        <v>4.5000000000000005E-2</v>
      </c>
    </row>
    <row r="7" spans="2:21" ht="13.5" thickBot="1">
      <c r="G7" s="776" t="s">
        <v>329</v>
      </c>
      <c r="H7" s="783"/>
      <c r="I7" s="784">
        <v>0.1</v>
      </c>
    </row>
    <row r="9" spans="2:21">
      <c r="B9" s="768"/>
      <c r="C9" s="768">
        <v>43646</v>
      </c>
      <c r="D9" s="768">
        <f>C9+366</f>
        <v>44012</v>
      </c>
      <c r="E9" s="768">
        <f>D9+365</f>
        <v>44377</v>
      </c>
      <c r="F9" s="768">
        <f t="shared" ref="F9:K9" si="0">E9+365</f>
        <v>44742</v>
      </c>
      <c r="G9" s="768">
        <f t="shared" si="0"/>
        <v>45107</v>
      </c>
      <c r="H9" s="768">
        <f>G9+366</f>
        <v>45473</v>
      </c>
      <c r="I9" s="768">
        <f>H9+365</f>
        <v>45838</v>
      </c>
      <c r="J9" s="785">
        <f t="shared" si="0"/>
        <v>46203</v>
      </c>
      <c r="K9" s="785">
        <f t="shared" si="0"/>
        <v>46568</v>
      </c>
      <c r="L9" s="785">
        <f>K9+366</f>
        <v>46934</v>
      </c>
      <c r="M9" s="785">
        <f>L9+365</f>
        <v>47299</v>
      </c>
      <c r="N9" s="785">
        <f>M9+365</f>
        <v>47664</v>
      </c>
      <c r="O9" s="785">
        <f>N9+365</f>
        <v>48029</v>
      </c>
      <c r="P9" s="785">
        <f>O9+366</f>
        <v>48395</v>
      </c>
      <c r="Q9" s="785">
        <f>P9+365</f>
        <v>48760</v>
      </c>
      <c r="R9" s="785">
        <f>Q9+365</f>
        <v>49125</v>
      </c>
      <c r="S9" s="785">
        <f>R9+365</f>
        <v>49490</v>
      </c>
      <c r="T9" s="785">
        <f>S9+365</f>
        <v>49855</v>
      </c>
      <c r="U9" s="785" t="s">
        <v>320</v>
      </c>
    </row>
    <row r="10" spans="2:21">
      <c r="B10" s="4" t="s">
        <v>295</v>
      </c>
      <c r="C10" s="16"/>
      <c r="D10" s="16"/>
      <c r="E10" s="16"/>
      <c r="F10" s="16"/>
      <c r="G10" s="16">
        <f t="shared" ref="G10:L10" si="1">G49</f>
        <v>351.30000000000007</v>
      </c>
      <c r="H10" s="16">
        <f t="shared" si="1"/>
        <v>242.48999999999995</v>
      </c>
      <c r="I10" s="16">
        <f t="shared" si="1"/>
        <v>124.43999999999997</v>
      </c>
      <c r="J10" s="277">
        <f t="shared" si="1"/>
        <v>229.44843096280431</v>
      </c>
      <c r="K10" s="277">
        <f t="shared" si="1"/>
        <v>230.27554132336957</v>
      </c>
      <c r="L10" s="277">
        <f t="shared" si="1"/>
        <v>252.6412207358326</v>
      </c>
      <c r="M10" s="277">
        <f t="shared" ref="M10:R10" si="2">M49</f>
        <v>270.39125359724437</v>
      </c>
      <c r="N10" s="277">
        <f t="shared" si="2"/>
        <v>287.15849196346068</v>
      </c>
      <c r="O10" s="277">
        <f t="shared" si="2"/>
        <v>302.23353066609047</v>
      </c>
      <c r="P10" s="277">
        <f t="shared" si="2"/>
        <v>314.87374190401283</v>
      </c>
      <c r="Q10" s="277">
        <f t="shared" si="2"/>
        <v>327.04059517292933</v>
      </c>
      <c r="R10" s="277">
        <f t="shared" si="2"/>
        <v>339.64990227476414</v>
      </c>
      <c r="S10" s="277">
        <f t="shared" ref="S10:T10" si="3">S49</f>
        <v>352.71502436149763</v>
      </c>
      <c r="T10" s="277">
        <f t="shared" si="3"/>
        <v>366.24962568870103</v>
      </c>
      <c r="U10" s="277">
        <f>T10*(1+C6)</f>
        <v>377.23711445936209</v>
      </c>
    </row>
    <row r="11" spans="2:21">
      <c r="B11" s="4" t="s">
        <v>273</v>
      </c>
      <c r="C11" s="74"/>
      <c r="D11" s="74"/>
      <c r="E11" s="74"/>
      <c r="F11" s="74"/>
      <c r="G11" s="74">
        <f t="shared" ref="G11:U11" si="4">$C$5</f>
        <v>9.9449999999999997E-2</v>
      </c>
      <c r="H11" s="74">
        <f t="shared" si="4"/>
        <v>9.9449999999999997E-2</v>
      </c>
      <c r="I11" s="74">
        <f t="shared" si="4"/>
        <v>9.9449999999999997E-2</v>
      </c>
      <c r="J11" s="278">
        <f t="shared" si="4"/>
        <v>9.9449999999999997E-2</v>
      </c>
      <c r="K11" s="278">
        <f t="shared" si="4"/>
        <v>9.9449999999999997E-2</v>
      </c>
      <c r="L11" s="278">
        <f t="shared" si="4"/>
        <v>9.9449999999999997E-2</v>
      </c>
      <c r="M11" s="278">
        <f t="shared" si="4"/>
        <v>9.9449999999999997E-2</v>
      </c>
      <c r="N11" s="278">
        <f t="shared" si="4"/>
        <v>9.9449999999999997E-2</v>
      </c>
      <c r="O11" s="278">
        <f t="shared" si="4"/>
        <v>9.9449999999999997E-2</v>
      </c>
      <c r="P11" s="278">
        <f t="shared" si="4"/>
        <v>9.9449999999999997E-2</v>
      </c>
      <c r="Q11" s="278">
        <f t="shared" si="4"/>
        <v>9.9449999999999997E-2</v>
      </c>
      <c r="R11" s="278">
        <f t="shared" si="4"/>
        <v>9.9449999999999997E-2</v>
      </c>
      <c r="S11" s="278">
        <f t="shared" si="4"/>
        <v>9.9449999999999997E-2</v>
      </c>
      <c r="T11" s="278">
        <f t="shared" si="4"/>
        <v>9.9449999999999997E-2</v>
      </c>
      <c r="U11" s="278">
        <f t="shared" si="4"/>
        <v>9.9449999999999997E-2</v>
      </c>
    </row>
    <row r="12" spans="2:21">
      <c r="B12" s="4" t="s">
        <v>296</v>
      </c>
      <c r="C12" s="71"/>
      <c r="D12" s="71"/>
      <c r="E12" s="71"/>
      <c r="F12" s="71"/>
      <c r="G12" s="71"/>
      <c r="H12" s="71"/>
      <c r="I12" s="71"/>
      <c r="J12" s="786"/>
      <c r="K12" s="786">
        <f t="shared" ref="K12:T12" si="5">(1+K11)^(($C$2-(J9))/365)</f>
        <v>0.90954568193187502</v>
      </c>
      <c r="L12" s="786">
        <f t="shared" si="5"/>
        <v>0.82727334752091941</v>
      </c>
      <c r="M12" s="786">
        <f t="shared" si="5"/>
        <v>0.75224747666387515</v>
      </c>
      <c r="N12" s="786">
        <f t="shared" si="5"/>
        <v>0.68420344414377643</v>
      </c>
      <c r="O12" s="786">
        <f t="shared" si="5"/>
        <v>0.62231428818388868</v>
      </c>
      <c r="P12" s="786">
        <f t="shared" si="5"/>
        <v>0.56602327362216442</v>
      </c>
      <c r="Q12" s="786">
        <f t="shared" si="5"/>
        <v>0.5146903143818885</v>
      </c>
      <c r="R12" s="786">
        <f t="shared" si="5"/>
        <v>0.46813435297820583</v>
      </c>
      <c r="S12" s="786">
        <f t="shared" si="5"/>
        <v>0.42578957931529937</v>
      </c>
      <c r="T12" s="786">
        <f t="shared" si="5"/>
        <v>0.38727507327782013</v>
      </c>
      <c r="U12" s="277">
        <f>T12/(T11-C6)</f>
        <v>5.5763149500046092</v>
      </c>
    </row>
    <row r="13" spans="2:21">
      <c r="B13" s="4" t="s">
        <v>267</v>
      </c>
      <c r="C13" s="16"/>
      <c r="D13" s="16"/>
      <c r="E13" s="16"/>
      <c r="F13" s="16"/>
      <c r="G13" s="16"/>
      <c r="H13" s="16"/>
      <c r="I13" s="16"/>
      <c r="J13" s="277"/>
      <c r="K13" s="277">
        <f t="shared" ref="K13:O13" si="6">K10*K12</f>
        <v>209.44612426519583</v>
      </c>
      <c r="L13" s="277">
        <f t="shared" si="6"/>
        <v>209.00334839990376</v>
      </c>
      <c r="M13" s="277">
        <f t="shared" si="6"/>
        <v>203.40113823050902</v>
      </c>
      <c r="N13" s="277">
        <f t="shared" si="6"/>
        <v>196.47482921653273</v>
      </c>
      <c r="O13" s="277">
        <f t="shared" si="6"/>
        <v>188.08424450177159</v>
      </c>
      <c r="P13" s="277">
        <f t="shared" ref="P13:Q13" si="7">P10*P12</f>
        <v>178.22586617016984</v>
      </c>
      <c r="Q13" s="277">
        <f t="shared" si="7"/>
        <v>168.32462674519493</v>
      </c>
      <c r="R13" s="277">
        <f t="shared" ref="R13:S13" si="8">R10*R12</f>
        <v>159.00178724050755</v>
      </c>
      <c r="S13" s="277">
        <f t="shared" si="8"/>
        <v>150.18238184106764</v>
      </c>
      <c r="T13" s="277">
        <f t="shared" ref="T13" si="9">T10*T12</f>
        <v>141.83935062656587</v>
      </c>
      <c r="U13" s="277">
        <f>U10*U12</f>
        <v>2103.5929610563408</v>
      </c>
    </row>
    <row r="15" spans="2:21">
      <c r="B15" s="13" t="s">
        <v>27</v>
      </c>
    </row>
    <row r="16" spans="2:21">
      <c r="B16" s="4" t="s">
        <v>297</v>
      </c>
      <c r="C16" s="16">
        <f>SUM(C13:U13)</f>
        <v>3907.5766582937595</v>
      </c>
      <c r="D16" s="75"/>
    </row>
    <row r="17" spans="1:20">
      <c r="B17" s="4" t="s">
        <v>298</v>
      </c>
    </row>
    <row r="18" spans="1:20">
      <c r="B18" s="4" t="s">
        <v>299</v>
      </c>
      <c r="C18" s="16">
        <f>MODEL!Z132-MODEL!Z169-MODEL!Z177</f>
        <v>-217.79999999999973</v>
      </c>
      <c r="D18" s="75"/>
    </row>
    <row r="19" spans="1:20">
      <c r="B19" s="4" t="s">
        <v>268</v>
      </c>
      <c r="C19" s="76">
        <f>C16-C18</f>
        <v>4125.3766582937587</v>
      </c>
      <c r="D19" s="16"/>
    </row>
    <row r="20" spans="1:20">
      <c r="B20" s="4" t="s">
        <v>293</v>
      </c>
      <c r="C20" s="16">
        <f>Valuation!I18</f>
        <v>225.82650000000001</v>
      </c>
      <c r="D20" s="16"/>
    </row>
    <row r="21" spans="1:20">
      <c r="B21" s="4" t="s">
        <v>300</v>
      </c>
      <c r="C21" s="16">
        <f>U59</f>
        <v>1.230484073136783</v>
      </c>
      <c r="D21" s="16"/>
    </row>
    <row r="22" spans="1:20">
      <c r="B22" s="13" t="s">
        <v>301</v>
      </c>
      <c r="C22" s="16">
        <f>C19/C20+C21</f>
        <v>19.498387345311478</v>
      </c>
      <c r="D22" s="75"/>
    </row>
    <row r="23" spans="1:20">
      <c r="B23" s="13"/>
    </row>
    <row r="24" spans="1:20">
      <c r="C24" s="4">
        <f>COLUMN(MODEL!K3)</f>
        <v>11</v>
      </c>
      <c r="D24" s="4">
        <f>C24+3</f>
        <v>14</v>
      </c>
      <c r="E24" s="4">
        <f>D24+3</f>
        <v>17</v>
      </c>
      <c r="F24" s="4">
        <f>COLUMN(MODEL!T3)</f>
        <v>20</v>
      </c>
      <c r="G24" s="4">
        <f>COLUMN(MODEL!W3)</f>
        <v>23</v>
      </c>
      <c r="H24" s="4">
        <f>COLUMN(MODEL!Z3)</f>
        <v>26</v>
      </c>
      <c r="I24" s="4">
        <f>COLUMN(MODEL!AC3)</f>
        <v>29</v>
      </c>
      <c r="J24" s="276">
        <f>COLUMN(MODEL!AF3)</f>
        <v>32</v>
      </c>
      <c r="K24" s="276">
        <f>COLUMN(MODEL!AI3)</f>
        <v>35</v>
      </c>
      <c r="L24" s="276">
        <f>COLUMN(MODEL!AL3)</f>
        <v>38</v>
      </c>
      <c r="M24" s="276">
        <f>COLUMN(MODEL!AO3)</f>
        <v>41</v>
      </c>
      <c r="N24" s="276">
        <f>COLUMN(MODEL!AR3)</f>
        <v>44</v>
      </c>
      <c r="O24" s="276">
        <f>COLUMN(MODEL!AU3)</f>
        <v>47</v>
      </c>
      <c r="P24" s="276">
        <f>COLUMN(MODEL!AX3)</f>
        <v>50</v>
      </c>
      <c r="Q24" s="276">
        <f>COLUMN(MODEL!BA3)</f>
        <v>53</v>
      </c>
      <c r="R24" s="276">
        <f>COLUMN(MODEL!BD3)</f>
        <v>56</v>
      </c>
      <c r="S24" s="276">
        <f>COLUMN(MODEL!BG3)</f>
        <v>59</v>
      </c>
      <c r="T24" s="276">
        <f>COLUMN(MODEL!BJ3)</f>
        <v>62</v>
      </c>
    </row>
    <row r="25" spans="1:20">
      <c r="B25" s="66" t="s">
        <v>302</v>
      </c>
      <c r="C25" s="65">
        <f t="shared" ref="C25:L25" si="10">C9</f>
        <v>43646</v>
      </c>
      <c r="D25" s="65">
        <f t="shared" si="10"/>
        <v>44012</v>
      </c>
      <c r="E25" s="65">
        <f t="shared" si="10"/>
        <v>44377</v>
      </c>
      <c r="F25" s="65">
        <f t="shared" si="10"/>
        <v>44742</v>
      </c>
      <c r="G25" s="65">
        <f t="shared" si="10"/>
        <v>45107</v>
      </c>
      <c r="H25" s="65">
        <f t="shared" si="10"/>
        <v>45473</v>
      </c>
      <c r="I25" s="65">
        <f t="shared" si="10"/>
        <v>45838</v>
      </c>
      <c r="J25" s="787">
        <f t="shared" si="10"/>
        <v>46203</v>
      </c>
      <c r="K25" s="787">
        <f t="shared" si="10"/>
        <v>46568</v>
      </c>
      <c r="L25" s="787">
        <f t="shared" si="10"/>
        <v>46934</v>
      </c>
      <c r="M25" s="787">
        <f t="shared" ref="M25:T25" si="11">M9</f>
        <v>47299</v>
      </c>
      <c r="N25" s="787">
        <f t="shared" si="11"/>
        <v>47664</v>
      </c>
      <c r="O25" s="787">
        <f t="shared" si="11"/>
        <v>48029</v>
      </c>
      <c r="P25" s="787">
        <f t="shared" si="11"/>
        <v>48395</v>
      </c>
      <c r="Q25" s="787">
        <f t="shared" si="11"/>
        <v>48760</v>
      </c>
      <c r="R25" s="787">
        <f t="shared" si="11"/>
        <v>49125</v>
      </c>
      <c r="S25" s="787">
        <f t="shared" ref="S25" si="12">S9</f>
        <v>49490</v>
      </c>
      <c r="T25" s="787">
        <f t="shared" si="11"/>
        <v>49855</v>
      </c>
    </row>
    <row r="26" spans="1:20">
      <c r="A26" s="4" cm="1">
        <f t="array" ref="A26">ROW('PPE &amp; Leases'!78:78)</f>
        <v>78</v>
      </c>
      <c r="B26" s="67"/>
    </row>
    <row r="27" spans="1:20">
      <c r="A27" s="4">
        <f>ROW(MODEL!B39)</f>
        <v>39</v>
      </c>
      <c r="B27" s="68" t="s">
        <v>262</v>
      </c>
      <c r="C27" s="16">
        <f>INDEX(Model,$A27,C$24)</f>
        <v>204.2</v>
      </c>
      <c r="D27" s="16">
        <f t="shared" ref="C27:T31" si="13">INDEX(Model,$A27,D$24)</f>
        <v>209.9</v>
      </c>
      <c r="E27" s="16">
        <f t="shared" si="13"/>
        <v>435.8</v>
      </c>
      <c r="F27" s="16">
        <f>INDEX(Model,$A27,F$24)</f>
        <v>349.6</v>
      </c>
      <c r="G27" s="16">
        <f t="shared" si="13"/>
        <v>390.6</v>
      </c>
      <c r="H27" s="16">
        <f t="shared" si="13"/>
        <v>342.6</v>
      </c>
      <c r="I27" s="16">
        <f t="shared" si="13"/>
        <v>329.4</v>
      </c>
      <c r="J27" s="277">
        <f t="shared" si="13"/>
        <v>332.5997999226488</v>
      </c>
      <c r="K27" s="277">
        <f t="shared" si="13"/>
        <v>390.52591625196044</v>
      </c>
      <c r="L27" s="277">
        <f t="shared" si="13"/>
        <v>420.55053012344905</v>
      </c>
      <c r="M27" s="277">
        <f t="shared" si="13"/>
        <v>447.88065131394211</v>
      </c>
      <c r="N27" s="277">
        <f t="shared" si="13"/>
        <v>471.19999530432926</v>
      </c>
      <c r="O27" s="277">
        <f t="shared" si="13"/>
        <v>493.19709074014463</v>
      </c>
      <c r="P27" s="277">
        <f t="shared" si="13"/>
        <v>513.17611146008005</v>
      </c>
      <c r="Q27" s="277">
        <f t="shared" si="13"/>
        <v>533.99883767905794</v>
      </c>
      <c r="R27" s="277">
        <f t="shared" si="13"/>
        <v>555.71825478981862</v>
      </c>
      <c r="S27" s="277">
        <f t="shared" si="13"/>
        <v>578.37770507197592</v>
      </c>
      <c r="T27" s="277">
        <f t="shared" si="13"/>
        <v>602.02229805999275</v>
      </c>
    </row>
    <row r="28" spans="1:20">
      <c r="B28" s="68"/>
      <c r="C28" s="16"/>
      <c r="D28" s="16"/>
      <c r="E28" s="16"/>
      <c r="F28" s="16"/>
      <c r="G28" s="16"/>
      <c r="H28" s="16"/>
      <c r="I28" s="16"/>
      <c r="J28" s="277"/>
      <c r="K28" s="277"/>
      <c r="L28" s="277"/>
      <c r="M28" s="277"/>
      <c r="N28" s="277"/>
      <c r="O28" s="277"/>
      <c r="P28" s="277"/>
      <c r="Q28" s="277"/>
      <c r="R28" s="277"/>
      <c r="S28" s="277"/>
      <c r="T28" s="277"/>
    </row>
    <row r="29" spans="1:20">
      <c r="A29" s="4">
        <f>ROW(MODEL!B37)</f>
        <v>37</v>
      </c>
      <c r="B29" s="68" t="s">
        <v>303</v>
      </c>
      <c r="C29" s="16">
        <f t="shared" ref="C29:T29" si="14">-INDEX(Model,$A29,C$24)+INDEX(PPE_LEASE,$A26,C$24)</f>
        <v>21.3</v>
      </c>
      <c r="D29" s="16">
        <f t="shared" si="14"/>
        <v>17.800000000000004</v>
      </c>
      <c r="E29" s="16">
        <f t="shared" si="14"/>
        <v>5.7999999999999972</v>
      </c>
      <c r="F29" s="16">
        <f t="shared" si="14"/>
        <v>6.8999999999999986</v>
      </c>
      <c r="G29" s="16">
        <f t="shared" si="14"/>
        <v>0</v>
      </c>
      <c r="H29" s="16">
        <f t="shared" si="14"/>
        <v>-4.3000000000000043</v>
      </c>
      <c r="I29" s="16">
        <f t="shared" si="14"/>
        <v>2.2000000000000028</v>
      </c>
      <c r="J29" s="277">
        <f t="shared" si="14"/>
        <v>3.6009999999999991</v>
      </c>
      <c r="K29" s="277">
        <f t="shared" si="14"/>
        <v>2.6655778467158768</v>
      </c>
      <c r="L29" s="277">
        <f t="shared" si="14"/>
        <v>0.66224609989666305</v>
      </c>
      <c r="M29" s="277">
        <f t="shared" si="14"/>
        <v>-1.3937611394322929</v>
      </c>
      <c r="N29" s="277">
        <f t="shared" si="14"/>
        <v>-3.6123746449148442</v>
      </c>
      <c r="O29" s="277">
        <f t="shared" si="14"/>
        <v>-6.0045954466533118</v>
      </c>
      <c r="P29" s="277">
        <f t="shared" si="14"/>
        <v>-8.646766377884596</v>
      </c>
      <c r="Q29" s="277">
        <f t="shared" si="14"/>
        <v>-11.42099888639828</v>
      </c>
      <c r="R29" s="277">
        <f t="shared" si="14"/>
        <v>-14.343629676208934</v>
      </c>
      <c r="S29" s="277">
        <f t="shared" si="14"/>
        <v>-17.419441244181705</v>
      </c>
      <c r="T29" s="277">
        <f t="shared" si="14"/>
        <v>-20.652988394846801</v>
      </c>
    </row>
    <row r="30" spans="1:20">
      <c r="B30" s="68"/>
      <c r="C30" s="16"/>
      <c r="D30" s="16"/>
      <c r="E30" s="16"/>
      <c r="F30" s="16"/>
      <c r="G30" s="16"/>
      <c r="H30" s="16"/>
      <c r="I30" s="16"/>
      <c r="J30" s="277"/>
      <c r="K30" s="277"/>
      <c r="L30" s="277"/>
      <c r="M30" s="277"/>
      <c r="N30" s="277"/>
      <c r="O30" s="277"/>
      <c r="P30" s="277"/>
      <c r="Q30" s="277"/>
      <c r="R30" s="277"/>
      <c r="S30" s="277"/>
      <c r="T30" s="277"/>
    </row>
    <row r="31" spans="1:20">
      <c r="A31" s="4">
        <f>ROW(MODEL!B42)</f>
        <v>42</v>
      </c>
      <c r="B31" s="68" t="s">
        <v>304</v>
      </c>
      <c r="C31" s="16">
        <f t="shared" si="13"/>
        <v>-0.1</v>
      </c>
      <c r="D31" s="16">
        <f t="shared" si="13"/>
        <v>0</v>
      </c>
      <c r="E31" s="16">
        <f t="shared" si="13"/>
        <v>0</v>
      </c>
      <c r="F31" s="16">
        <f t="shared" si="13"/>
        <v>0</v>
      </c>
      <c r="G31" s="16">
        <f t="shared" si="13"/>
        <v>0</v>
      </c>
      <c r="H31" s="16">
        <f t="shared" si="13"/>
        <v>0</v>
      </c>
      <c r="I31" s="16">
        <f t="shared" si="13"/>
        <v>0</v>
      </c>
      <c r="J31" s="277">
        <f t="shared" si="13"/>
        <v>0</v>
      </c>
      <c r="K31" s="277">
        <f t="shared" si="13"/>
        <v>0</v>
      </c>
      <c r="L31" s="277">
        <f t="shared" si="13"/>
        <v>0</v>
      </c>
      <c r="M31" s="277">
        <f t="shared" si="13"/>
        <v>0</v>
      </c>
      <c r="N31" s="277">
        <f t="shared" si="13"/>
        <v>0</v>
      </c>
      <c r="O31" s="277">
        <f t="shared" si="13"/>
        <v>0</v>
      </c>
      <c r="P31" s="277">
        <f t="shared" si="13"/>
        <v>0</v>
      </c>
      <c r="Q31" s="277">
        <f t="shared" si="13"/>
        <v>0</v>
      </c>
      <c r="R31" s="277">
        <f t="shared" si="13"/>
        <v>0</v>
      </c>
      <c r="S31" s="277">
        <f t="shared" si="13"/>
        <v>0</v>
      </c>
      <c r="T31" s="277">
        <f t="shared" si="13"/>
        <v>0</v>
      </c>
    </row>
    <row r="32" spans="1:20">
      <c r="A32" s="4">
        <f>ROW(MODEL!B29)</f>
        <v>29</v>
      </c>
      <c r="B32" s="68" t="s">
        <v>305</v>
      </c>
      <c r="C32" s="16">
        <f t="shared" ref="C32:T32" si="15">-INDEX(Model,$A32,C$24)</f>
        <v>86.6</v>
      </c>
      <c r="D32" s="16">
        <f t="shared" si="15"/>
        <v>268.20000000000005</v>
      </c>
      <c r="E32" s="16">
        <f t="shared" si="15"/>
        <v>299.40000000000003</v>
      </c>
      <c r="F32" s="16">
        <f t="shared" si="15"/>
        <v>305.19999999999993</v>
      </c>
      <c r="G32" s="16">
        <f t="shared" si="15"/>
        <v>329.59999999999997</v>
      </c>
      <c r="H32" s="16">
        <f t="shared" si="15"/>
        <v>338.20000000000005</v>
      </c>
      <c r="I32" s="16">
        <f t="shared" si="15"/>
        <v>358.3</v>
      </c>
      <c r="J32" s="277">
        <f t="shared" si="15"/>
        <v>373.44018184174001</v>
      </c>
      <c r="K32" s="277">
        <f t="shared" si="15"/>
        <v>391.04825926235139</v>
      </c>
      <c r="L32" s="277">
        <f t="shared" si="15"/>
        <v>409.34546966712969</v>
      </c>
      <c r="M32" s="277">
        <f t="shared" si="15"/>
        <v>427.27562624530441</v>
      </c>
      <c r="N32" s="277">
        <f t="shared" si="15"/>
        <v>444.58655204159345</v>
      </c>
      <c r="O32" s="277">
        <f t="shared" si="15"/>
        <v>460.98944084074697</v>
      </c>
      <c r="P32" s="277">
        <f t="shared" si="15"/>
        <v>476.36947337449021</v>
      </c>
      <c r="Q32" s="277">
        <f t="shared" si="15"/>
        <v>492.27153435397236</v>
      </c>
      <c r="R32" s="277">
        <f t="shared" si="15"/>
        <v>508.71348055868725</v>
      </c>
      <c r="S32" s="277">
        <f t="shared" si="15"/>
        <v>525.71378042522792</v>
      </c>
      <c r="T32" s="277">
        <f t="shared" si="15"/>
        <v>543.2915349514434</v>
      </c>
    </row>
    <row r="33" spans="1:20">
      <c r="A33" s="4">
        <f>ROW(MODEL!B124)</f>
        <v>124</v>
      </c>
      <c r="B33" s="68" t="s">
        <v>894</v>
      </c>
      <c r="C33" s="16">
        <f t="shared" ref="C33:T33" si="16">INDEX(Model,$A33,C$24)</f>
        <v>0</v>
      </c>
      <c r="D33" s="16">
        <f t="shared" si="16"/>
        <v>-171.8</v>
      </c>
      <c r="E33" s="16">
        <f t="shared" si="16"/>
        <v>-188.1</v>
      </c>
      <c r="F33" s="16">
        <f t="shared" si="16"/>
        <v>-216</v>
      </c>
      <c r="G33" s="16">
        <f t="shared" si="16"/>
        <v>-210.7</v>
      </c>
      <c r="H33" s="16">
        <f t="shared" si="16"/>
        <v>-199.1</v>
      </c>
      <c r="I33" s="16">
        <f t="shared" si="16"/>
        <v>-231.60000000000002</v>
      </c>
      <c r="J33" s="277">
        <f t="shared" si="16"/>
        <v>-248.86950000000002</v>
      </c>
      <c r="K33" s="277">
        <f t="shared" si="16"/>
        <v>-265.61976575359824</v>
      </c>
      <c r="L33" s="277">
        <f t="shared" si="16"/>
        <v>-274.2805014187789</v>
      </c>
      <c r="M33" s="277">
        <f t="shared" si="16"/>
        <v>-284.94478198321895</v>
      </c>
      <c r="N33" s="277">
        <f t="shared" si="16"/>
        <v>-293.56385898960997</v>
      </c>
      <c r="O33" s="277">
        <f t="shared" si="16"/>
        <v>-302.51515579785848</v>
      </c>
      <c r="P33" s="277">
        <f t="shared" si="16"/>
        <v>-311.81925655574491</v>
      </c>
      <c r="Q33" s="277">
        <f t="shared" si="16"/>
        <v>-321.49802669408723</v>
      </c>
      <c r="R33" s="277">
        <f t="shared" si="16"/>
        <v>-331.57467474502653</v>
      </c>
      <c r="S33" s="277">
        <f t="shared" si="16"/>
        <v>-342.0738164211507</v>
      </c>
      <c r="T33" s="277">
        <f t="shared" si="16"/>
        <v>-353.02154102389102</v>
      </c>
    </row>
    <row r="34" spans="1:20">
      <c r="B34" s="68"/>
    </row>
    <row r="35" spans="1:20">
      <c r="A35" s="4">
        <f>ROW(MODEL!B41)</f>
        <v>41</v>
      </c>
      <c r="B35" s="68" t="s">
        <v>309</v>
      </c>
      <c r="C35" s="16">
        <f t="shared" ref="C35:T35" si="17">INDEX(Model,$A35,C$24)</f>
        <v>-51.599999999999994</v>
      </c>
      <c r="D35" s="16">
        <f t="shared" si="17"/>
        <v>-61.700000000000017</v>
      </c>
      <c r="E35" s="16">
        <f t="shared" si="17"/>
        <v>-129</v>
      </c>
      <c r="F35" s="16">
        <f t="shared" si="17"/>
        <v>-105.50000000000003</v>
      </c>
      <c r="G35" s="16">
        <f t="shared" si="17"/>
        <v>-117.1</v>
      </c>
      <c r="H35" s="16">
        <f t="shared" si="17"/>
        <v>-100.5</v>
      </c>
      <c r="I35" s="16">
        <f t="shared" si="17"/>
        <v>-97</v>
      </c>
      <c r="J35" s="277">
        <f t="shared" si="17"/>
        <v>-97.942260450810366</v>
      </c>
      <c r="K35" s="277">
        <f t="shared" si="17"/>
        <v>-115.00004212641215</v>
      </c>
      <c r="L35" s="277">
        <f t="shared" si="17"/>
        <v>-123.84153437150746</v>
      </c>
      <c r="M35" s="277">
        <f t="shared" si="17"/>
        <v>-131.88956641606674</v>
      </c>
      <c r="N35" s="277">
        <f t="shared" si="17"/>
        <v>-138.75652563606539</v>
      </c>
      <c r="O35" s="277">
        <f t="shared" si="17"/>
        <v>-145.2341159738738</v>
      </c>
      <c r="P35" s="277">
        <f t="shared" si="17"/>
        <v>-151.11743415794706</v>
      </c>
      <c r="Q35" s="277">
        <f t="shared" si="17"/>
        <v>-157.24920235236377</v>
      </c>
      <c r="R35" s="277">
        <f t="shared" si="17"/>
        <v>-163.64502342019551</v>
      </c>
      <c r="S35" s="277">
        <f t="shared" si="17"/>
        <v>-170.31766057067901</v>
      </c>
      <c r="T35" s="277">
        <f t="shared" si="17"/>
        <v>-177.28039742507377</v>
      </c>
    </row>
    <row r="36" spans="1:20">
      <c r="B36" s="68" t="s">
        <v>310</v>
      </c>
      <c r="C36" s="16">
        <f t="shared" ref="C36:R36" si="18">-C29*0.3</f>
        <v>-6.39</v>
      </c>
      <c r="D36" s="16">
        <f t="shared" si="18"/>
        <v>-5.3400000000000007</v>
      </c>
      <c r="E36" s="16">
        <f t="shared" si="18"/>
        <v>-1.7399999999999991</v>
      </c>
      <c r="F36" s="16">
        <f t="shared" si="18"/>
        <v>-2.0699999999999994</v>
      </c>
      <c r="G36" s="16">
        <f t="shared" si="18"/>
        <v>0</v>
      </c>
      <c r="H36" s="16">
        <f t="shared" si="18"/>
        <v>1.2900000000000011</v>
      </c>
      <c r="I36" s="16">
        <f t="shared" si="18"/>
        <v>-0.66000000000000081</v>
      </c>
      <c r="J36" s="277">
        <f t="shared" si="18"/>
        <v>-1.0802999999999996</v>
      </c>
      <c r="K36" s="277">
        <f t="shared" si="18"/>
        <v>-0.79967335401476303</v>
      </c>
      <c r="L36" s="277">
        <f t="shared" si="18"/>
        <v>-0.19867382996899891</v>
      </c>
      <c r="M36" s="277">
        <f t="shared" si="18"/>
        <v>0.41812834182968783</v>
      </c>
      <c r="N36" s="277">
        <f t="shared" si="18"/>
        <v>1.0837123934744533</v>
      </c>
      <c r="O36" s="277">
        <f t="shared" si="18"/>
        <v>1.8013786339959934</v>
      </c>
      <c r="P36" s="277">
        <f t="shared" si="18"/>
        <v>2.5940299133653788</v>
      </c>
      <c r="Q36" s="277">
        <f t="shared" si="18"/>
        <v>3.4262996659194838</v>
      </c>
      <c r="R36" s="277">
        <f t="shared" si="18"/>
        <v>4.3030889028626804</v>
      </c>
      <c r="S36" s="277">
        <f t="shared" ref="S36:T36" si="19">-S29*0.3</f>
        <v>5.2258323732545113</v>
      </c>
      <c r="T36" s="277">
        <f t="shared" si="19"/>
        <v>6.19589651845404</v>
      </c>
    </row>
    <row r="37" spans="1:20">
      <c r="B37" s="69" t="s">
        <v>308</v>
      </c>
      <c r="C37" s="76">
        <f>SUM(C27:C36)</f>
        <v>254.01</v>
      </c>
      <c r="D37" s="76">
        <f>SUM(D27:D36)</f>
        <v>257.06000000000012</v>
      </c>
      <c r="E37" s="76">
        <f>SUM(E27:E36)</f>
        <v>422.15999999999997</v>
      </c>
      <c r="F37" s="76">
        <f t="shared" ref="F37:R37" si="20">SUM(F27:F36)</f>
        <v>338.12999999999994</v>
      </c>
      <c r="G37" s="76">
        <f t="shared" si="20"/>
        <v>392.40000000000009</v>
      </c>
      <c r="H37" s="76">
        <f t="shared" si="20"/>
        <v>378.19</v>
      </c>
      <c r="I37" s="76">
        <f t="shared" si="20"/>
        <v>360.63999999999993</v>
      </c>
      <c r="J37" s="788">
        <f t="shared" si="20"/>
        <v>361.74892131357842</v>
      </c>
      <c r="K37" s="788">
        <f t="shared" si="20"/>
        <v>402.82027212700257</v>
      </c>
      <c r="L37" s="788">
        <f t="shared" si="20"/>
        <v>432.23753627022001</v>
      </c>
      <c r="M37" s="788">
        <f t="shared" si="20"/>
        <v>457.34629636235826</v>
      </c>
      <c r="N37" s="788">
        <f t="shared" si="20"/>
        <v>480.93750046880689</v>
      </c>
      <c r="O37" s="788">
        <f t="shared" si="20"/>
        <v>502.23404299650196</v>
      </c>
      <c r="P37" s="788">
        <f t="shared" si="20"/>
        <v>520.55615765635901</v>
      </c>
      <c r="Q37" s="788">
        <f t="shared" si="20"/>
        <v>539.52844376610051</v>
      </c>
      <c r="R37" s="788">
        <f t="shared" si="20"/>
        <v>559.1714964099375</v>
      </c>
      <c r="S37" s="788">
        <f t="shared" ref="S37:T37" si="21">SUM(S27:S36)</f>
        <v>579.50639963444712</v>
      </c>
      <c r="T37" s="788">
        <f t="shared" si="21"/>
        <v>600.55480268607835</v>
      </c>
    </row>
    <row r="38" spans="1:20">
      <c r="A38" s="4">
        <f>ROW(MODEL!B109)</f>
        <v>109</v>
      </c>
      <c r="B38" s="68" t="s">
        <v>306</v>
      </c>
      <c r="C38" s="16">
        <f t="shared" ref="C38:T38" si="22">INDEX(Model,$A38,C$24)</f>
        <v>1.7000000000000455</v>
      </c>
      <c r="D38" s="16">
        <f t="shared" si="22"/>
        <v>140.5</v>
      </c>
      <c r="E38" s="16">
        <f t="shared" si="22"/>
        <v>-48.100000000000023</v>
      </c>
      <c r="F38" s="16">
        <f t="shared" si="22"/>
        <v>-252.5</v>
      </c>
      <c r="G38" s="16">
        <f t="shared" si="22"/>
        <v>67.399999999999977</v>
      </c>
      <c r="H38" s="16">
        <f t="shared" si="22"/>
        <v>-0.80000000000006821</v>
      </c>
      <c r="I38" s="16">
        <f t="shared" si="22"/>
        <v>-70.799999999999955</v>
      </c>
      <c r="J38" s="277">
        <f t="shared" si="22"/>
        <v>21.709571919022181</v>
      </c>
      <c r="K38" s="277">
        <f t="shared" si="22"/>
        <v>-11.130460468965993</v>
      </c>
      <c r="L38" s="277">
        <f t="shared" si="22"/>
        <v>-10.948271318901249</v>
      </c>
      <c r="M38" s="277">
        <f t="shared" si="22"/>
        <v>-10.762787861173763</v>
      </c>
      <c r="N38" s="277">
        <f t="shared" si="22"/>
        <v>-10.343046932538726</v>
      </c>
      <c r="O38" s="277">
        <f t="shared" si="22"/>
        <v>-9.7551751475374431</v>
      </c>
      <c r="P38" s="277">
        <f t="shared" si="22"/>
        <v>-9.1494996865088751</v>
      </c>
      <c r="Q38" s="277">
        <f t="shared" si="22"/>
        <v>-9.4565115668953013</v>
      </c>
      <c r="R38" s="277">
        <f t="shared" si="22"/>
        <v>-9.773861295964025</v>
      </c>
      <c r="S38" s="277">
        <f t="shared" si="22"/>
        <v>-10.101896802791771</v>
      </c>
      <c r="T38" s="277">
        <f t="shared" si="22"/>
        <v>-10.440977696080722</v>
      </c>
    </row>
    <row r="39" spans="1:20">
      <c r="B39" s="68"/>
    </row>
    <row r="40" spans="1:20">
      <c r="B40" s="69" t="s">
        <v>312</v>
      </c>
    </row>
    <row r="41" spans="1:20">
      <c r="A41" s="4">
        <f>ROW(MODEL!B116)</f>
        <v>116</v>
      </c>
      <c r="B41" s="68" t="s">
        <v>313</v>
      </c>
      <c r="C41" s="16">
        <f t="shared" ref="C41:T44" si="23">INDEX(Model,$A41,C$24)</f>
        <v>0</v>
      </c>
      <c r="D41" s="16">
        <f t="shared" si="23"/>
        <v>0</v>
      </c>
      <c r="E41" s="16">
        <f t="shared" si="23"/>
        <v>0</v>
      </c>
      <c r="F41" s="16">
        <f t="shared" si="23"/>
        <v>0</v>
      </c>
      <c r="G41" s="16">
        <f t="shared" si="23"/>
        <v>0</v>
      </c>
      <c r="H41" s="16">
        <f t="shared" si="23"/>
        <v>0</v>
      </c>
      <c r="I41" s="16">
        <f t="shared" si="23"/>
        <v>0</v>
      </c>
      <c r="J41" s="277">
        <f t="shared" si="23"/>
        <v>0</v>
      </c>
      <c r="K41" s="277">
        <f t="shared" si="23"/>
        <v>0</v>
      </c>
      <c r="L41" s="277">
        <f t="shared" si="23"/>
        <v>0</v>
      </c>
      <c r="M41" s="277">
        <f t="shared" si="23"/>
        <v>0</v>
      </c>
      <c r="N41" s="277">
        <f t="shared" si="23"/>
        <v>0</v>
      </c>
      <c r="O41" s="277">
        <f t="shared" si="23"/>
        <v>0</v>
      </c>
      <c r="P41" s="277">
        <f t="shared" si="23"/>
        <v>0</v>
      </c>
      <c r="Q41" s="277">
        <f t="shared" si="23"/>
        <v>0</v>
      </c>
      <c r="R41" s="277">
        <f t="shared" si="23"/>
        <v>0</v>
      </c>
      <c r="S41" s="277">
        <f t="shared" si="23"/>
        <v>0</v>
      </c>
      <c r="T41" s="277">
        <f t="shared" si="23"/>
        <v>0</v>
      </c>
    </row>
    <row r="42" spans="1:20">
      <c r="A42" s="4">
        <f>ROW(MODEL!B115)</f>
        <v>115</v>
      </c>
      <c r="B42" s="68" t="s">
        <v>314</v>
      </c>
      <c r="C42" s="16">
        <f t="shared" si="23"/>
        <v>0</v>
      </c>
      <c r="D42" s="16">
        <f t="shared" si="23"/>
        <v>0</v>
      </c>
      <c r="E42" s="16">
        <f t="shared" si="23"/>
        <v>0</v>
      </c>
      <c r="F42" s="16">
        <f t="shared" si="23"/>
        <v>0</v>
      </c>
      <c r="G42" s="16">
        <f t="shared" si="23"/>
        <v>0</v>
      </c>
      <c r="H42" s="16">
        <f t="shared" si="23"/>
        <v>0</v>
      </c>
      <c r="I42" s="16">
        <f t="shared" si="23"/>
        <v>0</v>
      </c>
      <c r="J42" s="277">
        <f t="shared" si="23"/>
        <v>0</v>
      </c>
      <c r="K42" s="277">
        <f t="shared" si="23"/>
        <v>0</v>
      </c>
      <c r="L42" s="277">
        <f t="shared" si="23"/>
        <v>0</v>
      </c>
      <c r="M42" s="277">
        <f t="shared" si="23"/>
        <v>0</v>
      </c>
      <c r="N42" s="277">
        <f t="shared" si="23"/>
        <v>0</v>
      </c>
      <c r="O42" s="277">
        <f t="shared" si="23"/>
        <v>0</v>
      </c>
      <c r="P42" s="277">
        <f t="shared" si="23"/>
        <v>0</v>
      </c>
      <c r="Q42" s="277">
        <f t="shared" si="23"/>
        <v>0</v>
      </c>
      <c r="R42" s="277">
        <f t="shared" si="23"/>
        <v>0</v>
      </c>
      <c r="S42" s="277">
        <f t="shared" si="23"/>
        <v>0</v>
      </c>
      <c r="T42" s="277">
        <f t="shared" si="23"/>
        <v>0</v>
      </c>
    </row>
    <row r="43" spans="1:20">
      <c r="A43" s="4">
        <f>ROW(MODEL!B113)</f>
        <v>113</v>
      </c>
      <c r="B43" s="68" t="s">
        <v>307</v>
      </c>
      <c r="C43" s="16">
        <f t="shared" ref="C43:T43" si="24">INDEX(Model,$A43,C$24)</f>
        <v>-61.2</v>
      </c>
      <c r="D43" s="16">
        <f t="shared" si="24"/>
        <v>-39.799999999999997</v>
      </c>
      <c r="E43" s="16">
        <f t="shared" si="24"/>
        <v>-44.1</v>
      </c>
      <c r="F43" s="16">
        <f t="shared" si="24"/>
        <v>-58.8</v>
      </c>
      <c r="G43" s="16">
        <f t="shared" si="24"/>
        <v>-51.1</v>
      </c>
      <c r="H43" s="16">
        <f t="shared" si="24"/>
        <v>-71.599999999999994</v>
      </c>
      <c r="I43" s="16">
        <f t="shared" si="24"/>
        <v>-84.2</v>
      </c>
      <c r="J43" s="277">
        <f t="shared" si="24"/>
        <v>-92.406037361877779</v>
      </c>
      <c r="K43" s="277">
        <f t="shared" si="24"/>
        <v>-96.848562200800203</v>
      </c>
      <c r="L43" s="277">
        <f t="shared" si="24"/>
        <v>-101.18882652929169</v>
      </c>
      <c r="M43" s="277">
        <f t="shared" si="24"/>
        <v>-105.71535294236408</v>
      </c>
      <c r="N43" s="277">
        <f t="shared" si="24"/>
        <v>-110.06157694368449</v>
      </c>
      <c r="O43" s="277">
        <f t="shared" si="24"/>
        <v>-114.14720230972442</v>
      </c>
      <c r="P43" s="277">
        <f t="shared" si="24"/>
        <v>-117.91974963950237</v>
      </c>
      <c r="Q43" s="277">
        <f t="shared" si="24"/>
        <v>-121.81880221576554</v>
      </c>
      <c r="R43" s="277">
        <f t="shared" si="24"/>
        <v>-125.84863970352559</v>
      </c>
      <c r="S43" s="277">
        <f t="shared" si="24"/>
        <v>-130.01368708209463</v>
      </c>
      <c r="T43" s="277">
        <f t="shared" si="24"/>
        <v>-134.31851958077797</v>
      </c>
    </row>
    <row r="44" spans="1:20">
      <c r="A44" s="4">
        <f>ROW(MODEL!B114)</f>
        <v>114</v>
      </c>
      <c r="B44" s="68" t="s">
        <v>315</v>
      </c>
      <c r="C44" s="16">
        <f t="shared" si="23"/>
        <v>-28.6</v>
      </c>
      <c r="D44" s="16">
        <f t="shared" si="23"/>
        <v>-28</v>
      </c>
      <c r="E44" s="16">
        <f t="shared" si="23"/>
        <v>-40.9</v>
      </c>
      <c r="F44" s="16">
        <f t="shared" si="23"/>
        <v>-66.2</v>
      </c>
      <c r="G44" s="16">
        <f t="shared" si="23"/>
        <v>-57.4</v>
      </c>
      <c r="H44" s="16">
        <f t="shared" si="23"/>
        <v>-63.3</v>
      </c>
      <c r="I44" s="16">
        <f t="shared" si="23"/>
        <v>-81.2</v>
      </c>
      <c r="J44" s="277">
        <f t="shared" si="23"/>
        <v>-61.604024907918514</v>
      </c>
      <c r="K44" s="277">
        <f t="shared" si="23"/>
        <v>-64.565708133866806</v>
      </c>
      <c r="L44" s="277">
        <f t="shared" si="23"/>
        <v>-67.459217686194464</v>
      </c>
      <c r="M44" s="277">
        <f t="shared" si="23"/>
        <v>-70.476901961576047</v>
      </c>
      <c r="N44" s="277">
        <f t="shared" si="23"/>
        <v>-73.374384629123</v>
      </c>
      <c r="O44" s="277">
        <f t="shared" si="23"/>
        <v>-76.098134873149618</v>
      </c>
      <c r="P44" s="277">
        <f t="shared" si="23"/>
        <v>-78.613166426334928</v>
      </c>
      <c r="Q44" s="277">
        <f t="shared" si="23"/>
        <v>-81.212534810510363</v>
      </c>
      <c r="R44" s="277">
        <f t="shared" si="23"/>
        <v>-83.899093135683742</v>
      </c>
      <c r="S44" s="277">
        <f t="shared" si="23"/>
        <v>-86.675791388063089</v>
      </c>
      <c r="T44" s="277">
        <f t="shared" si="23"/>
        <v>-89.545679720518649</v>
      </c>
    </row>
    <row r="45" spans="1:20">
      <c r="B45" s="68" t="s">
        <v>316</v>
      </c>
    </row>
    <row r="46" spans="1:20">
      <c r="B46" s="68" t="s">
        <v>317</v>
      </c>
    </row>
    <row r="47" spans="1:20">
      <c r="B47" s="69" t="s">
        <v>318</v>
      </c>
      <c r="C47" s="76">
        <f t="shared" ref="C47:R47" si="25">SUM(C41:C46)</f>
        <v>-89.800000000000011</v>
      </c>
      <c r="D47" s="76">
        <f t="shared" si="25"/>
        <v>-67.8</v>
      </c>
      <c r="E47" s="76">
        <f t="shared" si="25"/>
        <v>-85</v>
      </c>
      <c r="F47" s="76">
        <f t="shared" si="25"/>
        <v>-125</v>
      </c>
      <c r="G47" s="76">
        <f t="shared" si="25"/>
        <v>-108.5</v>
      </c>
      <c r="H47" s="76">
        <f t="shared" si="25"/>
        <v>-134.89999999999998</v>
      </c>
      <c r="I47" s="76">
        <f t="shared" si="25"/>
        <v>-165.4</v>
      </c>
      <c r="J47" s="788">
        <f t="shared" si="25"/>
        <v>-154.01006226979629</v>
      </c>
      <c r="K47" s="788">
        <f t="shared" si="25"/>
        <v>-161.41427033466701</v>
      </c>
      <c r="L47" s="788">
        <f t="shared" si="25"/>
        <v>-168.64804421548615</v>
      </c>
      <c r="M47" s="788">
        <f t="shared" si="25"/>
        <v>-176.19225490394012</v>
      </c>
      <c r="N47" s="788">
        <f t="shared" si="25"/>
        <v>-183.43596157280749</v>
      </c>
      <c r="O47" s="788">
        <f t="shared" si="25"/>
        <v>-190.24533718287404</v>
      </c>
      <c r="P47" s="788">
        <f t="shared" si="25"/>
        <v>-196.5329160658373</v>
      </c>
      <c r="Q47" s="788">
        <f t="shared" si="25"/>
        <v>-203.03133702627591</v>
      </c>
      <c r="R47" s="788">
        <f t="shared" si="25"/>
        <v>-209.74773283920933</v>
      </c>
      <c r="S47" s="788">
        <f t="shared" ref="S47:T47" si="26">SUM(S41:S46)</f>
        <v>-216.68947847015772</v>
      </c>
      <c r="T47" s="788">
        <f t="shared" si="26"/>
        <v>-223.86419930129662</v>
      </c>
    </row>
    <row r="48" spans="1:20">
      <c r="B48" s="68"/>
    </row>
    <row r="49" spans="1:21">
      <c r="A49" s="4">
        <f>ROW(MODEL!B221)</f>
        <v>221</v>
      </c>
      <c r="B49" s="69" t="s">
        <v>319</v>
      </c>
      <c r="C49" s="76">
        <f t="shared" ref="C49:T49" si="27">C47+C38+C37</f>
        <v>165.91000000000003</v>
      </c>
      <c r="D49" s="76">
        <f t="shared" si="27"/>
        <v>329.7600000000001</v>
      </c>
      <c r="E49" s="76">
        <f t="shared" si="27"/>
        <v>289.05999999999995</v>
      </c>
      <c r="F49" s="76">
        <f t="shared" si="27"/>
        <v>-39.370000000000061</v>
      </c>
      <c r="G49" s="76">
        <f t="shared" si="27"/>
        <v>351.30000000000007</v>
      </c>
      <c r="H49" s="76">
        <f t="shared" si="27"/>
        <v>242.48999999999995</v>
      </c>
      <c r="I49" s="76">
        <f t="shared" si="27"/>
        <v>124.43999999999997</v>
      </c>
      <c r="J49" s="788">
        <f t="shared" si="27"/>
        <v>229.44843096280431</v>
      </c>
      <c r="K49" s="788">
        <f t="shared" si="27"/>
        <v>230.27554132336957</v>
      </c>
      <c r="L49" s="788">
        <f t="shared" si="27"/>
        <v>252.6412207358326</v>
      </c>
      <c r="M49" s="788">
        <f t="shared" si="27"/>
        <v>270.39125359724437</v>
      </c>
      <c r="N49" s="788">
        <f t="shared" si="27"/>
        <v>287.15849196346068</v>
      </c>
      <c r="O49" s="788">
        <f t="shared" si="27"/>
        <v>302.23353066609047</v>
      </c>
      <c r="P49" s="788">
        <f t="shared" si="27"/>
        <v>314.87374190401283</v>
      </c>
      <c r="Q49" s="788">
        <f t="shared" si="27"/>
        <v>327.04059517292933</v>
      </c>
      <c r="R49" s="788">
        <f t="shared" si="27"/>
        <v>339.64990227476414</v>
      </c>
      <c r="S49" s="788">
        <f t="shared" si="27"/>
        <v>352.71502436149763</v>
      </c>
      <c r="T49" s="788">
        <f t="shared" si="27"/>
        <v>366.24962568870103</v>
      </c>
    </row>
    <row r="50" spans="1:21">
      <c r="B50" s="70" t="s">
        <v>311</v>
      </c>
    </row>
    <row r="52" spans="1:21">
      <c r="B52" s="275" t="s">
        <v>1060</v>
      </c>
      <c r="C52" s="790"/>
      <c r="D52" s="790"/>
      <c r="E52" s="790"/>
      <c r="F52" s="790"/>
      <c r="G52" s="790"/>
      <c r="H52" s="790"/>
      <c r="I52" s="790"/>
      <c r="J52" s="791"/>
      <c r="K52" s="791"/>
      <c r="L52" s="791"/>
      <c r="M52" s="791"/>
      <c r="N52" s="791"/>
      <c r="O52" s="791"/>
      <c r="P52" s="791"/>
      <c r="Q52" s="791"/>
      <c r="R52" s="791"/>
      <c r="S52" s="791"/>
      <c r="T52" s="791"/>
      <c r="U52" s="391"/>
    </row>
    <row r="53" spans="1:21">
      <c r="B53" s="4" t="s">
        <v>534</v>
      </c>
      <c r="C53" s="16"/>
      <c r="D53" s="16"/>
      <c r="E53" s="16"/>
      <c r="F53" s="16"/>
      <c r="G53" s="16">
        <f>MODEL!W93</f>
        <v>103</v>
      </c>
      <c r="H53" s="16">
        <f>MODEL!Z93</f>
        <v>119</v>
      </c>
      <c r="I53" s="16">
        <f>MODEL!AC93</f>
        <v>96</v>
      </c>
      <c r="J53" s="277">
        <f>MODEL!AF93</f>
        <v>67.01179051389785</v>
      </c>
      <c r="K53" s="277">
        <f>MODEL!AI93</f>
        <v>78.682671776142328</v>
      </c>
      <c r="L53" s="277">
        <f>MODEL!AL93</f>
        <v>84.7319933195852</v>
      </c>
      <c r="M53" s="277">
        <f>MODEL!AO93</f>
        <v>90.238431857319398</v>
      </c>
      <c r="N53" s="277">
        <f>MODEL!AR93</f>
        <v>94.936784035428872</v>
      </c>
      <c r="O53" s="277">
        <f>MODEL!AU93</f>
        <v>99.368731233238037</v>
      </c>
      <c r="P53" s="277">
        <f>MODEL!AX93</f>
        <v>103.39407926853002</v>
      </c>
      <c r="Q53" s="277">
        <f>MODEL!BA93</f>
        <v>107.58941602952299</v>
      </c>
      <c r="R53" s="277">
        <f>MODEL!BD93</f>
        <v>111.96541694668755</v>
      </c>
      <c r="S53" s="277">
        <f>MODEL!BG93</f>
        <v>116.53081456815681</v>
      </c>
      <c r="T53" s="277">
        <f>MODEL!BJ93</f>
        <v>121.29469750635415</v>
      </c>
      <c r="U53" s="277">
        <f>T53</f>
        <v>121.29469750635415</v>
      </c>
    </row>
    <row r="54" spans="1:21">
      <c r="B54" s="4" t="s">
        <v>535</v>
      </c>
      <c r="C54" s="73"/>
      <c r="D54" s="73"/>
      <c r="E54" s="73"/>
      <c r="F54" s="73"/>
      <c r="G54" s="73">
        <v>1</v>
      </c>
      <c r="H54" s="73">
        <v>1</v>
      </c>
      <c r="I54" s="73">
        <v>1</v>
      </c>
      <c r="J54" s="789">
        <v>1</v>
      </c>
      <c r="K54" s="789">
        <v>1</v>
      </c>
      <c r="L54" s="789">
        <v>1</v>
      </c>
      <c r="M54" s="789">
        <v>1</v>
      </c>
      <c r="N54" s="789">
        <v>1</v>
      </c>
      <c r="O54" s="789">
        <v>1</v>
      </c>
      <c r="P54" s="789">
        <v>1</v>
      </c>
      <c r="Q54" s="789">
        <v>1</v>
      </c>
      <c r="R54" s="789">
        <v>1</v>
      </c>
      <c r="S54" s="789">
        <v>1</v>
      </c>
      <c r="T54" s="789">
        <v>1</v>
      </c>
      <c r="U54" s="789">
        <v>1</v>
      </c>
    </row>
    <row r="55" spans="1:21">
      <c r="B55" s="4" t="s">
        <v>536</v>
      </c>
      <c r="C55" s="16"/>
      <c r="D55" s="16"/>
      <c r="E55" s="16"/>
      <c r="F55" s="16"/>
      <c r="G55" s="16">
        <f t="shared" ref="G55:L55" si="28">G53/0.7*0.3*G54</f>
        <v>44.142857142857139</v>
      </c>
      <c r="H55" s="16">
        <f t="shared" si="28"/>
        <v>51</v>
      </c>
      <c r="I55" s="16">
        <f t="shared" si="28"/>
        <v>41.142857142857139</v>
      </c>
      <c r="J55" s="277">
        <f t="shared" si="28"/>
        <v>28.719338791670506</v>
      </c>
      <c r="K55" s="277">
        <f t="shared" si="28"/>
        <v>33.721145046918146</v>
      </c>
      <c r="L55" s="277">
        <f t="shared" si="28"/>
        <v>36.313711422679368</v>
      </c>
      <c r="M55" s="277">
        <f t="shared" ref="M55:R55" si="29">M53/0.7*0.3*M54</f>
        <v>38.67361365313689</v>
      </c>
      <c r="N55" s="277">
        <f t="shared" si="29"/>
        <v>40.687193158040941</v>
      </c>
      <c r="O55" s="277">
        <f t="shared" si="29"/>
        <v>42.586599099959159</v>
      </c>
      <c r="P55" s="277">
        <f t="shared" si="29"/>
        <v>44.311748257941439</v>
      </c>
      <c r="Q55" s="277">
        <f t="shared" si="29"/>
        <v>46.109749726938432</v>
      </c>
      <c r="R55" s="277">
        <f t="shared" si="29"/>
        <v>47.985178691437525</v>
      </c>
      <c r="S55" s="277">
        <f t="shared" ref="S55:T55" si="30">S53/0.7*0.3*S54</f>
        <v>49.941777672067211</v>
      </c>
      <c r="T55" s="277">
        <f t="shared" si="30"/>
        <v>51.983441788437496</v>
      </c>
      <c r="U55" s="277">
        <f>U53/0.7*0.3*U54</f>
        <v>51.983441788437496</v>
      </c>
    </row>
    <row r="56" spans="1:21">
      <c r="B56" s="4" t="s">
        <v>537</v>
      </c>
      <c r="C56" s="73"/>
      <c r="D56" s="127"/>
      <c r="E56" s="127"/>
      <c r="F56" s="127"/>
      <c r="G56" s="127">
        <v>0.25</v>
      </c>
      <c r="H56" s="73">
        <f t="shared" ref="H56:T56" si="31">G56</f>
        <v>0.25</v>
      </c>
      <c r="I56" s="73">
        <f t="shared" si="31"/>
        <v>0.25</v>
      </c>
      <c r="J56" s="789">
        <f t="shared" si="31"/>
        <v>0.25</v>
      </c>
      <c r="K56" s="789">
        <f t="shared" si="31"/>
        <v>0.25</v>
      </c>
      <c r="L56" s="789">
        <f t="shared" si="31"/>
        <v>0.25</v>
      </c>
      <c r="M56" s="789">
        <f t="shared" si="31"/>
        <v>0.25</v>
      </c>
      <c r="N56" s="789">
        <f t="shared" si="31"/>
        <v>0.25</v>
      </c>
      <c r="O56" s="789">
        <f t="shared" si="31"/>
        <v>0.25</v>
      </c>
      <c r="P56" s="789">
        <f t="shared" si="31"/>
        <v>0.25</v>
      </c>
      <c r="Q56" s="789">
        <f t="shared" si="31"/>
        <v>0.25</v>
      </c>
      <c r="R56" s="789">
        <f t="shared" si="31"/>
        <v>0.25</v>
      </c>
      <c r="S56" s="789">
        <f t="shared" si="31"/>
        <v>0.25</v>
      </c>
      <c r="T56" s="789">
        <f t="shared" si="31"/>
        <v>0.25</v>
      </c>
      <c r="U56" s="789">
        <f>L56</f>
        <v>0.25</v>
      </c>
    </row>
    <row r="57" spans="1:21">
      <c r="B57" s="4" t="s">
        <v>538</v>
      </c>
      <c r="C57" s="71"/>
      <c r="D57" s="71"/>
      <c r="E57" s="71"/>
      <c r="F57" s="71"/>
      <c r="G57" s="71"/>
      <c r="H57" s="71"/>
      <c r="I57" s="71"/>
      <c r="J57" s="786"/>
      <c r="K57" s="786">
        <f>(1+$I$5)^(($C$2-(J9))/365)</f>
        <v>0.90334236675700097</v>
      </c>
      <c r="L57" s="786">
        <f t="shared" ref="L57:T57" si="32">(1+$I$5)^(($C$2-(K9))/365)</f>
        <v>0.81602743157813995</v>
      </c>
      <c r="M57" s="786">
        <f t="shared" si="32"/>
        <v>0.73694688076179882</v>
      </c>
      <c r="N57" s="786">
        <f t="shared" si="32"/>
        <v>0.66571533944155259</v>
      </c>
      <c r="O57" s="786">
        <f t="shared" si="32"/>
        <v>0.60136887031757247</v>
      </c>
      <c r="P57" s="786">
        <f t="shared" si="32"/>
        <v>0.54324197860665979</v>
      </c>
      <c r="Q57" s="786">
        <f t="shared" si="32"/>
        <v>0.49059684287673433</v>
      </c>
      <c r="R57" s="786">
        <f t="shared" si="32"/>
        <v>0.44317691316778174</v>
      </c>
      <c r="S57" s="786">
        <f t="shared" si="32"/>
        <v>0.40034048163304581</v>
      </c>
      <c r="T57" s="786">
        <f t="shared" si="32"/>
        <v>0.36164451818703325</v>
      </c>
      <c r="U57" s="786">
        <f>T57/(I5-C6)</f>
        <v>4.6966820543770549</v>
      </c>
    </row>
    <row r="58" spans="1:21">
      <c r="B58" s="4" t="s">
        <v>539</v>
      </c>
      <c r="C58" s="16"/>
      <c r="D58" s="16"/>
      <c r="E58" s="16"/>
      <c r="F58" s="16"/>
      <c r="G58" s="16"/>
      <c r="H58" s="16"/>
      <c r="I58" s="16"/>
      <c r="J58" s="277"/>
      <c r="K58" s="277">
        <f t="shared" ref="K58:L58" si="33">K55*K56*K57</f>
        <v>7.6154347441097894</v>
      </c>
      <c r="L58" s="277">
        <f t="shared" si="33"/>
        <v>7.4082461658297021</v>
      </c>
      <c r="M58" s="277">
        <f t="shared" ref="M58:R58" si="34">M55*M56*M57</f>
        <v>7.1250997373665363</v>
      </c>
      <c r="N58" s="277">
        <f t="shared" si="34"/>
        <v>6.7715221510323103</v>
      </c>
      <c r="O58" s="277">
        <f t="shared" si="34"/>
        <v>6.4025637478524473</v>
      </c>
      <c r="P58" s="277">
        <f t="shared" si="34"/>
        <v>6.0180004497910797</v>
      </c>
      <c r="Q58" s="277">
        <f t="shared" si="34"/>
        <v>5.6553244104680891</v>
      </c>
      <c r="R58" s="277">
        <f t="shared" si="34"/>
        <v>5.3164808425689243</v>
      </c>
      <c r="S58" s="277">
        <f t="shared" ref="S58:T58" si="35">S55*S56*S57</f>
        <v>4.99842883171147</v>
      </c>
      <c r="T58" s="277">
        <f t="shared" si="35"/>
        <v>4.699881689820792</v>
      </c>
      <c r="U58" s="277">
        <f>U55*U56*U57</f>
        <v>61.037424543127166</v>
      </c>
    </row>
    <row r="59" spans="1:21">
      <c r="B59" s="4" t="s">
        <v>540</v>
      </c>
      <c r="U59" s="277">
        <f>SUM(C58:U58)/100</f>
        <v>1.230484073136783</v>
      </c>
    </row>
  </sheetData>
  <pageMargins left="0.7" right="0.7" top="0.75" bottom="0.75" header="0.3" footer="0.3"/>
  <pageSetup paperSize="9" orientation="portrait" r:id="rId1"/>
  <customProperties>
    <customPr name="Qube.Worksheet.ID" r:id="rId2"/>
    <customPr name="Qube.Worksheet.Visibility" r:id="rId3"/>
  </customProperties>
  <ignoredErrors>
    <ignoredError sqref="H9 C32:T3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D852F-119E-4A98-AD8E-FD4B41ACC6C1}">
  <sheetPr>
    <tabColor theme="5"/>
    <pageSetUpPr fitToPage="1"/>
  </sheetPr>
  <dimension ref="A1:BE70"/>
  <sheetViews>
    <sheetView showGridLines="0" topLeftCell="C1" zoomScale="85" zoomScaleNormal="85" workbookViewId="0">
      <selection activeCell="D3" sqref="D3:R70"/>
    </sheetView>
  </sheetViews>
  <sheetFormatPr defaultColWidth="6.85546875" defaultRowHeight="12.75" outlineLevelCol="1"/>
  <cols>
    <col min="1" max="1" width="6.85546875" style="724" hidden="1" customWidth="1" outlineLevel="1"/>
    <col min="2" max="2" width="7.28515625" style="724" hidden="1" customWidth="1" outlineLevel="1"/>
    <col min="3" max="3" width="3.5703125" style="724" customWidth="1" collapsed="1"/>
    <col min="4" max="4" width="18.85546875" style="724" customWidth="1"/>
    <col min="5" max="10" width="7.140625" style="724" customWidth="1"/>
    <col min="11" max="11" width="1.42578125" style="724" customWidth="1"/>
    <col min="12" max="12" width="18.85546875" style="724" customWidth="1"/>
    <col min="13" max="16" width="7.140625" style="724" customWidth="1"/>
    <col min="17" max="17" width="8.140625" style="724" customWidth="1"/>
    <col min="18" max="18" width="7.28515625" style="724" customWidth="1"/>
    <col min="19" max="19" width="3" style="724" customWidth="1"/>
    <col min="20" max="20" width="6.85546875" style="724"/>
    <col min="21" max="21" width="8" style="724" bestFit="1" customWidth="1"/>
    <col min="22" max="22" width="10.7109375" style="724" bestFit="1" customWidth="1"/>
    <col min="23" max="23" width="8.140625" style="724" bestFit="1" customWidth="1"/>
    <col min="24" max="24" width="12.5703125" style="724" bestFit="1" customWidth="1"/>
    <col min="25" max="55" width="6.85546875" style="724"/>
    <col min="56" max="57" width="7" style="724" bestFit="1" customWidth="1"/>
    <col min="58" max="16384" width="6.85546875" style="724"/>
  </cols>
  <sheetData>
    <row r="1" spans="1:24">
      <c r="F1" s="724">
        <v>26</v>
      </c>
      <c r="G1" s="724">
        <v>29</v>
      </c>
      <c r="H1" s="724">
        <v>32</v>
      </c>
      <c r="I1" s="724">
        <v>35</v>
      </c>
      <c r="J1" s="724">
        <v>38</v>
      </c>
      <c r="N1" s="724">
        <v>26</v>
      </c>
      <c r="O1" s="724">
        <v>29</v>
      </c>
      <c r="P1" s="724">
        <v>32</v>
      </c>
      <c r="Q1" s="724">
        <v>35</v>
      </c>
      <c r="R1" s="724">
        <v>38</v>
      </c>
    </row>
    <row r="3" spans="1:24">
      <c r="D3" s="725" t="s">
        <v>1052</v>
      </c>
      <c r="E3" s="725"/>
      <c r="F3" s="725"/>
      <c r="G3" s="725"/>
      <c r="H3" s="725"/>
      <c r="I3" s="725"/>
      <c r="J3" s="725"/>
      <c r="K3" s="725"/>
      <c r="L3" s="725"/>
      <c r="M3" s="725"/>
      <c r="N3" s="725"/>
      <c r="O3" s="725"/>
      <c r="P3" s="725"/>
      <c r="Q3" s="725"/>
      <c r="R3" s="726"/>
    </row>
    <row r="5" spans="1:24">
      <c r="D5" s="727" t="s">
        <v>1010</v>
      </c>
      <c r="E5" s="728"/>
      <c r="F5" s="728" t="s">
        <v>740</v>
      </c>
      <c r="G5" s="728" t="s">
        <v>913</v>
      </c>
      <c r="H5" s="728" t="s">
        <v>943</v>
      </c>
      <c r="I5" s="728" t="s">
        <v>983</v>
      </c>
      <c r="J5" s="728" t="s">
        <v>984</v>
      </c>
      <c r="L5" s="727" t="s">
        <v>1011</v>
      </c>
      <c r="M5" s="728"/>
      <c r="N5" s="728"/>
      <c r="O5" s="728"/>
      <c r="P5" s="728"/>
      <c r="Q5" s="728"/>
      <c r="R5" s="728"/>
    </row>
    <row r="6" spans="1:24">
      <c r="A6" s="724">
        <f>ROW(MODEL!A6)</f>
        <v>6</v>
      </c>
      <c r="D6" s="729" t="s">
        <v>38</v>
      </c>
      <c r="F6" s="729" cm="1">
        <f t="array" ref="F6">INDEX(MODEL!$1:$1048576,Summary!$A6,Summary!F$1)</f>
        <v>3882.8</v>
      </c>
      <c r="G6" s="729" cm="1">
        <f t="array" ref="G6">INDEX(MODEL!$1:$1048576,Summary!$A6,Summary!G$1)</f>
        <v>4074.9</v>
      </c>
      <c r="H6" s="729" cm="1">
        <f t="array" ref="H6">INDEX(MODEL!$1:$1048576,Summary!$A6,Summary!H$1)</f>
        <v>4278.0572852721198</v>
      </c>
      <c r="I6" s="729" cm="1">
        <f t="array" ref="I6">INDEX(MODEL!$1:$1048576,Summary!$A6,Summary!I$1)</f>
        <v>4496.2192293779117</v>
      </c>
      <c r="J6" s="729" cm="1">
        <f t="array" ref="J6">INDEX(MODEL!$1:$1048576,Summary!$A6,Summary!J$1)</f>
        <v>4710.8392238962624</v>
      </c>
      <c r="K6" s="729"/>
      <c r="L6" s="730" t="s">
        <v>1012</v>
      </c>
      <c r="M6" s="731" t="s">
        <v>1013</v>
      </c>
      <c r="N6" s="731" t="s">
        <v>1014</v>
      </c>
      <c r="O6" s="732" t="s">
        <v>1088</v>
      </c>
      <c r="R6" s="733" t="s">
        <v>275</v>
      </c>
    </row>
    <row r="7" spans="1:24">
      <c r="A7" s="724">
        <f>ROW(MODEL!A9)</f>
        <v>9</v>
      </c>
      <c r="D7" s="724" t="s">
        <v>820</v>
      </c>
      <c r="F7" s="734" cm="1">
        <f t="array" ref="F7">INDEX(MODEL!$1:$1048576,Summary!$A7,Summary!F$1)</f>
        <v>-2084.5</v>
      </c>
      <c r="G7" s="734" cm="1">
        <f t="array" ref="G7">INDEX(MODEL!$1:$1048576,Summary!$A7,Summary!G$1)</f>
        <v>-2212.6999999999998</v>
      </c>
      <c r="H7" s="734" cm="1">
        <f t="array" ref="H7">INDEX(MODEL!$1:$1048576,Summary!$A7,Summary!H$1)</f>
        <v>-2320.3781280413914</v>
      </c>
      <c r="I7" s="734" cm="1">
        <f t="array" ref="I7">INDEX(MODEL!$1:$1048576,Summary!$A7,Summary!I$1)</f>
        <v>-2437.339376922755</v>
      </c>
      <c r="J7" s="734" cm="1">
        <f t="array" ref="J7">INDEX(MODEL!$1:$1048576,Summary!$A7,Summary!J$1)</f>
        <v>-2552.3904457937215</v>
      </c>
      <c r="L7" s="724" t="s">
        <v>271</v>
      </c>
      <c r="M7" s="735">
        <v>0.5</v>
      </c>
      <c r="N7" s="1394">
        <f>Valuation!I25</f>
        <v>19.5</v>
      </c>
      <c r="O7" s="737" t="s">
        <v>231</v>
      </c>
      <c r="P7" s="730"/>
      <c r="R7" s="736">
        <f>Valuation!I34</f>
        <v>16.47</v>
      </c>
      <c r="U7" s="738"/>
    </row>
    <row r="8" spans="1:24">
      <c r="A8" s="724">
        <f>ROW(MODEL!A10)</f>
        <v>10</v>
      </c>
      <c r="D8" s="739" t="s">
        <v>155</v>
      </c>
      <c r="F8" s="734" cm="1">
        <f t="array" ref="F8">INDEX(MODEL!$1:$1048576,Summary!$A8,Summary!F$1)</f>
        <v>1798.3000000000002</v>
      </c>
      <c r="G8" s="734" cm="1">
        <f t="array" ref="G8">INDEX(MODEL!$1:$1048576,Summary!$A8,Summary!G$1)</f>
        <v>1862.2000000000003</v>
      </c>
      <c r="H8" s="734" cm="1">
        <f t="array" ref="H8">INDEX(MODEL!$1:$1048576,Summary!$A8,Summary!H$1)</f>
        <v>1957.6791572307284</v>
      </c>
      <c r="I8" s="734" cm="1">
        <f t="array" ref="I8">INDEX(MODEL!$1:$1048576,Summary!$A8,Summary!I$1)</f>
        <v>2058.8798524551567</v>
      </c>
      <c r="J8" s="734" cm="1">
        <f t="array" ref="J8">INDEX(MODEL!$1:$1048576,Summary!$A8,Summary!J$1)</f>
        <v>2158.4487781025409</v>
      </c>
      <c r="L8" s="724" t="s">
        <v>1015</v>
      </c>
      <c r="M8" s="735">
        <v>0.5</v>
      </c>
      <c r="N8" s="1394">
        <f>Valuation!I20</f>
        <v>17</v>
      </c>
      <c r="T8" s="738"/>
    </row>
    <row r="9" spans="1:24">
      <c r="A9" s="724">
        <f>ROW(MODEL!A25)</f>
        <v>25</v>
      </c>
      <c r="D9" s="734" t="s">
        <v>66</v>
      </c>
      <c r="F9" s="734" cm="1">
        <f t="array" ref="F9">INDEX(MODEL!$1:$1048576,Summary!$A9,Summary!F$1)</f>
        <v>730.4</v>
      </c>
      <c r="G9" s="734" cm="1">
        <f t="array" ref="G9">INDEX(MODEL!$1:$1048576,Summary!$A9,Summary!G$1)</f>
        <v>754.7</v>
      </c>
      <c r="H9" s="734" cm="1">
        <f t="array" ref="H9">INDEX(MODEL!$1:$1048576,Summary!$A9,Summary!H$1)</f>
        <v>774.52048176438882</v>
      </c>
      <c r="I9" s="734" cm="1">
        <f t="array" ref="I9">INDEX(MODEL!$1:$1048576,Summary!$A9,Summary!I$1)</f>
        <v>848.05643760742953</v>
      </c>
      <c r="J9" s="734" cm="1">
        <f t="array" ref="J9">INDEX(MODEL!$1:$1048576,Summary!$A9,Summary!J$1)</f>
        <v>895.59728797169657</v>
      </c>
      <c r="L9" s="730" t="s">
        <v>1016</v>
      </c>
      <c r="M9" s="742"/>
      <c r="N9" s="1395">
        <f>Valuation!I32</f>
        <v>18.3</v>
      </c>
      <c r="O9" s="740" t="s">
        <v>266</v>
      </c>
      <c r="R9" s="741">
        <f>N9</f>
        <v>18.3</v>
      </c>
      <c r="U9" s="738"/>
    </row>
    <row r="10" spans="1:24">
      <c r="A10" s="724">
        <f>ROW(MODEL!A29)</f>
        <v>29</v>
      </c>
      <c r="D10" s="730" t="s">
        <v>39</v>
      </c>
      <c r="F10" s="734" cm="1">
        <f t="array" ref="F10">INDEX(MODEL!$1:$1048576,Summary!$A10,Summary!F$1)</f>
        <v>-338.20000000000005</v>
      </c>
      <c r="G10" s="734" cm="1">
        <f t="array" ref="G10">INDEX(MODEL!$1:$1048576,Summary!$A10,Summary!G$1)</f>
        <v>-358.3</v>
      </c>
      <c r="H10" s="734" cm="1">
        <f t="array" ref="H10">INDEX(MODEL!$1:$1048576,Summary!$A10,Summary!H$1)</f>
        <v>-373.44018184174001</v>
      </c>
      <c r="I10" s="734" cm="1">
        <f t="array" ref="I10">INDEX(MODEL!$1:$1048576,Summary!$A10,Summary!I$1)</f>
        <v>-391.04825926235139</v>
      </c>
      <c r="J10" s="734" cm="1">
        <f t="array" ref="J10">INDEX(MODEL!$1:$1048576,Summary!$A10,Summary!J$1)</f>
        <v>-409.34546966712969</v>
      </c>
      <c r="O10" s="737" t="s">
        <v>1017</v>
      </c>
      <c r="R10" s="743">
        <f>R9/R7-1</f>
        <v>0.11111111111111116</v>
      </c>
    </row>
    <row r="11" spans="1:24">
      <c r="A11" s="724">
        <f>ROW(MODEL!A31)</f>
        <v>31</v>
      </c>
      <c r="D11" s="724" t="s">
        <v>1018</v>
      </c>
      <c r="E11" s="730"/>
      <c r="F11" s="734" cm="1">
        <f t="array" ref="F11">INDEX(MODEL!$1:$1048576,Summary!$A11,Summary!F$1)</f>
        <v>392.2</v>
      </c>
      <c r="G11" s="734" cm="1">
        <f t="array" ref="G11">INDEX(MODEL!$1:$1048576,Summary!$A11,Summary!G$1)</f>
        <v>396.4</v>
      </c>
      <c r="H11" s="734" cm="1">
        <f t="array" ref="H11">INDEX(MODEL!$1:$1048576,Summary!$A11,Summary!H$1)</f>
        <v>401.08029992264881</v>
      </c>
      <c r="I11" s="734" cm="1">
        <f t="array" ref="I11">INDEX(MODEL!$1:$1048576,Summary!$A11,Summary!I$1)</f>
        <v>457.00817834507814</v>
      </c>
      <c r="J11" s="734" cm="1">
        <f t="array" ref="J11">INDEX(MODEL!$1:$1048576,Summary!$A11,Summary!J$1)</f>
        <v>486.25181830456688</v>
      </c>
      <c r="L11" s="744" t="s">
        <v>1019</v>
      </c>
      <c r="W11" s="730" t="s">
        <v>853</v>
      </c>
      <c r="X11" s="730" t="s">
        <v>1055</v>
      </c>
    </row>
    <row r="12" spans="1:24">
      <c r="F12" s="734"/>
      <c r="G12" s="734"/>
      <c r="H12" s="734"/>
      <c r="I12" s="734"/>
      <c r="J12" s="734"/>
      <c r="L12" s="745" t="s">
        <v>1020</v>
      </c>
      <c r="N12" s="746">
        <f>DCF!C6</f>
        <v>0.03</v>
      </c>
      <c r="O12" s="740" t="s">
        <v>1021</v>
      </c>
      <c r="U12" s="738" t="s">
        <v>1022</v>
      </c>
      <c r="W12" s="748">
        <f>MODEL!AC88</f>
        <v>227.61278200000001</v>
      </c>
      <c r="X12" s="748">
        <f>W12</f>
        <v>227.61278200000001</v>
      </c>
    </row>
    <row r="13" spans="1:24">
      <c r="A13" s="724">
        <f>ROW(MODEL!A37)</f>
        <v>37</v>
      </c>
      <c r="D13" s="739" t="s">
        <v>141</v>
      </c>
      <c r="F13" s="734" cm="1">
        <f t="array" ref="F13">INDEX(MODEL!$1:$1048576,Summary!$A13,Summary!F$1)</f>
        <v>-49.599999999999994</v>
      </c>
      <c r="G13" s="734" cm="1">
        <f t="array" ref="G13">INDEX(MODEL!$1:$1048576,Summary!$A13,Summary!G$1)</f>
        <v>-67</v>
      </c>
      <c r="H13" s="734" cm="1">
        <f t="array" ref="H13">INDEX(MODEL!$1:$1048576,Summary!$A13,Summary!H$1)</f>
        <v>-68.480500000000006</v>
      </c>
      <c r="I13" s="734" cm="1">
        <f t="array" ref="I13">INDEX(MODEL!$1:$1048576,Summary!$A13,Summary!I$1)</f>
        <v>-66.482262093117669</v>
      </c>
      <c r="J13" s="734" cm="1">
        <f t="array" ref="J13">INDEX(MODEL!$1:$1048576,Summary!$A13,Summary!J$1)</f>
        <v>-65.701288181117832</v>
      </c>
      <c r="L13" s="745" t="s">
        <v>1023</v>
      </c>
      <c r="N13" s="747" t="s">
        <v>1024</v>
      </c>
      <c r="O13" s="737" t="s">
        <v>1025</v>
      </c>
      <c r="R13" s="748">
        <f>W12</f>
        <v>227.61278200000001</v>
      </c>
      <c r="U13" s="724" t="s">
        <v>1026</v>
      </c>
      <c r="W13" s="734">
        <f>W12*R7</f>
        <v>3748.7825195400001</v>
      </c>
      <c r="X13" s="734">
        <f>X12*N9</f>
        <v>4165.3139106000008</v>
      </c>
    </row>
    <row r="14" spans="1:24">
      <c r="A14" s="724">
        <f>ROW(MODEL!A39)</f>
        <v>39</v>
      </c>
      <c r="D14" s="749" t="s">
        <v>1027</v>
      </c>
      <c r="F14" s="734" cm="1">
        <f t="array" ref="F14">INDEX(MODEL!$1:$1048576,Summary!$A14,Summary!F$1)</f>
        <v>342.6</v>
      </c>
      <c r="G14" s="734" cm="1">
        <f t="array" ref="G14">INDEX(MODEL!$1:$1048576,Summary!$A14,Summary!G$1)</f>
        <v>329.4</v>
      </c>
      <c r="H14" s="734" cm="1">
        <f t="array" ref="H14">INDEX(MODEL!$1:$1048576,Summary!$A14,Summary!H$1)</f>
        <v>332.5997999226488</v>
      </c>
      <c r="I14" s="734" cm="1">
        <f t="array" ref="I14">INDEX(MODEL!$1:$1048576,Summary!$A14,Summary!I$1)</f>
        <v>390.52591625196044</v>
      </c>
      <c r="J14" s="734" cm="1">
        <f t="array" ref="J14">INDEX(MODEL!$1:$1048576,Summary!$A14,Summary!J$1)</f>
        <v>420.55053012344905</v>
      </c>
      <c r="L14" s="745" t="s">
        <v>1028</v>
      </c>
      <c r="N14" s="750">
        <f>Valuation!E25</f>
        <v>1.2</v>
      </c>
      <c r="O14" s="737" t="s">
        <v>1029</v>
      </c>
      <c r="R14" s="734">
        <f>W13</f>
        <v>3748.7825195400001</v>
      </c>
      <c r="U14" s="724" t="s">
        <v>32</v>
      </c>
      <c r="W14" s="1325">
        <f>W13+P66</f>
        <v>3654.4017810971959</v>
      </c>
      <c r="X14" s="1325">
        <f>Valuation!I17</f>
        <v>3831.1024238525624</v>
      </c>
    </row>
    <row r="15" spans="1:24">
      <c r="D15" s="739"/>
      <c r="F15" s="751"/>
      <c r="G15" s="751"/>
      <c r="H15" s="751"/>
      <c r="I15" s="751"/>
      <c r="J15" s="751"/>
      <c r="L15" s="745" t="s">
        <v>273</v>
      </c>
      <c r="N15" s="752">
        <f>Valuation!H25</f>
        <v>9.9449999999999997E-2</v>
      </c>
      <c r="O15" s="737" t="s">
        <v>1030</v>
      </c>
      <c r="R15" s="734">
        <f>W14</f>
        <v>3654.4017810971959</v>
      </c>
    </row>
    <row r="16" spans="1:24">
      <c r="A16" s="724">
        <f>ROW(MODEL!A41)</f>
        <v>41</v>
      </c>
      <c r="D16" s="739" t="s">
        <v>1031</v>
      </c>
      <c r="F16" s="734" cm="1">
        <f t="array" ref="F16">INDEX(MODEL!$1:$1048576,Summary!$A16,Summary!F$1)</f>
        <v>-100.5</v>
      </c>
      <c r="G16" s="734" cm="1">
        <f t="array" ref="G16">INDEX(MODEL!$1:$1048576,Summary!$A16,Summary!G$1)</f>
        <v>-97</v>
      </c>
      <c r="H16" s="734" cm="1">
        <f t="array" ref="H16">INDEX(MODEL!$1:$1048576,Summary!$A16,Summary!H$1)</f>
        <v>-97.942260450810366</v>
      </c>
      <c r="I16" s="734" cm="1">
        <f t="array" ref="I16">INDEX(MODEL!$1:$1048576,Summary!$A16,Summary!I$1)</f>
        <v>-115.00004212641215</v>
      </c>
      <c r="J16" s="734" cm="1">
        <f t="array" ref="J16">INDEX(MODEL!$1:$1048576,Summary!$A16,Summary!J$1)</f>
        <v>-123.84153437150746</v>
      </c>
      <c r="U16" s="753"/>
      <c r="V16" s="753"/>
      <c r="W16" s="753"/>
      <c r="X16" s="753"/>
    </row>
    <row r="17" spans="1:57">
      <c r="A17" s="724">
        <f>ROW(MODEL!A43)</f>
        <v>43</v>
      </c>
      <c r="D17" s="729" t="s">
        <v>1032</v>
      </c>
      <c r="F17" s="729" cm="1">
        <f t="array" ref="F17">INDEX(MODEL!$1:$1048576,Summary!$A17,Summary!F$1)</f>
        <v>242.10000000000002</v>
      </c>
      <c r="G17" s="729" cm="1">
        <f t="array" ref="G17">INDEX(MODEL!$1:$1048576,Summary!$A17,Summary!G$1)</f>
        <v>232.39999999999998</v>
      </c>
      <c r="H17" s="729" cm="1">
        <f t="array" ref="H17">INDEX(MODEL!$1:$1048576,Summary!$A17,Summary!H$1)</f>
        <v>234.65753947183845</v>
      </c>
      <c r="I17" s="729" cm="1">
        <f t="array" ref="I17">INDEX(MODEL!$1:$1048576,Summary!$A17,Summary!I$1)</f>
        <v>275.52587412554828</v>
      </c>
      <c r="J17" s="729" cm="1">
        <f t="array" ref="J17">INDEX(MODEL!$1:$1048576,Summary!$A17,Summary!J$1)</f>
        <v>296.70899575194159</v>
      </c>
      <c r="L17" s="727" t="s">
        <v>1033</v>
      </c>
      <c r="M17" s="728"/>
      <c r="N17" s="728" t="s">
        <v>740</v>
      </c>
      <c r="O17" s="728" t="s">
        <v>913</v>
      </c>
      <c r="P17" s="728" t="s">
        <v>943</v>
      </c>
      <c r="Q17" s="728" t="s">
        <v>983</v>
      </c>
      <c r="R17" s="728" t="s">
        <v>984</v>
      </c>
      <c r="U17" s="753"/>
      <c r="V17" s="753"/>
      <c r="W17" s="753"/>
      <c r="X17" s="753"/>
    </row>
    <row r="18" spans="1:57">
      <c r="F18" s="734"/>
      <c r="G18" s="734"/>
      <c r="H18" s="734"/>
      <c r="I18" s="734"/>
      <c r="J18" s="734"/>
      <c r="L18" s="754">
        <f>R7</f>
        <v>16.47</v>
      </c>
      <c r="U18" s="753"/>
      <c r="V18" s="753"/>
      <c r="W18" s="753"/>
      <c r="X18" s="753"/>
    </row>
    <row r="19" spans="1:57">
      <c r="A19" s="724">
        <f>ROW(MODEL!A83)</f>
        <v>83</v>
      </c>
      <c r="D19" s="730" t="s">
        <v>1034</v>
      </c>
      <c r="F19" s="734" cm="1">
        <f t="array" ref="F19">INDEX(MODEL!$1:$1048576,Summary!$A19,Summary!F$1)</f>
        <v>106.32056025311468</v>
      </c>
      <c r="G19" s="734" cm="1">
        <f t="array" ref="G19">INDEX(MODEL!$1:$1048576,Summary!$A19,Summary!G$1)</f>
        <v>98.216994019745229</v>
      </c>
      <c r="H19" s="734" cm="1">
        <f t="array" ref="H19">INDEX(MODEL!$1:$1048576,Summary!$A19,Summary!H$1)</f>
        <v>103.91054170871816</v>
      </c>
      <c r="I19" s="734" cm="1">
        <f t="array" ref="I19">INDEX(MODEL!$1:$1048576,Summary!$A19,Summary!I$1)</f>
        <v>122.00776885155121</v>
      </c>
      <c r="J19" s="734" cm="1">
        <f t="array" ref="J19">INDEX(MODEL!$1:$1048576,Summary!$A19,Summary!J$1)</f>
        <v>131.3880327383817</v>
      </c>
      <c r="L19" s="745" t="s">
        <v>1036</v>
      </c>
      <c r="N19" s="755">
        <f>$R$7/F19*100</f>
        <v>15.49088902540608</v>
      </c>
      <c r="O19" s="755">
        <f>$R$7/G19*100</f>
        <v>16.768992132551848</v>
      </c>
      <c r="P19" s="755">
        <f>$R$7/H19*100</f>
        <v>15.850172397492329</v>
      </c>
      <c r="Q19" s="755">
        <f>$R$7/I19*100</f>
        <v>13.499140386739889</v>
      </c>
      <c r="R19" s="755">
        <f>$R$7/J19*100</f>
        <v>12.535388236457479</v>
      </c>
      <c r="U19" s="753"/>
      <c r="V19" s="753"/>
      <c r="W19" s="753"/>
      <c r="X19" s="753"/>
    </row>
    <row r="20" spans="1:57">
      <c r="A20" s="724">
        <f>ROW(MODEL!A93)</f>
        <v>93</v>
      </c>
      <c r="D20" s="745" t="s">
        <v>1035</v>
      </c>
      <c r="F20" s="734" cm="1">
        <f t="array" ref="F20">INDEX(MODEL!$1:$1048576,Summary!$A20,Summary!F$1)</f>
        <v>119</v>
      </c>
      <c r="G20" s="734" cm="1">
        <f t="array" ref="G20">INDEX(MODEL!$1:$1048576,Summary!$A20,Summary!G$1)</f>
        <v>96</v>
      </c>
      <c r="H20" s="734" cm="1">
        <f t="array" ref="H20">INDEX(MODEL!$1:$1048576,Summary!$A20,Summary!H$1)</f>
        <v>67.01179051389785</v>
      </c>
      <c r="I20" s="734" cm="1">
        <f t="array" ref="I20">INDEX(MODEL!$1:$1048576,Summary!$A20,Summary!I$1)</f>
        <v>78.682671776142328</v>
      </c>
      <c r="J20" s="734" cm="1">
        <f t="array" ref="J20">INDEX(MODEL!$1:$1048576,Summary!$A20,Summary!J$1)</f>
        <v>84.7319933195852</v>
      </c>
      <c r="L20" s="745" t="s">
        <v>28</v>
      </c>
      <c r="N20" s="755">
        <f>$R$15/F11</f>
        <v>9.3176995948424164</v>
      </c>
      <c r="O20" s="755">
        <f>$R$15/G11</f>
        <v>9.2189752298112921</v>
      </c>
      <c r="P20" s="755">
        <f>$R$15/H11</f>
        <v>9.1113968494637447</v>
      </c>
      <c r="Q20" s="755">
        <f>$R$15/I11</f>
        <v>7.9963597026437174</v>
      </c>
      <c r="R20" s="755">
        <f>$R$15/J11</f>
        <v>7.5154511377235371</v>
      </c>
      <c r="U20" s="753"/>
      <c r="V20" s="753"/>
      <c r="W20" s="753"/>
      <c r="X20" s="753"/>
    </row>
    <row r="21" spans="1:57">
      <c r="E21" s="730"/>
      <c r="F21" s="729"/>
      <c r="G21" s="729"/>
      <c r="H21" s="729"/>
      <c r="I21" s="729"/>
      <c r="J21" s="729"/>
      <c r="L21" s="745" t="s">
        <v>69</v>
      </c>
      <c r="N21" s="755">
        <f>$R$15/F9</f>
        <v>5.0032883092787461</v>
      </c>
      <c r="O21" s="755">
        <f>$R$15/G9</f>
        <v>4.8421913092582427</v>
      </c>
      <c r="P21" s="755">
        <f>$R$15/H9</f>
        <v>4.7182764912456818</v>
      </c>
      <c r="Q21" s="755">
        <f>$R$15/I9</f>
        <v>4.309149272431843</v>
      </c>
      <c r="R21" s="755">
        <f>$R$15/J9</f>
        <v>4.0804073774871519</v>
      </c>
      <c r="U21" s="753"/>
      <c r="V21" s="753"/>
      <c r="W21" s="753"/>
      <c r="X21" s="753"/>
    </row>
    <row r="22" spans="1:57">
      <c r="D22" s="727" t="s">
        <v>1037</v>
      </c>
      <c r="E22" s="728"/>
      <c r="F22" s="728" t="s">
        <v>740</v>
      </c>
      <c r="G22" s="728" t="s">
        <v>913</v>
      </c>
      <c r="H22" s="728" t="s">
        <v>943</v>
      </c>
      <c r="I22" s="728" t="s">
        <v>983</v>
      </c>
      <c r="J22" s="728" t="s">
        <v>984</v>
      </c>
      <c r="L22" s="745" t="s">
        <v>227</v>
      </c>
      <c r="N22" s="757">
        <f>F40/$R$15</f>
        <v>6.7179257975922724E-2</v>
      </c>
      <c r="O22" s="757">
        <f>G40/$R$15</f>
        <v>3.0730063831756083E-2</v>
      </c>
      <c r="P22" s="757">
        <f>H40/$R$15</f>
        <v>6.2097094013201688E-2</v>
      </c>
      <c r="Q22" s="757">
        <f>I40/$R$15</f>
        <v>6.250260658588308E-2</v>
      </c>
      <c r="R22" s="757">
        <f>J40/$R$15</f>
        <v>6.9006547055204023E-2</v>
      </c>
      <c r="U22" s="753"/>
      <c r="V22" s="753"/>
      <c r="W22" s="753"/>
      <c r="X22" s="753"/>
    </row>
    <row r="23" spans="1:57">
      <c r="A23" s="724">
        <f>ROW(MODEL!A105)</f>
        <v>105</v>
      </c>
      <c r="D23" s="756" t="s">
        <v>889</v>
      </c>
      <c r="F23" s="734" cm="1">
        <f t="array" ref="F23">INDEX(MODEL!$1:$1048576,Summary!$A23,Summary!F$1)</f>
        <v>342.6</v>
      </c>
      <c r="G23" s="734" cm="1">
        <f t="array" ref="G23">INDEX(MODEL!$1:$1048576,Summary!$A23,Summary!G$1)</f>
        <v>318.79999999999995</v>
      </c>
      <c r="H23" s="734" cm="1">
        <f t="array" ref="H23">INDEX(MODEL!$1:$1048576,Summary!$A23,Summary!H$1)</f>
        <v>332.5997999226488</v>
      </c>
      <c r="I23" s="734" cm="1">
        <f t="array" ref="I23">INDEX(MODEL!$1:$1048576,Summary!$A23,Summary!I$1)</f>
        <v>390.52591625196044</v>
      </c>
      <c r="J23" s="734" cm="1">
        <f t="array" ref="J23">INDEX(MODEL!$1:$1048576,Summary!$A23,Summary!J$1)</f>
        <v>420.55053012344905</v>
      </c>
      <c r="U23" s="753"/>
      <c r="V23" s="753"/>
      <c r="W23" s="753"/>
      <c r="X23" s="753"/>
    </row>
    <row r="24" spans="1:57">
      <c r="A24" s="724">
        <f>ROW(MODEL!A106)</f>
        <v>106</v>
      </c>
      <c r="D24" s="756" t="s">
        <v>39</v>
      </c>
      <c r="F24" s="734" cm="1">
        <f t="array" ref="F24">INDEX(MODEL!$1:$1048576,Summary!$A24,Summary!F$1)</f>
        <v>338.20000000000005</v>
      </c>
      <c r="G24" s="734" cm="1">
        <f t="array" ref="G24">INDEX(MODEL!$1:$1048576,Summary!$A24,Summary!G$1)</f>
        <v>358.3</v>
      </c>
      <c r="H24" s="734" cm="1">
        <f t="array" ref="H24">INDEX(MODEL!$1:$1048576,Summary!$A24,Summary!H$1)</f>
        <v>373.44018184174001</v>
      </c>
      <c r="I24" s="734" cm="1">
        <f t="array" ref="I24">INDEX(MODEL!$1:$1048576,Summary!$A24,Summary!I$1)</f>
        <v>391.04825926235139</v>
      </c>
      <c r="J24" s="734" cm="1">
        <f t="array" ref="J24">INDEX(MODEL!$1:$1048576,Summary!$A24,Summary!J$1)</f>
        <v>409.34546966712969</v>
      </c>
      <c r="L24" s="758">
        <f>R9</f>
        <v>18.3</v>
      </c>
      <c r="U24" s="753"/>
      <c r="V24" s="753"/>
      <c r="W24" s="753"/>
      <c r="X24" s="753"/>
    </row>
    <row r="25" spans="1:57">
      <c r="A25" s="724">
        <f>ROW(MODEL!A109)</f>
        <v>109</v>
      </c>
      <c r="D25" s="756" t="s">
        <v>1053</v>
      </c>
      <c r="F25" s="734" cm="1">
        <f t="array" ref="F25">INDEX(MODEL!$1:$1048576,Summary!$A25,Summary!F$1)</f>
        <v>-0.80000000000006821</v>
      </c>
      <c r="G25" s="734" cm="1">
        <f t="array" ref="G25">INDEX(MODEL!$1:$1048576,Summary!$A25,Summary!G$1)</f>
        <v>-70.799999999999955</v>
      </c>
      <c r="H25" s="734" cm="1">
        <f t="array" ref="H25">INDEX(MODEL!$1:$1048576,Summary!$A25,Summary!H$1)</f>
        <v>21.709571919022181</v>
      </c>
      <c r="I25" s="734" cm="1">
        <f t="array" ref="I25">INDEX(MODEL!$1:$1048576,Summary!$A25,Summary!I$1)</f>
        <v>-11.130460468965993</v>
      </c>
      <c r="J25" s="734" cm="1">
        <f t="array" ref="J25">INDEX(MODEL!$1:$1048576,Summary!$A25,Summary!J$1)</f>
        <v>-10.948271318901249</v>
      </c>
      <c r="L25" s="745" t="s">
        <v>1036</v>
      </c>
      <c r="N25" s="755">
        <f>$R$9/F19*100</f>
        <v>17.212098917117867</v>
      </c>
      <c r="O25" s="755">
        <f>$R$9/G19*100</f>
        <v>18.632213480613167</v>
      </c>
      <c r="P25" s="755">
        <f>$R$9/H19*100</f>
        <v>17.61130266388037</v>
      </c>
      <c r="Q25" s="755">
        <f>$R$9/I19*100</f>
        <v>14.999044874155434</v>
      </c>
      <c r="R25" s="755">
        <f>$R$9/J19*100</f>
        <v>13.928209151619422</v>
      </c>
      <c r="U25" s="753"/>
      <c r="V25" s="753"/>
      <c r="W25" s="753"/>
      <c r="X25" s="753"/>
    </row>
    <row r="26" spans="1:57">
      <c r="A26" s="724">
        <f>ROW(MODEL!A107)</f>
        <v>107</v>
      </c>
      <c r="D26" s="756" t="s">
        <v>1038</v>
      </c>
      <c r="F26" s="734" cm="1">
        <f t="array" ref="F26">INDEX(MODEL!$1:$1048576,Summary!$A26,Summary!F$1)</f>
        <v>-100.5</v>
      </c>
      <c r="G26" s="734" cm="1">
        <f t="array" ref="G26">INDEX(MODEL!$1:$1048576,Summary!$A26,Summary!G$1)</f>
        <v>-97</v>
      </c>
      <c r="H26" s="734" cm="1">
        <f t="array" ref="H26">INDEX(MODEL!$1:$1048576,Summary!$A26,Summary!H$1)</f>
        <v>-97.942260450810366</v>
      </c>
      <c r="I26" s="734" cm="1">
        <f t="array" ref="I26">INDEX(MODEL!$1:$1048576,Summary!$A26,Summary!I$1)</f>
        <v>-115.00004212641215</v>
      </c>
      <c r="J26" s="734" cm="1">
        <f t="array" ref="J26">INDEX(MODEL!$1:$1048576,Summary!$A26,Summary!J$1)</f>
        <v>-123.84153437150746</v>
      </c>
      <c r="L26" s="745" t="s">
        <v>28</v>
      </c>
      <c r="N26" s="1326">
        <f>$X$14/F11</f>
        <v>9.7682366747898079</v>
      </c>
      <c r="O26" s="755">
        <f>$X$14/G11</f>
        <v>9.664738708003437</v>
      </c>
      <c r="P26" s="755">
        <f>$X$14/H11</f>
        <v>9.5519586092645739</v>
      </c>
      <c r="Q26" s="755">
        <f>$X$14/I11</f>
        <v>8.3830062685656586</v>
      </c>
      <c r="R26" s="755">
        <f>$X$14/J11</f>
        <v>7.878844416892087</v>
      </c>
      <c r="U26" s="753"/>
      <c r="V26" s="753"/>
      <c r="W26" s="753"/>
      <c r="X26" s="753"/>
    </row>
    <row r="27" spans="1:57">
      <c r="A27" s="724">
        <f>ROW(MODEL!A111)</f>
        <v>111</v>
      </c>
      <c r="D27" s="749" t="s">
        <v>422</v>
      </c>
      <c r="F27" s="729" cm="1">
        <f t="array" ref="F27">INDEX(MODEL!$1:$1048576,Summary!$A27,Summary!F$1)</f>
        <v>579.5</v>
      </c>
      <c r="G27" s="729" cm="1">
        <f t="array" ref="G27">INDEX(MODEL!$1:$1048576,Summary!$A27,Summary!G$1)</f>
        <v>509.29999999999995</v>
      </c>
      <c r="H27" s="729" cm="1">
        <f t="array" ref="H27">INDEX(MODEL!$1:$1048576,Summary!$A27,Summary!H$1)</f>
        <v>629.80729323260061</v>
      </c>
      <c r="I27" s="729" cm="1">
        <f t="array" ref="I27">INDEX(MODEL!$1:$1048576,Summary!$A27,Summary!I$1)</f>
        <v>655.44367291893366</v>
      </c>
      <c r="J27" s="729" cm="1">
        <f t="array" ref="J27">INDEX(MODEL!$1:$1048576,Summary!$A27,Summary!J$1)</f>
        <v>695.10619410017011</v>
      </c>
      <c r="L27" s="745" t="s">
        <v>69</v>
      </c>
      <c r="N27" s="1326">
        <f>$X$14/F9</f>
        <v>5.2452114236754692</v>
      </c>
      <c r="O27" s="755">
        <f>$X$14/G9</f>
        <v>5.0763249289155459</v>
      </c>
      <c r="P27" s="755">
        <f>$X$14/H9</f>
        <v>4.9464184796316255</v>
      </c>
      <c r="Q27" s="755">
        <f>$X$14/I9</f>
        <v>4.5175088047925449</v>
      </c>
      <c r="R27" s="755">
        <f>$X$14/J9</f>
        <v>4.2777065934724403</v>
      </c>
      <c r="U27" s="753"/>
      <c r="V27" s="753"/>
      <c r="W27" s="753"/>
      <c r="X27" s="753"/>
    </row>
    <row r="28" spans="1:57">
      <c r="A28" s="724">
        <f>ROW(MODEL!A113)</f>
        <v>113</v>
      </c>
      <c r="D28" s="756" t="s">
        <v>108</v>
      </c>
      <c r="F28" s="734" cm="1">
        <f t="array" ref="F28">INDEX(MODEL!$1:$1048576,Summary!$A28,Summary!F$1)</f>
        <v>-71.599999999999994</v>
      </c>
      <c r="G28" s="734" cm="1">
        <f t="array" ref="G28">INDEX(MODEL!$1:$1048576,Summary!$A28,Summary!G$1)</f>
        <v>-84.2</v>
      </c>
      <c r="H28" s="734" cm="1">
        <f t="array" ref="H28">INDEX(MODEL!$1:$1048576,Summary!$A28,Summary!H$1)</f>
        <v>-92.406037361877779</v>
      </c>
      <c r="I28" s="734" cm="1">
        <f t="array" ref="I28">INDEX(MODEL!$1:$1048576,Summary!$A28,Summary!I$1)</f>
        <v>-96.848562200800203</v>
      </c>
      <c r="J28" s="734" cm="1">
        <f t="array" ref="J28">INDEX(MODEL!$1:$1048576,Summary!$A28,Summary!J$1)</f>
        <v>-101.18882652929169</v>
      </c>
      <c r="L28" s="745" t="s">
        <v>227</v>
      </c>
      <c r="N28" s="1327">
        <f>F40/$X$14</f>
        <v>6.4080771756847177E-2</v>
      </c>
      <c r="O28" s="1327">
        <f>G40/$X$14</f>
        <v>2.9312711479812358E-2</v>
      </c>
      <c r="P28" s="1327">
        <f>H40/$X$14</f>
        <v>5.9233010725566929E-2</v>
      </c>
      <c r="Q28" s="1327">
        <f>I40/$X$14</f>
        <v>5.9619819978861163E-2</v>
      </c>
      <c r="R28" s="1327">
        <f>J40/$X$14</f>
        <v>6.5823781399275361E-2</v>
      </c>
      <c r="U28" s="753"/>
      <c r="V28" s="753"/>
      <c r="W28" s="753"/>
      <c r="X28" s="753"/>
      <c r="BD28" s="724">
        <v>482.3</v>
      </c>
    </row>
    <row r="29" spans="1:57">
      <c r="A29" s="724">
        <f>ROW(MODEL!A114)</f>
        <v>114</v>
      </c>
      <c r="D29" s="756" t="s">
        <v>109</v>
      </c>
      <c r="F29" s="734" cm="1">
        <f t="array" ref="F29">INDEX(MODEL!$1:$1048576,Summary!$A29,Summary!F$1)</f>
        <v>-63.3</v>
      </c>
      <c r="G29" s="734" cm="1">
        <f t="array" ref="G29">INDEX(MODEL!$1:$1048576,Summary!$A29,Summary!G$1)</f>
        <v>-81.2</v>
      </c>
      <c r="H29" s="734" cm="1">
        <f t="array" ref="H29">INDEX(MODEL!$1:$1048576,Summary!$A29,Summary!H$1)</f>
        <v>-61.604024907918514</v>
      </c>
      <c r="I29" s="734" cm="1">
        <f t="array" ref="I29">INDEX(MODEL!$1:$1048576,Summary!$A29,Summary!I$1)</f>
        <v>-64.565708133866806</v>
      </c>
      <c r="J29" s="734" cm="1">
        <f t="array" ref="J29">INDEX(MODEL!$1:$1048576,Summary!$A29,Summary!J$1)</f>
        <v>-67.459217686194464</v>
      </c>
      <c r="N29" s="757"/>
      <c r="O29" s="757"/>
      <c r="P29" s="757"/>
      <c r="Q29" s="757"/>
      <c r="R29" s="757"/>
      <c r="U29" s="753"/>
      <c r="V29" s="753"/>
      <c r="W29" s="753"/>
      <c r="X29" s="753"/>
      <c r="BD29" s="724">
        <v>461.2</v>
      </c>
      <c r="BE29" s="724">
        <v>0.41467361985254447</v>
      </c>
    </row>
    <row r="30" spans="1:57">
      <c r="A30" s="724">
        <f>ROW(MODEL!A117)</f>
        <v>117</v>
      </c>
      <c r="D30" s="756" t="s">
        <v>1039</v>
      </c>
      <c r="F30" s="734" cm="1">
        <f t="array" ref="F30">INDEX(MODEL!$1:$1048576,Summary!$A30,Summary!F$1)</f>
        <v>0</v>
      </c>
      <c r="G30" s="734" cm="1">
        <f t="array" ref="G30">INDEX(MODEL!$1:$1048576,Summary!$A30,Summary!G$1)</f>
        <v>0</v>
      </c>
      <c r="H30" s="734" cm="1">
        <f t="array" ref="H30">INDEX(MODEL!$1:$1048576,Summary!$A30,Summary!H$1)</f>
        <v>0</v>
      </c>
      <c r="I30" s="734" cm="1">
        <f t="array" ref="I30">INDEX(MODEL!$1:$1048576,Summary!$A30,Summary!I$1)</f>
        <v>0</v>
      </c>
      <c r="J30" s="734" cm="1">
        <f t="array" ref="J30">INDEX(MODEL!$1:$1048576,Summary!$A30,Summary!J$1)</f>
        <v>0</v>
      </c>
      <c r="L30" s="727" t="s">
        <v>1056</v>
      </c>
      <c r="M30" s="728"/>
      <c r="N30" s="728" t="s">
        <v>740</v>
      </c>
      <c r="O30" s="728" t="s">
        <v>913</v>
      </c>
      <c r="P30" s="728" t="s">
        <v>943</v>
      </c>
      <c r="Q30" s="728" t="s">
        <v>983</v>
      </c>
      <c r="R30" s="728" t="s">
        <v>984</v>
      </c>
      <c r="U30" s="753"/>
      <c r="V30" s="753"/>
      <c r="W30" s="753"/>
      <c r="X30" s="753"/>
      <c r="BD30" s="724">
        <v>168.7</v>
      </c>
      <c r="BE30" s="724">
        <v>0.1516813522747707</v>
      </c>
    </row>
    <row r="31" spans="1:57">
      <c r="A31" s="724">
        <f>ROW(MODEL!A118)</f>
        <v>118</v>
      </c>
      <c r="B31" s="724">
        <f>ROW(Divisionals!A7)</f>
        <v>7</v>
      </c>
      <c r="D31" s="749" t="s">
        <v>1040</v>
      </c>
      <c r="F31" s="729" cm="1">
        <f t="array" ref="F31">INDEX(MODEL!$1:$1048576,Summary!$A31,Summary!F$1)</f>
        <v>-134.89999999999998</v>
      </c>
      <c r="G31" s="729" cm="1">
        <f t="array" ref="G31">INDEX(MODEL!$1:$1048576,Summary!$A31,Summary!G$1)</f>
        <v>-165.4</v>
      </c>
      <c r="H31" s="729" cm="1">
        <f t="array" ref="H31">INDEX(MODEL!$1:$1048576,Summary!$A31,Summary!H$1)</f>
        <v>-154.01006226979629</v>
      </c>
      <c r="I31" s="729" cm="1">
        <f t="array" ref="I31">INDEX(MODEL!$1:$1048576,Summary!$A31,Summary!I$1)</f>
        <v>-161.41427033466701</v>
      </c>
      <c r="J31" s="729" cm="1">
        <f t="array" ref="J31">INDEX(MODEL!$1:$1048576,Summary!$A31,Summary!J$1)</f>
        <v>-168.64804421548615</v>
      </c>
      <c r="L31" s="759" t="s">
        <v>247</v>
      </c>
      <c r="N31" s="734" cm="1">
        <f t="array" ref="N31">INDEX(Divisionals!$1:$1048576,Summary!$B31,Summary!N$1)</f>
        <v>1498.4</v>
      </c>
      <c r="O31" s="734" cm="1">
        <f t="array" ref="O31">INDEX(Divisionals!$1:$1048576,Summary!$B31,Summary!O$1)</f>
        <v>1534.3</v>
      </c>
      <c r="P31" s="734" cm="1">
        <f t="array" ref="P31">INDEX(Divisionals!$1:$1048576,Summary!$B31,Summary!P$1)</f>
        <v>1617.736280113636</v>
      </c>
      <c r="Q31" s="734" cm="1">
        <f t="array" ref="Q31">INDEX(Divisionals!$1:$1048576,Summary!$B31,Summary!Q$1)</f>
        <v>1701.7520827724995</v>
      </c>
      <c r="R31" s="734" cm="1">
        <f t="array" ref="R31">INDEX(Divisionals!$1:$1048576,Summary!$B31,Summary!R$1)</f>
        <v>1782.9115930539479</v>
      </c>
      <c r="U31" s="734"/>
      <c r="BD31" s="724">
        <v>1112.2</v>
      </c>
    </row>
    <row r="32" spans="1:57">
      <c r="A32" s="724">
        <f>ROW(MODEL!A122)</f>
        <v>122</v>
      </c>
      <c r="B32" s="724">
        <f>ROW(Divisionals!A8)</f>
        <v>8</v>
      </c>
      <c r="D32" s="756" t="s">
        <v>1041</v>
      </c>
      <c r="F32" s="734" cm="1">
        <f t="array" ref="F32">INDEX(MODEL!$1:$1048576,Summary!$A32,Summary!F$1)</f>
        <v>0</v>
      </c>
      <c r="G32" s="734" cm="1">
        <f t="array" ref="G32">INDEX(MODEL!$1:$1048576,Summary!$A32,Summary!G$1)</f>
        <v>0</v>
      </c>
      <c r="H32" s="734" cm="1">
        <f t="array" ref="H32">INDEX(MODEL!$1:$1048576,Summary!$A32,Summary!H$1)</f>
        <v>0</v>
      </c>
      <c r="I32" s="734" cm="1">
        <f t="array" ref="I32">INDEX(MODEL!$1:$1048576,Summary!$A32,Summary!I$1)</f>
        <v>0</v>
      </c>
      <c r="J32" s="734" cm="1">
        <f t="array" ref="J32">INDEX(MODEL!$1:$1048576,Summary!$A32,Summary!J$1)</f>
        <v>0</v>
      </c>
      <c r="L32" s="759" t="s">
        <v>150</v>
      </c>
      <c r="M32" s="760"/>
      <c r="N32" s="734" cm="1">
        <f t="array" ref="N32">INDEX(Divisionals!$1:$1048576,Summary!$B32,Summary!N$1)</f>
        <v>879.1</v>
      </c>
      <c r="O32" s="734" cm="1">
        <f t="array" ref="O32">INDEX(Divisionals!$1:$1048576,Summary!$B32,Summary!O$1)</f>
        <v>952.3</v>
      </c>
      <c r="P32" s="734" cm="1">
        <f t="array" ref="P32">INDEX(Divisionals!$1:$1048576,Summary!$B32,Summary!P$1)</f>
        <v>982.43680032110058</v>
      </c>
      <c r="Q32" s="734" cm="1">
        <f t="array" ref="Q32">INDEX(Divisionals!$1:$1048576,Summary!$B32,Summary!Q$1)</f>
        <v>1026.1881819239034</v>
      </c>
      <c r="R32" s="734" cm="1">
        <f t="array" ref="R32">INDEX(Divisionals!$1:$1048576,Summary!$B32,Summary!R$1)</f>
        <v>1081.0514427238138</v>
      </c>
    </row>
    <row r="33" spans="1:18">
      <c r="A33" s="724">
        <f>ROW(MODEL!A123)</f>
        <v>123</v>
      </c>
      <c r="B33" s="724">
        <f>ROW(Divisionals!A9)</f>
        <v>9</v>
      </c>
      <c r="D33" s="756" t="s">
        <v>114</v>
      </c>
      <c r="F33" s="734" cm="1">
        <f t="array" ref="F33">INDEX(MODEL!$1:$1048576,Summary!$A33,Summary!F$1)</f>
        <v>0</v>
      </c>
      <c r="G33" s="734" cm="1">
        <f t="array" ref="G33">INDEX(MODEL!$1:$1048576,Summary!$A33,Summary!G$1)</f>
        <v>0</v>
      </c>
      <c r="H33" s="734" cm="1">
        <f t="array" ref="H33">INDEX(MODEL!$1:$1048576,Summary!$A33,Summary!H$1)</f>
        <v>0</v>
      </c>
      <c r="I33" s="734" cm="1">
        <f t="array" ref="I33">INDEX(MODEL!$1:$1048576,Summary!$A33,Summary!I$1)</f>
        <v>0</v>
      </c>
      <c r="J33" s="734" cm="1">
        <f t="array" ref="J33">INDEX(MODEL!$1:$1048576,Summary!$A33,Summary!J$1)</f>
        <v>0</v>
      </c>
      <c r="L33" s="759" t="s">
        <v>246</v>
      </c>
      <c r="M33" s="760"/>
      <c r="N33" s="734" cm="1">
        <f t="array" ref="N33">INDEX(Divisionals!$1:$1048576,Summary!$B33,Summary!N$1)</f>
        <v>222.9</v>
      </c>
      <c r="O33" s="734" cm="1">
        <f t="array" ref="O33">INDEX(Divisionals!$1:$1048576,Summary!$B33,Summary!O$1)</f>
        <v>231.6</v>
      </c>
      <c r="P33" s="734" cm="1">
        <f t="array" ref="P33">INDEX(Divisionals!$1:$1048576,Summary!$B33,Summary!P$1)</f>
        <v>250.61852880000001</v>
      </c>
      <c r="Q33" s="734" cm="1">
        <f t="array" ref="Q33">INDEX(Divisionals!$1:$1048576,Summary!$B33,Summary!Q$1)</f>
        <v>261.94648630175999</v>
      </c>
      <c r="R33" s="734" cm="1">
        <f t="array" ref="R33">INDEX(Divisionals!$1:$1048576,Summary!$B33,Summary!R$1)</f>
        <v>276.43326041654382</v>
      </c>
    </row>
    <row r="34" spans="1:18">
      <c r="A34" s="724">
        <f>ROW(MODEL!A125)</f>
        <v>125</v>
      </c>
      <c r="B34" s="724">
        <f>ROW(Divisionals!A10)</f>
        <v>10</v>
      </c>
      <c r="D34" s="756" t="s">
        <v>25</v>
      </c>
      <c r="F34" s="734" cm="1">
        <f t="array" ref="F34">INDEX(MODEL!$1:$1048576,Summary!$A34,Summary!F$1)</f>
        <v>-228.1</v>
      </c>
      <c r="G34" s="734" cm="1">
        <f t="array" ref="G34">INDEX(MODEL!$1:$1048576,Summary!$A34,Summary!G$1)</f>
        <v>-268.8</v>
      </c>
      <c r="H34" s="734" cm="1">
        <f t="array" ref="H34">INDEX(MODEL!$1:$1048576,Summary!$A34,Summary!H$1)</f>
        <v>-195.74699251999999</v>
      </c>
      <c r="I34" s="734" cm="1">
        <f t="array" ref="I34">INDEX(MODEL!$1:$1048576,Summary!$A34,Summary!I$1)</f>
        <v>-161.63191193669502</v>
      </c>
      <c r="J34" s="734" cm="1">
        <f t="array" ref="J34">INDEX(MODEL!$1:$1048576,Summary!$A34,Summary!J$1)</f>
        <v>-183.64407382160636</v>
      </c>
      <c r="L34" s="759" t="s">
        <v>248</v>
      </c>
      <c r="M34" s="760"/>
      <c r="N34" s="734" cm="1">
        <f t="array" ref="N34">INDEX(Divisionals!$1:$1048576,Summary!$B34,Summary!N$1)</f>
        <v>1291.5999999999999</v>
      </c>
      <c r="O34" s="734" cm="1">
        <f t="array" ref="O34">INDEX(Divisionals!$1:$1048576,Summary!$B34,Summary!O$1)</f>
        <v>1361.8</v>
      </c>
      <c r="P34" s="734" cm="1">
        <f t="array" ref="P34">INDEX(Divisionals!$1:$1048576,Summary!$B34,Summary!P$1)</f>
        <v>1432.3656760373831</v>
      </c>
      <c r="Q34" s="734" cm="1">
        <f t="array" ref="Q34">INDEX(Divisionals!$1:$1048576,Summary!$B34,Summary!Q$1)</f>
        <v>1511.4324783797488</v>
      </c>
      <c r="R34" s="734" cm="1">
        <f t="array" ref="R34">INDEX(Divisionals!$1:$1048576,Summary!$B34,Summary!R$1)</f>
        <v>1575.5429277019571</v>
      </c>
    </row>
    <row r="35" spans="1:18">
      <c r="A35" s="724">
        <f>ROW(MODEL!A124)</f>
        <v>124</v>
      </c>
      <c r="B35" s="724">
        <f>ROW(Divisionals!A11)</f>
        <v>11</v>
      </c>
      <c r="D35" s="756" t="s">
        <v>1042</v>
      </c>
      <c r="F35" s="734" cm="1">
        <f t="array" ref="F35">INDEX(MODEL!$1:$1048576,Summary!$A35,Summary!F$1)</f>
        <v>-199.1</v>
      </c>
      <c r="G35" s="734" cm="1">
        <f t="array" ref="G35">INDEX(MODEL!$1:$1048576,Summary!$A35,Summary!G$1)</f>
        <v>-231.60000000000002</v>
      </c>
      <c r="H35" s="734" cm="1">
        <f t="array" ref="H35">INDEX(MODEL!$1:$1048576,Summary!$A35,Summary!H$1)</f>
        <v>-248.86950000000002</v>
      </c>
      <c r="I35" s="734" cm="1">
        <f t="array" ref="I35">INDEX(MODEL!$1:$1048576,Summary!$A35,Summary!I$1)</f>
        <v>-265.61976575359824</v>
      </c>
      <c r="J35" s="734" cm="1">
        <f t="array" ref="J35">INDEX(MODEL!$1:$1048576,Summary!$A35,Summary!J$1)</f>
        <v>-274.2805014187789</v>
      </c>
      <c r="L35" s="759" t="s">
        <v>72</v>
      </c>
      <c r="N35" s="734">
        <f>N36-SUM(N31:N34)</f>
        <v>-9.1999999999998181</v>
      </c>
      <c r="O35" s="734">
        <f t="shared" ref="O35:R35" si="0">O36-SUM(O31:O34)</f>
        <v>-5.0999999999999091</v>
      </c>
      <c r="P35" s="734">
        <f t="shared" si="0"/>
        <v>-5.1000000000003638</v>
      </c>
      <c r="Q35" s="734">
        <f t="shared" si="0"/>
        <v>-5.1000000000003638</v>
      </c>
      <c r="R35" s="734">
        <f t="shared" si="0"/>
        <v>-5.1000000000003638</v>
      </c>
    </row>
    <row r="36" spans="1:18">
      <c r="B36" s="724">
        <f>ROW(Divisionals!A12)</f>
        <v>12</v>
      </c>
      <c r="D36" s="761" t="s">
        <v>1043</v>
      </c>
      <c r="F36" s="734">
        <f>F37-SUM(F32:F35)</f>
        <v>8.1000000000000227</v>
      </c>
      <c r="G36" s="734">
        <f t="shared" ref="G36:J36" si="1">G37-SUM(G32:G35)</f>
        <v>2.1000000000000227</v>
      </c>
      <c r="H36" s="734">
        <f t="shared" si="1"/>
        <v>0</v>
      </c>
      <c r="I36" s="734">
        <f t="shared" si="1"/>
        <v>0</v>
      </c>
      <c r="J36" s="734">
        <f t="shared" si="1"/>
        <v>0</v>
      </c>
      <c r="L36" s="744" t="s">
        <v>147</v>
      </c>
      <c r="M36" s="760"/>
      <c r="N36" s="729" cm="1">
        <f t="array" ref="N36">INDEX(Divisionals!$1:$1048576,Summary!$B36,Summary!N$1)</f>
        <v>3882.8</v>
      </c>
      <c r="O36" s="729" cm="1">
        <f t="array" ref="O36">INDEX(Divisionals!$1:$1048576,Summary!$B36,Summary!O$1)</f>
        <v>4074.9</v>
      </c>
      <c r="P36" s="729" cm="1">
        <f t="array" ref="P36">INDEX(Divisionals!$1:$1048576,Summary!$B36,Summary!P$1)</f>
        <v>4278.0572852721198</v>
      </c>
      <c r="Q36" s="729" cm="1">
        <f t="array" ref="Q36">INDEX(Divisionals!$1:$1048576,Summary!$B36,Summary!Q$1)</f>
        <v>4496.2192293779117</v>
      </c>
      <c r="R36" s="729" cm="1">
        <f t="array" ref="R36">INDEX(Divisionals!$1:$1048576,Summary!$B36,Summary!R$1)</f>
        <v>4710.8392238962624</v>
      </c>
    </row>
    <row r="37" spans="1:18">
      <c r="A37" s="724">
        <f>ROW(MODEL!A127)</f>
        <v>127</v>
      </c>
      <c r="D37" s="730" t="s">
        <v>1044</v>
      </c>
      <c r="F37" s="729" cm="1">
        <f t="array" ref="F37">INDEX(MODEL!$1:$1048576,Summary!$A37,Summary!F$1)</f>
        <v>-419.09999999999997</v>
      </c>
      <c r="G37" s="729" cm="1">
        <f t="array" ref="G37">INDEX(MODEL!$1:$1048576,Summary!$A37,Summary!G$1)</f>
        <v>-498.3</v>
      </c>
      <c r="H37" s="729" cm="1">
        <f t="array" ref="H37">INDEX(MODEL!$1:$1048576,Summary!$A37,Summary!H$1)</f>
        <v>-444.61649252000001</v>
      </c>
      <c r="I37" s="729" cm="1">
        <f t="array" ref="I37">INDEX(MODEL!$1:$1048576,Summary!$A37,Summary!I$1)</f>
        <v>-427.25167769029326</v>
      </c>
      <c r="J37" s="729" cm="1">
        <f t="array" ref="J37">INDEX(MODEL!$1:$1048576,Summary!$A37,Summary!J$1)</f>
        <v>-457.92457524038525</v>
      </c>
    </row>
    <row r="38" spans="1:18">
      <c r="A38" s="724">
        <f>ROW(MODEL!A129)</f>
        <v>129</v>
      </c>
      <c r="D38" s="730" t="s">
        <v>1045</v>
      </c>
      <c r="F38" s="729" cm="1">
        <f t="array" ref="F38">INDEX(MODEL!$1:$1048576,Summary!$A38,Summary!F$1)</f>
        <v>25.5</v>
      </c>
      <c r="G38" s="729" cm="1">
        <f t="array" ref="G38">INDEX(MODEL!$1:$1048576,Summary!$A38,Summary!G$1)</f>
        <v>-154.40000000000009</v>
      </c>
      <c r="H38" s="729" cm="1">
        <f t="array" ref="H38">INDEX(MODEL!$1:$1048576,Summary!$A38,Summary!H$1)</f>
        <v>31.180738442804341</v>
      </c>
      <c r="I38" s="729" cm="1">
        <f t="array" ref="I38">INDEX(MODEL!$1:$1048576,Summary!$A38,Summary!I$1)</f>
        <v>66.777724893973414</v>
      </c>
      <c r="J38" s="729" cm="1">
        <f t="array" ref="J38">INDEX(MODEL!$1:$1048576,Summary!$A38,Summary!J$1)</f>
        <v>68.53357464429871</v>
      </c>
      <c r="L38" s="727" t="s">
        <v>1059</v>
      </c>
      <c r="M38" s="728"/>
      <c r="N38" s="728" t="s">
        <v>740</v>
      </c>
      <c r="O38" s="728" t="s">
        <v>913</v>
      </c>
      <c r="P38" s="728" t="s">
        <v>943</v>
      </c>
      <c r="Q38" s="728" t="s">
        <v>983</v>
      </c>
      <c r="R38" s="728" t="s">
        <v>984</v>
      </c>
    </row>
    <row r="39" spans="1:18" ht="13.5" customHeight="1">
      <c r="B39" s="724">
        <f>ROW(Divisionals!A43)</f>
        <v>43</v>
      </c>
      <c r="L39" s="759" t="s">
        <v>247</v>
      </c>
      <c r="N39" s="765" cm="1">
        <f t="array" ref="N39">INDEX(Divisionals!$1:$1048576,Summary!$B39,Summary!N$1)</f>
        <v>0.14802455953016549</v>
      </c>
      <c r="O39" s="765" cm="1">
        <f t="array" ref="O39">INDEX(Divisionals!$1:$1048576,Summary!$B39,Summary!O$1)</f>
        <v>0.1423450433422408</v>
      </c>
      <c r="P39" s="765" cm="1">
        <f t="array" ref="P39">INDEX(Divisionals!$1:$1048576,Summary!$B39,Summary!P$1)</f>
        <v>0.14394504334224084</v>
      </c>
      <c r="Q39" s="765" cm="1">
        <f t="array" ref="Q39">INDEX(Divisionals!$1:$1048576,Summary!$B39,Summary!Q$1)</f>
        <v>0.14554504334224089</v>
      </c>
      <c r="R39" s="765" cm="1">
        <f t="array" ref="R39">INDEX(Divisionals!$1:$1048576,Summary!$B39,Summary!R$1)</f>
        <v>0.14574504334224084</v>
      </c>
    </row>
    <row r="40" spans="1:18">
      <c r="B40" s="724">
        <f>ROW(Divisionals!A44)</f>
        <v>44</v>
      </c>
      <c r="D40" s="1307" t="s">
        <v>1046</v>
      </c>
      <c r="F40" s="729">
        <f>F29+F28+F27+F35</f>
        <v>245.50000000000003</v>
      </c>
      <c r="G40" s="729">
        <f>G29+G28+G27+G35</f>
        <v>112.29999999999995</v>
      </c>
      <c r="H40" s="729">
        <f>H29+H28+H27+H35</f>
        <v>226.92773096280428</v>
      </c>
      <c r="I40" s="729">
        <f>I29+I28+I27+I35</f>
        <v>228.40963683066843</v>
      </c>
      <c r="J40" s="729">
        <f>J29+J28+J27+J35</f>
        <v>252.17764846590507</v>
      </c>
      <c r="L40" s="759" t="s">
        <v>150</v>
      </c>
      <c r="M40" s="760"/>
      <c r="N40" s="765" cm="1">
        <f t="array" ref="N40">INDEX(Divisionals!$1:$1048576,Summary!$B40,Summary!N$1)</f>
        <v>7.5986804686611301E-2</v>
      </c>
      <c r="O40" s="765" cm="1">
        <f t="array" ref="O40">INDEX(Divisionals!$1:$1048576,Summary!$B40,Summary!O$1)</f>
        <v>7.9176730022051889E-2</v>
      </c>
      <c r="P40" s="765" cm="1">
        <f t="array" ref="P40">INDEX(Divisionals!$1:$1048576,Summary!$B40,Summary!P$1)</f>
        <v>7.8476730022051855E-2</v>
      </c>
      <c r="Q40" s="765" cm="1">
        <f t="array" ref="Q40">INDEX(Divisionals!$1:$1048576,Summary!$B40,Summary!Q$1)</f>
        <v>7.9076730022051886E-2</v>
      </c>
      <c r="R40" s="765" cm="1">
        <f t="array" ref="R40">INDEX(Divisionals!$1:$1048576,Summary!$B40,Summary!R$1)</f>
        <v>7.9176730022051861E-2</v>
      </c>
    </row>
    <row r="41" spans="1:18">
      <c r="B41" s="724">
        <f>ROW(Divisionals!A45)</f>
        <v>45</v>
      </c>
      <c r="L41" s="759" t="s">
        <v>246</v>
      </c>
      <c r="M41" s="760"/>
      <c r="N41" s="765" cm="1">
        <f t="array" ref="N41">INDEX(Divisionals!$1:$1048576,Summary!$B41,Summary!N$1)</f>
        <v>9.8698968147151206E-2</v>
      </c>
      <c r="O41" s="765" cm="1">
        <f t="array" ref="O41">INDEX(Divisionals!$1:$1048576,Summary!$B41,Summary!O$1)</f>
        <v>6.1744386873920545E-2</v>
      </c>
      <c r="P41" s="765" cm="1">
        <f t="array" ref="P41">INDEX(Divisionals!$1:$1048576,Summary!$B41,Summary!P$1)</f>
        <v>6.8960276338514634E-2</v>
      </c>
      <c r="Q41" s="765" cm="1">
        <f t="array" ref="Q41">INDEX(Divisionals!$1:$1048576,Summary!$B41,Summary!Q$1)</f>
        <v>7.4960276338514611E-2</v>
      </c>
      <c r="R41" s="765" cm="1">
        <f t="array" ref="R41">INDEX(Divisionals!$1:$1048576,Summary!$B41,Summary!R$1)</f>
        <v>7.5960276338514598E-2</v>
      </c>
    </row>
    <row r="42" spans="1:18">
      <c r="B42" s="724">
        <f>ROW(Divisionals!A46)</f>
        <v>46</v>
      </c>
      <c r="D42" s="727" t="s">
        <v>1047</v>
      </c>
      <c r="E42" s="728"/>
      <c r="F42" s="728" t="s">
        <v>740</v>
      </c>
      <c r="G42" s="728" t="s">
        <v>913</v>
      </c>
      <c r="H42" s="728" t="s">
        <v>943</v>
      </c>
      <c r="I42" s="728" t="s">
        <v>983</v>
      </c>
      <c r="J42" s="728" t="s">
        <v>984</v>
      </c>
      <c r="L42" s="759" t="s">
        <v>248</v>
      </c>
      <c r="M42" s="760"/>
      <c r="N42" s="765" cm="1">
        <f t="array" ref="N42">INDEX(Divisionals!$1:$1048576,Summary!$B42,Summary!N$1)</f>
        <v>9.3991947971508213E-2</v>
      </c>
      <c r="O42" s="765" cm="1">
        <f t="array" ref="O42">INDEX(Divisionals!$1:$1048576,Summary!$B42,Summary!O$1)</f>
        <v>9.0835658687031889E-2</v>
      </c>
      <c r="P42" s="765" cm="1">
        <f t="array" ref="P42">INDEX(Divisionals!$1:$1048576,Summary!$B42,Summary!P$1)</f>
        <v>9.3435658687031839E-2</v>
      </c>
      <c r="Q42" s="765" cm="1">
        <f t="array" ref="Q42">INDEX(Divisionals!$1:$1048576,Summary!$B42,Summary!Q$1)</f>
        <v>9.5335658687031824E-2</v>
      </c>
      <c r="R42" s="765" cm="1">
        <f t="array" ref="R42">INDEX(Divisionals!$1:$1048576,Summary!$B42,Summary!R$1)</f>
        <v>9.7735658687031809E-2</v>
      </c>
    </row>
    <row r="43" spans="1:18">
      <c r="A43" s="724">
        <f>ROW(MODEL!A150)</f>
        <v>150</v>
      </c>
      <c r="B43" s="724">
        <f>ROW(Divisionals!A47)</f>
        <v>47</v>
      </c>
      <c r="D43" s="762" t="s">
        <v>1048</v>
      </c>
      <c r="F43" s="734" cm="1">
        <f t="array" ref="F43">INDEX(MODEL!$1:$1048576,Summary!$A43,Summary!F$1)</f>
        <v>217.79999999999978</v>
      </c>
      <c r="G43" s="734" cm="1">
        <f t="array" ref="G43">INDEX(MODEL!$1:$1048576,Summary!$A43,Summary!G$1)</f>
        <v>63.3</v>
      </c>
      <c r="H43" s="734" cm="1">
        <f t="array" ref="H43">INDEX(MODEL!$1:$1048576,Summary!$A43,Summary!H$1)</f>
        <v>94.480738442804338</v>
      </c>
      <c r="I43" s="734" cm="1">
        <f t="array" ref="I43">INDEX(MODEL!$1:$1048576,Summary!$A43,Summary!I$1)</f>
        <v>161.25846333677777</v>
      </c>
      <c r="J43" s="734" cm="1">
        <f t="array" ref="J43">INDEX(MODEL!$1:$1048576,Summary!$A43,Summary!J$1)</f>
        <v>229.79203798107648</v>
      </c>
      <c r="L43" s="744" t="s">
        <v>147</v>
      </c>
      <c r="M43" s="760"/>
      <c r="N43" s="766" cm="1">
        <f t="array" ref="N43">INDEX(Divisionals!$1:$1048576,Summary!$B43,Summary!N$1)</f>
        <v>0.10100958071494796</v>
      </c>
      <c r="O43" s="766" cm="1">
        <f t="array" ref="O43">INDEX(Divisionals!$1:$1048576,Summary!$B43,Summary!O$1)</f>
        <v>9.7278460821124443E-2</v>
      </c>
      <c r="P43" s="766" cm="1">
        <f t="array" ref="P43">INDEX(Divisionals!$1:$1048576,Summary!$B43,Summary!P$1)</f>
        <v>9.3752905390825494E-2</v>
      </c>
      <c r="Q43" s="766" cm="1">
        <f t="array" ref="Q43">INDEX(Divisionals!$1:$1048576,Summary!$B43,Summary!Q$1)</f>
        <v>0.10164277029888262</v>
      </c>
      <c r="R43" s="766" cm="1">
        <f t="array" ref="R43">INDEX(Divisionals!$1:$1048576,Summary!$B43,Summary!R$1)</f>
        <v>0.10321978636799994</v>
      </c>
    </row>
    <row r="44" spans="1:18">
      <c r="A44" s="724">
        <f>ROW(MODEL!A151)</f>
        <v>151</v>
      </c>
      <c r="D44" s="762" t="s">
        <v>1049</v>
      </c>
      <c r="F44" s="734" cm="1">
        <f t="array" ref="F44">INDEX(MODEL!$1:$1048576,Summary!$A44,Summary!F$1)</f>
        <v>49.9</v>
      </c>
      <c r="G44" s="734" cm="1">
        <f t="array" ref="G44">INDEX(MODEL!$1:$1048576,Summary!$A44,Summary!G$1)</f>
        <v>51</v>
      </c>
      <c r="H44" s="734" cm="1">
        <f t="array" ref="H44">INDEX(MODEL!$1:$1048576,Summary!$A44,Summary!H$1)</f>
        <v>53.542644371365704</v>
      </c>
      <c r="I44" s="734" cm="1">
        <f t="array" ref="I44">INDEX(MODEL!$1:$1048576,Summary!$A44,Summary!I$1)</f>
        <v>56.27308171937311</v>
      </c>
      <c r="J44" s="734" cm="1">
        <f t="array" ref="J44">INDEX(MODEL!$1:$1048576,Summary!$A44,Summary!J$1)</f>
        <v>58.959189285309918</v>
      </c>
    </row>
    <row r="45" spans="1:18">
      <c r="A45" s="724">
        <f>ROW(MODEL!A152)</f>
        <v>152</v>
      </c>
      <c r="D45" s="762" t="s">
        <v>71</v>
      </c>
      <c r="F45" s="734" cm="1">
        <f t="array" ref="F45">INDEX(MODEL!$1:$1048576,Summary!$A45,Summary!F$1)</f>
        <v>846.1</v>
      </c>
      <c r="G45" s="734" cm="1">
        <f t="array" ref="G45">INDEX(MODEL!$1:$1048576,Summary!$A45,Summary!G$1)</f>
        <v>886.8</v>
      </c>
      <c r="H45" s="734" cm="1">
        <f t="array" ref="H45">INDEX(MODEL!$1:$1048576,Summary!$A45,Summary!H$1)</f>
        <v>921.79405086575821</v>
      </c>
      <c r="I45" s="734" cm="1">
        <f t="array" ref="I45">INDEX(MODEL!$1:$1048576,Summary!$A45,Summary!I$1)</f>
        <v>968.25810864054654</v>
      </c>
      <c r="J45" s="734" cm="1">
        <f t="array" ref="J45">INDEX(MODEL!$1:$1048576,Summary!$A45,Summary!J$1)</f>
        <v>1013.9633277810674</v>
      </c>
      <c r="L45" s="727" t="s">
        <v>1057</v>
      </c>
      <c r="M45" s="728"/>
      <c r="N45" s="728" t="s">
        <v>740</v>
      </c>
      <c r="O45" s="728" t="s">
        <v>913</v>
      </c>
      <c r="P45" s="728" t="s">
        <v>943</v>
      </c>
      <c r="Q45" s="728" t="s">
        <v>983</v>
      </c>
      <c r="R45" s="728" t="s">
        <v>984</v>
      </c>
    </row>
    <row r="46" spans="1:18">
      <c r="A46" s="724">
        <f>ROW(MODEL!A153)</f>
        <v>153</v>
      </c>
      <c r="B46" s="724">
        <f>ROW(Divisionals!A67)</f>
        <v>67</v>
      </c>
      <c r="D46" s="762" t="s">
        <v>72</v>
      </c>
      <c r="F46" s="734">
        <f>F47-SUM(F43:F45)</f>
        <v>0.20000000000004547</v>
      </c>
      <c r="G46" s="734">
        <f t="shared" ref="G46:J46" si="2">G47-SUM(G43:G45)</f>
        <v>0</v>
      </c>
      <c r="H46" s="734">
        <f t="shared" si="2"/>
        <v>0</v>
      </c>
      <c r="I46" s="734">
        <f t="shared" si="2"/>
        <v>0</v>
      </c>
      <c r="J46" s="734">
        <f t="shared" si="2"/>
        <v>0</v>
      </c>
      <c r="L46" s="759" t="s">
        <v>612</v>
      </c>
      <c r="N46" s="734" cm="1">
        <f t="array" ref="N46">INDEX(Divisionals!$1:$1048576,Summary!$B46,Summary!N$1)</f>
        <v>341</v>
      </c>
      <c r="O46" s="734" cm="1">
        <f t="array" ref="O46">INDEX(Divisionals!$1:$1048576,Summary!$B46,Summary!O$1)</f>
        <v>352</v>
      </c>
      <c r="P46" s="734" cm="1">
        <f t="array" ref="P46">INDEX(Divisionals!$1:$1048576,Summary!$B46,Summary!P$1)</f>
        <v>359</v>
      </c>
      <c r="Q46" s="734" cm="1">
        <f t="array" ref="Q46">INDEX(Divisionals!$1:$1048576,Summary!$B46,Summary!Q$1)</f>
        <v>367</v>
      </c>
      <c r="R46" s="734" cm="1">
        <f t="array" ref="R46">INDEX(Divisionals!$1:$1048576,Summary!$B46,Summary!R$1)</f>
        <v>375</v>
      </c>
    </row>
    <row r="47" spans="1:18">
      <c r="A47" s="724">
        <f>ROW(MODEL!A154)</f>
        <v>154</v>
      </c>
      <c r="B47" s="724">
        <f>ROW(Divisionals!A178)</f>
        <v>178</v>
      </c>
      <c r="D47" s="763" t="s">
        <v>1</v>
      </c>
      <c r="F47" s="729" cm="1">
        <f t="array" ref="F47">INDEX(MODEL!$1:$1048576,Summary!$A47,Summary!F$1)</f>
        <v>1113.9999999999998</v>
      </c>
      <c r="G47" s="729" cm="1">
        <f t="array" ref="G47">INDEX(MODEL!$1:$1048576,Summary!$A47,Summary!G$1)</f>
        <v>1001.0999999999999</v>
      </c>
      <c r="H47" s="729" cm="1">
        <f t="array" ref="H47">INDEX(MODEL!$1:$1048576,Summary!$A47,Summary!H$1)</f>
        <v>1069.8174336799282</v>
      </c>
      <c r="I47" s="729" cm="1">
        <f t="array" ref="I47">INDEX(MODEL!$1:$1048576,Summary!$A47,Summary!I$1)</f>
        <v>1185.7896536966973</v>
      </c>
      <c r="J47" s="729" cm="1">
        <f t="array" ref="J47">INDEX(MODEL!$1:$1048576,Summary!$A47,Summary!J$1)</f>
        <v>1302.7145550474538</v>
      </c>
      <c r="L47" s="759" t="s">
        <v>150</v>
      </c>
      <c r="N47" s="734" cm="1">
        <f t="array" ref="N47">INDEX(Divisionals!$1:$1048576,Summary!$B47,Summary!N$1)</f>
        <v>162</v>
      </c>
      <c r="O47" s="734" cm="1">
        <f t="array" ref="O47">INDEX(Divisionals!$1:$1048576,Summary!$B47,Summary!O$1)</f>
        <v>165</v>
      </c>
      <c r="P47" s="734" cm="1">
        <f t="array" ref="P47">INDEX(Divisionals!$1:$1048576,Summary!$B47,Summary!P$1)</f>
        <v>169</v>
      </c>
      <c r="Q47" s="734" cm="1">
        <f t="array" ref="Q47">INDEX(Divisionals!$1:$1048576,Summary!$B47,Summary!Q$1)</f>
        <v>173</v>
      </c>
      <c r="R47" s="734" cm="1">
        <f t="array" ref="R47">INDEX(Divisionals!$1:$1048576,Summary!$B47,Summary!R$1)</f>
        <v>175</v>
      </c>
    </row>
    <row r="48" spans="1:18">
      <c r="A48" s="724">
        <f>ROW(MODEL!A157)</f>
        <v>157</v>
      </c>
      <c r="B48" s="724">
        <f>ROW(Divisionals!A233)</f>
        <v>233</v>
      </c>
      <c r="D48" s="762" t="s">
        <v>55</v>
      </c>
      <c r="F48" s="734" cm="1">
        <f t="array" ref="F48">INDEX(MODEL!$1:$1048576,Summary!$A48,Summary!F$1)</f>
        <v>298.7</v>
      </c>
      <c r="G48" s="734" cm="1">
        <f t="array" ref="G48">INDEX(MODEL!$1:$1048576,Summary!$A48,Summary!G$1)</f>
        <v>356.6</v>
      </c>
      <c r="H48" s="734" cm="1">
        <f t="array" ref="H48">INDEX(MODEL!$1:$1048576,Summary!$A48,Summary!H$1)</f>
        <v>406.45357125869668</v>
      </c>
      <c r="I48" s="734" cm="1">
        <f t="array" ref="I48">INDEX(MODEL!$1:$1048576,Summary!$A48,Summary!I$1)</f>
        <v>445.43953208046406</v>
      </c>
      <c r="J48" s="734" cm="1">
        <f t="array" ref="J48">INDEX(MODEL!$1:$1048576,Summary!$A48,Summary!J$1)</f>
        <v>472.73770736078239</v>
      </c>
      <c r="L48" s="759" t="s">
        <v>246</v>
      </c>
      <c r="N48" s="734" cm="1">
        <f t="array" ref="N48">INDEX(Divisionals!$1:$1048576,Summary!$B48,Summary!N$1)</f>
        <v>97</v>
      </c>
      <c r="O48" s="734" cm="1">
        <f t="array" ref="O48">INDEX(Divisionals!$1:$1048576,Summary!$B48,Summary!O$1)</f>
        <v>103</v>
      </c>
      <c r="P48" s="734" cm="1">
        <f t="array" ref="P48">INDEX(Divisionals!$1:$1048576,Summary!$B48,Summary!P$1)</f>
        <v>103</v>
      </c>
      <c r="Q48" s="734" cm="1">
        <f t="array" ref="Q48">INDEX(Divisionals!$1:$1048576,Summary!$B48,Summary!Q$1)</f>
        <v>105</v>
      </c>
      <c r="R48" s="734" cm="1">
        <f t="array" ref="R48">INDEX(Divisionals!$1:$1048576,Summary!$B48,Summary!R$1)</f>
        <v>106</v>
      </c>
    </row>
    <row r="49" spans="1:18">
      <c r="A49" s="724">
        <f>ROW(MODEL!A158)</f>
        <v>158</v>
      </c>
      <c r="B49" s="724">
        <f>ROW(Divisionals!A344)</f>
        <v>344</v>
      </c>
      <c r="D49" s="762" t="s">
        <v>74</v>
      </c>
      <c r="F49" s="734" cm="1">
        <f t="array" ref="F49">INDEX(MODEL!$1:$1048576,Summary!$A49,Summary!F$1)</f>
        <v>527.4</v>
      </c>
      <c r="G49" s="734" cm="1">
        <f t="array" ref="G49">INDEX(MODEL!$1:$1048576,Summary!$A49,Summary!G$1)</f>
        <v>527.4</v>
      </c>
      <c r="H49" s="734" cm="1">
        <f t="array" ref="H49">INDEX(MODEL!$1:$1048576,Summary!$A49,Summary!H$1)</f>
        <v>527.4</v>
      </c>
      <c r="I49" s="734" cm="1">
        <f t="array" ref="I49">INDEX(MODEL!$1:$1048576,Summary!$A49,Summary!I$1)</f>
        <v>527.4</v>
      </c>
      <c r="J49" s="734" cm="1">
        <f t="array" ref="J49">INDEX(MODEL!$1:$1048576,Summary!$A49,Summary!J$1)</f>
        <v>527.4</v>
      </c>
      <c r="L49" s="759" t="s">
        <v>168</v>
      </c>
      <c r="N49" s="734" cm="1">
        <f t="array" ref="N49">INDEX(Divisionals!$1:$1048576,Summary!$B49,Summary!N$1)</f>
        <v>159</v>
      </c>
      <c r="O49" s="734" cm="1">
        <f t="array" ref="O49">INDEX(Divisionals!$1:$1048576,Summary!$B49,Summary!O$1)</f>
        <v>162</v>
      </c>
      <c r="P49" s="734" cm="1">
        <f t="array" ref="P49">INDEX(Divisionals!$1:$1048576,Summary!$B49,Summary!P$1)</f>
        <v>168</v>
      </c>
      <c r="Q49" s="734" cm="1">
        <f t="array" ref="Q49">INDEX(Divisionals!$1:$1048576,Summary!$B49,Summary!Q$1)</f>
        <v>170</v>
      </c>
      <c r="R49" s="734" cm="1">
        <f t="array" ref="R49">INDEX(Divisionals!$1:$1048576,Summary!$B49,Summary!R$1)</f>
        <v>172</v>
      </c>
    </row>
    <row r="50" spans="1:18">
      <c r="A50" s="724">
        <f>ROW(MODEL!A159)</f>
        <v>159</v>
      </c>
      <c r="B50" s="724">
        <f>ROW(Divisionals!A51)</f>
        <v>51</v>
      </c>
      <c r="D50" s="762" t="s">
        <v>1050</v>
      </c>
      <c r="F50" s="734" cm="1">
        <f t="array" ref="F50">INDEX(MODEL!$1:$1048576,Summary!$A50,Summary!F$1)</f>
        <v>319</v>
      </c>
      <c r="G50" s="734" cm="1">
        <f t="array" ref="G50">INDEX(MODEL!$1:$1048576,Summary!$A50,Summary!G$1)</f>
        <v>310.8</v>
      </c>
      <c r="H50" s="734" cm="1">
        <f t="array" ref="H50">INDEX(MODEL!$1:$1048576,Summary!$A50,Summary!H$1)</f>
        <v>317.23839005320303</v>
      </c>
      <c r="I50" s="734" cm="1">
        <f t="array" ref="I50">INDEX(MODEL!$1:$1048576,Summary!$A50,Summary!I$1)</f>
        <v>324.87265216088065</v>
      </c>
      <c r="J50" s="734" cm="1">
        <f t="array" ref="J50">INDEX(MODEL!$1:$1048576,Summary!$A50,Summary!J$1)</f>
        <v>333.73088280410343</v>
      </c>
      <c r="L50" s="744" t="s">
        <v>147</v>
      </c>
      <c r="N50" s="729" cm="1">
        <f t="array" ref="N50">INDEX(Divisionals!$1:$1048576,Summary!$B50,Summary!N$1)</f>
        <v>759</v>
      </c>
      <c r="O50" s="729" cm="1">
        <f t="array" ref="O50">INDEX(Divisionals!$1:$1048576,Summary!$B50,Summary!O$1)</f>
        <v>782</v>
      </c>
      <c r="P50" s="729" cm="1">
        <f t="array" ref="P50">INDEX(Divisionals!$1:$1048576,Summary!$B50,Summary!P$1)</f>
        <v>799</v>
      </c>
      <c r="Q50" s="729" cm="1">
        <f t="array" ref="Q50">INDEX(Divisionals!$1:$1048576,Summary!$B50,Summary!Q$1)</f>
        <v>815</v>
      </c>
      <c r="R50" s="729" cm="1">
        <f t="array" ref="R50">INDEX(Divisionals!$1:$1048576,Summary!$B50,Summary!R$1)</f>
        <v>828</v>
      </c>
    </row>
    <row r="51" spans="1:18">
      <c r="A51" s="724">
        <f>ROW(MODEL!A161)</f>
        <v>161</v>
      </c>
      <c r="D51" s="762" t="s">
        <v>4</v>
      </c>
      <c r="F51" s="734" cm="1">
        <f t="array" ref="F51">INDEX(MODEL!$1:$1048576,Summary!$A51,Summary!F$1)</f>
        <v>17.600000000000001</v>
      </c>
      <c r="G51" s="734" cm="1">
        <f t="array" ref="G51">INDEX(MODEL!$1:$1048576,Summary!$A51,Summary!G$1)</f>
        <v>30.9</v>
      </c>
      <c r="H51" s="734" cm="1">
        <f t="array" ref="H51">INDEX(MODEL!$1:$1048576,Summary!$A51,Summary!H$1)</f>
        <v>30.9</v>
      </c>
      <c r="I51" s="734" cm="1">
        <f t="array" ref="I51">INDEX(MODEL!$1:$1048576,Summary!$A51,Summary!I$1)</f>
        <v>30.9</v>
      </c>
      <c r="J51" s="734" cm="1">
        <f t="array" ref="J51">INDEX(MODEL!$1:$1048576,Summary!$A51,Summary!J$1)</f>
        <v>30.9</v>
      </c>
    </row>
    <row r="52" spans="1:18">
      <c r="A52" s="724">
        <f>ROW(MODEL!A160)</f>
        <v>160</v>
      </c>
      <c r="D52" s="762" t="s">
        <v>1051</v>
      </c>
      <c r="F52" s="734" cm="1">
        <f t="array" ref="F52">INDEX(MODEL!$1:$1048576,Summary!$A52,Summary!F$1)</f>
        <v>986.59999999999957</v>
      </c>
      <c r="G52" s="734" cm="1">
        <f t="array" ref="G52">INDEX(MODEL!$1:$1048576,Summary!$A52,Summary!G$1)</f>
        <v>1109.7999999999997</v>
      </c>
      <c r="H52" s="734" cm="1">
        <f t="array" ref="H52">INDEX(MODEL!$1:$1048576,Summary!$A52,Summary!H$1)</f>
        <v>1123.5811040441918</v>
      </c>
      <c r="I52" s="734" cm="1">
        <f t="array" ref="I52">INDEX(MODEL!$1:$1048576,Summary!$A52,Summary!I$1)</f>
        <v>1137.3938146370483</v>
      </c>
      <c r="J52" s="734" cm="1">
        <f t="array" ref="J52">INDEX(MODEL!$1:$1048576,Summary!$A52,Summary!J$1)</f>
        <v>1178.9218893433258</v>
      </c>
      <c r="L52" s="727" t="s">
        <v>1058</v>
      </c>
      <c r="M52" s="728"/>
      <c r="N52" s="728" t="s">
        <v>740</v>
      </c>
      <c r="O52" s="728" t="s">
        <v>913</v>
      </c>
      <c r="P52" s="728" t="s">
        <v>943</v>
      </c>
      <c r="Q52" s="728" t="s">
        <v>983</v>
      </c>
      <c r="R52" s="728" t="s">
        <v>984</v>
      </c>
    </row>
    <row r="53" spans="1:18">
      <c r="B53" s="724">
        <f>ROW(MODEL!A11)</f>
        <v>11</v>
      </c>
      <c r="D53" s="762" t="s">
        <v>72</v>
      </c>
      <c r="F53" s="734">
        <f>F54-SUM(F48:F52)</f>
        <v>0</v>
      </c>
      <c r="G53" s="734">
        <f t="shared" ref="G53:J53" si="3">G54-SUM(G48:G52)</f>
        <v>0</v>
      </c>
      <c r="H53" s="734">
        <f t="shared" si="3"/>
        <v>0</v>
      </c>
      <c r="I53" s="734">
        <f t="shared" si="3"/>
        <v>0</v>
      </c>
      <c r="J53" s="734">
        <f t="shared" si="3"/>
        <v>0</v>
      </c>
      <c r="L53" s="724" t="s">
        <v>684</v>
      </c>
      <c r="N53" s="765" cm="1">
        <f t="array" ref="N53">INDEX(MODEL!$1:$1048576,Summary!$B53,Summary!N$1)</f>
        <v>0.46314515298238385</v>
      </c>
      <c r="O53" s="765" cm="1">
        <f t="array" ref="O53">INDEX(MODEL!$1:$1048576,Summary!$B53,Summary!O$1)</f>
        <v>0.4569928096395004</v>
      </c>
      <c r="P53" s="765" cm="1">
        <f t="array" ref="P53">INDEX(MODEL!$1:$1048576,Summary!$B53,Summary!P$1)</f>
        <v>0.45760938357939818</v>
      </c>
      <c r="Q53" s="765" cm="1">
        <f t="array" ref="Q53">INDEX(MODEL!$1:$1048576,Summary!$B53,Summary!Q$1)</f>
        <v>0.45791358192736953</v>
      </c>
      <c r="R53" s="765" cm="1">
        <f t="array" ref="R53">INDEX(MODEL!$1:$1048576,Summary!$B53,Summary!R$1)</f>
        <v>0.45818774012782404</v>
      </c>
    </row>
    <row r="54" spans="1:18">
      <c r="A54" s="724">
        <f>ROW(MODEL!A163)</f>
        <v>163</v>
      </c>
      <c r="B54" s="724">
        <f>ROW(MODEL!A27)</f>
        <v>27</v>
      </c>
      <c r="D54" s="763" t="s">
        <v>5</v>
      </c>
      <c r="F54" s="729" cm="1">
        <f t="array" ref="F54">INDEX(MODEL!$1:$1048576,Summary!$A54,Summary!F$1)</f>
        <v>2149.2999999999993</v>
      </c>
      <c r="G54" s="729" cm="1">
        <f t="array" ref="G54">INDEX(MODEL!$1:$1048576,Summary!$A54,Summary!G$1)</f>
        <v>2335.5</v>
      </c>
      <c r="H54" s="729" cm="1">
        <f t="array" ref="H54">INDEX(MODEL!$1:$1048576,Summary!$A54,Summary!H$1)</f>
        <v>2405.5730653560913</v>
      </c>
      <c r="I54" s="729" cm="1">
        <f t="array" ref="I54">INDEX(MODEL!$1:$1048576,Summary!$A54,Summary!I$1)</f>
        <v>2466.0059988783933</v>
      </c>
      <c r="J54" s="729" cm="1">
        <f t="array" ref="J54">INDEX(MODEL!$1:$1048576,Summary!$A54,Summary!J$1)</f>
        <v>2543.6904795082119</v>
      </c>
      <c r="L54" s="745" t="s">
        <v>66</v>
      </c>
      <c r="N54" s="765" cm="1">
        <f t="array" ref="N54">INDEX(MODEL!$1:$1048576,Summary!$B54,Summary!N$1)</f>
        <v>0.18811167198928608</v>
      </c>
      <c r="O54" s="765" cm="1">
        <f t="array" ref="O54">INDEX(MODEL!$1:$1048576,Summary!$B54,Summary!O$1)</f>
        <v>0.18520699894475939</v>
      </c>
      <c r="P54" s="765" cm="1">
        <f t="array" ref="P54">INDEX(MODEL!$1:$1048576,Summary!$B54,Summary!P$1)</f>
        <v>0.18104490662871592</v>
      </c>
      <c r="Q54" s="765" cm="1">
        <f t="array" ref="Q54">INDEX(MODEL!$1:$1048576,Summary!$B54,Summary!Q$1)</f>
        <v>0.18861545541781</v>
      </c>
      <c r="R54" s="765" cm="1">
        <f t="array" ref="R54">INDEX(MODEL!$1:$1048576,Summary!$B54,Summary!R$1)</f>
        <v>0.19011416977015019</v>
      </c>
    </row>
    <row r="55" spans="1:18">
      <c r="A55" s="724">
        <f>ROW(MODEL!A165)</f>
        <v>165</v>
      </c>
      <c r="B55" s="724">
        <f>ROW(MODEL!A33)</f>
        <v>33</v>
      </c>
      <c r="D55" s="749" t="s">
        <v>6</v>
      </c>
      <c r="F55" s="729" cm="1">
        <f t="array" ref="F55">INDEX(MODEL!$1:$1048576,Summary!$A55,Summary!F$1)</f>
        <v>3263.2999999999993</v>
      </c>
      <c r="G55" s="729" cm="1">
        <f t="array" ref="G55">INDEX(MODEL!$1:$1048576,Summary!$A55,Summary!G$1)</f>
        <v>3336.6</v>
      </c>
      <c r="H55" s="729" cm="1">
        <f t="array" ref="H55">INDEX(MODEL!$1:$1048576,Summary!$A55,Summary!H$1)</f>
        <v>3475.3904990360197</v>
      </c>
      <c r="I55" s="729" cm="1">
        <f t="array" ref="I55">INDEX(MODEL!$1:$1048576,Summary!$A55,Summary!I$1)</f>
        <v>3651.7956525750906</v>
      </c>
      <c r="J55" s="729" cm="1">
        <f t="array" ref="J55">INDEX(MODEL!$1:$1048576,Summary!$A55,Summary!J$1)</f>
        <v>3846.4050345556657</v>
      </c>
      <c r="L55" s="745" t="s">
        <v>70</v>
      </c>
      <c r="N55" s="765" cm="1">
        <f t="array" ref="N55">INDEX(MODEL!$1:$1048576,Summary!$B55,Summary!N$1)</f>
        <v>0.10100958071494796</v>
      </c>
      <c r="O55" s="765" cm="1">
        <f t="array" ref="O55">INDEX(MODEL!$1:$1048576,Summary!$B55,Summary!O$1)</f>
        <v>9.7278460821124443E-2</v>
      </c>
      <c r="P55" s="765" cm="1">
        <f t="array" ref="P55">INDEX(MODEL!$1:$1048576,Summary!$B55,Summary!P$1)</f>
        <v>9.3752905390825494E-2</v>
      </c>
      <c r="Q55" s="765" cm="1">
        <f t="array" ref="Q55">INDEX(MODEL!$1:$1048576,Summary!$B55,Summary!Q$1)</f>
        <v>0.10164277029888262</v>
      </c>
      <c r="R55" s="765" cm="1">
        <f t="array" ref="R55">INDEX(MODEL!$1:$1048576,Summary!$B55,Summary!R$1)</f>
        <v>0.10321978636799994</v>
      </c>
    </row>
    <row r="56" spans="1:18">
      <c r="A56" s="724">
        <f>ROW(MODEL!A168)</f>
        <v>168</v>
      </c>
      <c r="B56" s="724">
        <f>ROW(MODEL!A45)</f>
        <v>45</v>
      </c>
      <c r="D56" s="762" t="s">
        <v>76</v>
      </c>
      <c r="F56" s="734" cm="1">
        <f t="array" ref="F56">INDEX(MODEL!$1:$1048576,Summary!$A56,Summary!F$1)</f>
        <v>0</v>
      </c>
      <c r="G56" s="734" cm="1">
        <f t="array" ref="G56">INDEX(MODEL!$1:$1048576,Summary!$A56,Summary!G$1)</f>
        <v>0</v>
      </c>
      <c r="H56" s="734" cm="1">
        <f t="array" ref="H56">INDEX(MODEL!$1:$1048576,Summary!$A56,Summary!H$1)</f>
        <v>0</v>
      </c>
      <c r="I56" s="734" cm="1">
        <f t="array" ref="I56">INDEX(MODEL!$1:$1048576,Summary!$A56,Summary!I$1)</f>
        <v>0</v>
      </c>
      <c r="J56" s="734" cm="1">
        <f t="array" ref="J56">INDEX(MODEL!$1:$1048576,Summary!$A56,Summary!J$1)</f>
        <v>0</v>
      </c>
      <c r="L56" s="745" t="s">
        <v>418</v>
      </c>
      <c r="N56" s="765" cm="1">
        <f t="array" ref="N56">INDEX(MODEL!$1:$1048576,Summary!$B56,Summary!N$1)</f>
        <v>6.2351910992067584E-2</v>
      </c>
      <c r="O56" s="765" cm="1">
        <f t="array" ref="O56">INDEX(MODEL!$1:$1048576,Summary!$B56,Summary!O$1)</f>
        <v>5.7032074406733899E-2</v>
      </c>
      <c r="P56" s="765" cm="1">
        <f t="array" ref="P56">INDEX(MODEL!$1:$1048576,Summary!$B56,Summary!P$1)</f>
        <v>5.4851425267184631E-2</v>
      </c>
      <c r="Q56" s="765" cm="1">
        <f t="array" ref="Q56">INDEX(MODEL!$1:$1048576,Summary!$B56,Summary!Q$1)</f>
        <v>6.1279457266070522E-2</v>
      </c>
      <c r="R56" s="765" cm="1">
        <f t="array" ref="R56">INDEX(MODEL!$1:$1048576,Summary!$B56,Summary!R$1)</f>
        <v>6.2984318005770992E-2</v>
      </c>
    </row>
    <row r="57" spans="1:18">
      <c r="A57" s="724">
        <f>ROW(MODEL!A169)</f>
        <v>169</v>
      </c>
      <c r="D57" s="762" t="s">
        <v>572</v>
      </c>
      <c r="F57" s="734" cm="1">
        <f t="array" ref="F57">INDEX(MODEL!$1:$1048576,Summary!$A57,Summary!F$1)</f>
        <v>200.3</v>
      </c>
      <c r="G57" s="734" cm="1">
        <f t="array" ref="G57">INDEX(MODEL!$1:$1048576,Summary!$A57,Summary!G$1)</f>
        <v>223.6</v>
      </c>
      <c r="H57" s="734" cm="1">
        <f t="array" ref="H57">INDEX(MODEL!$1:$1048576,Summary!$A57,Summary!H$1)</f>
        <v>255.26673698560717</v>
      </c>
      <c r="I57" s="734" cm="1">
        <f t="array" ref="I57">INDEX(MODEL!$1:$1048576,Summary!$A57,Summary!I$1)</f>
        <v>260.15616832488467</v>
      </c>
      <c r="J57" s="734" cm="1">
        <f t="array" ref="J57">INDEX(MODEL!$1:$1048576,Summary!$A57,Summary!J$1)</f>
        <v>268.97644925742134</v>
      </c>
      <c r="L57" s="759"/>
      <c r="N57" s="764"/>
      <c r="O57" s="764"/>
      <c r="P57" s="764"/>
      <c r="Q57" s="764"/>
      <c r="R57" s="764"/>
    </row>
    <row r="58" spans="1:18">
      <c r="A58" s="724">
        <f>ROW(MODEL!A170)</f>
        <v>170</v>
      </c>
      <c r="D58" s="762" t="s">
        <v>8</v>
      </c>
      <c r="F58" s="734" cm="1">
        <f t="array" ref="F58">INDEX(MODEL!$1:$1048576,Summary!$A58,Summary!F$1)</f>
        <v>578.9</v>
      </c>
      <c r="G58" s="734" cm="1">
        <f t="array" ref="G58">INDEX(MODEL!$1:$1048576,Summary!$A58,Summary!G$1)</f>
        <v>585.5</v>
      </c>
      <c r="H58" s="734" cm="1">
        <f t="array" ref="H58">INDEX(MODEL!$1:$1048576,Summary!$A58,Summary!H$1)</f>
        <v>616.64843402743827</v>
      </c>
      <c r="I58" s="734" cm="1">
        <f t="array" ref="I58">INDEX(MODEL!$1:$1048576,Summary!$A58,Summary!I$1)</f>
        <v>647.73128646988278</v>
      </c>
      <c r="J58" s="734" cm="1">
        <f t="array" ref="J58">INDEX(MODEL!$1:$1048576,Summary!$A58,Summary!J$1)</f>
        <v>678.30650203285199</v>
      </c>
      <c r="L58" s="727" t="s">
        <v>42</v>
      </c>
      <c r="M58" s="728"/>
      <c r="N58" s="728" t="s">
        <v>740</v>
      </c>
      <c r="O58" s="728" t="s">
        <v>913</v>
      </c>
      <c r="P58" s="728" t="s">
        <v>943</v>
      </c>
      <c r="Q58" s="728" t="s">
        <v>983</v>
      </c>
      <c r="R58" s="728" t="s">
        <v>984</v>
      </c>
    </row>
    <row r="59" spans="1:18">
      <c r="A59" s="724">
        <f>ROW(MODEL!A171)</f>
        <v>171</v>
      </c>
      <c r="B59" s="724">
        <f>ROW(MODEL!A7)</f>
        <v>7</v>
      </c>
      <c r="D59" s="762" t="s">
        <v>77</v>
      </c>
      <c r="F59" s="734" cm="1">
        <f t="array" ref="F59">INDEX(MODEL!$1:$1048576,Summary!$A59,Summary!F$1)</f>
        <v>115.3</v>
      </c>
      <c r="G59" s="734" cm="1">
        <f t="array" ref="G59">INDEX(MODEL!$1:$1048576,Summary!$A59,Summary!G$1)</f>
        <v>108.8</v>
      </c>
      <c r="H59" s="734" cm="1">
        <f t="array" ref="H59">INDEX(MODEL!$1:$1048576,Summary!$A59,Summary!H$1)</f>
        <v>136.89783312870784</v>
      </c>
      <c r="I59" s="734" cm="1">
        <f t="array" ref="I59">INDEX(MODEL!$1:$1048576,Summary!$A59,Summary!I$1)</f>
        <v>143.87901534009319</v>
      </c>
      <c r="J59" s="734" cm="1">
        <f t="array" ref="J59">INDEX(MODEL!$1:$1048576,Summary!$A59,Summary!J$1)</f>
        <v>150.7468551646804</v>
      </c>
      <c r="L59" s="724" t="s">
        <v>65</v>
      </c>
      <c r="M59" s="730"/>
      <c r="N59" s="765" cm="1">
        <f t="array" ref="N59">INDEX(MODEL!$1:$1048576,Summary!$B59,Summary!N$1)</f>
        <v>2.103713053539491E-2</v>
      </c>
      <c r="O59" s="765" cm="1">
        <f t="array" ref="O59">INDEX(MODEL!$1:$1048576,Summary!$B59,Summary!O$1)</f>
        <v>4.9474605954465734E-2</v>
      </c>
      <c r="P59" s="765" cm="1">
        <f t="array" ref="P59">INDEX(MODEL!$1:$1048576,Summary!$B59,Summary!P$1)</f>
        <v>4.9855771987562747E-2</v>
      </c>
      <c r="Q59" s="765" cm="1">
        <f t="array" ref="Q59">INDEX(MODEL!$1:$1048576,Summary!$B59,Summary!Q$1)</f>
        <v>5.0995564004448601E-2</v>
      </c>
      <c r="R59" s="765" cm="1">
        <f t="array" ref="R59">INDEX(MODEL!$1:$1048576,Summary!$B59,Summary!R$1)</f>
        <v>4.7733436376065086E-2</v>
      </c>
    </row>
    <row r="60" spans="1:18">
      <c r="B60" s="724">
        <f>ROW(MODEL!A26)</f>
        <v>26</v>
      </c>
      <c r="D60" s="762" t="s">
        <v>72</v>
      </c>
      <c r="F60" s="734">
        <f>F61-SUM(F56:F59)</f>
        <v>36.899999999999977</v>
      </c>
      <c r="G60" s="734">
        <f t="shared" ref="G60:J60" si="4">G61-SUM(G56:G59)</f>
        <v>20.5</v>
      </c>
      <c r="H60" s="734">
        <f t="shared" si="4"/>
        <v>20.5</v>
      </c>
      <c r="I60" s="734">
        <f t="shared" si="4"/>
        <v>20.5</v>
      </c>
      <c r="J60" s="734">
        <f t="shared" si="4"/>
        <v>20.5</v>
      </c>
      <c r="L60" s="745" t="s">
        <v>66</v>
      </c>
      <c r="N60" s="765" cm="1">
        <f t="array" ref="N60">INDEX(MODEL!$1:$1048576,Summary!$B60,Summary!N$1)</f>
        <v>-4.3227665706051854E-2</v>
      </c>
      <c r="O60" s="765" cm="1">
        <f t="array" ref="O60">INDEX(MODEL!$1:$1048576,Summary!$B60,Summary!O$1)</f>
        <v>3.3269441401971633E-2</v>
      </c>
      <c r="P60" s="765" cm="1">
        <f t="array" ref="P60">INDEX(MODEL!$1:$1048576,Summary!$B60,Summary!P$1)</f>
        <v>2.6262729249223238E-2</v>
      </c>
      <c r="Q60" s="765" cm="1">
        <f t="array" ref="Q60">INDEX(MODEL!$1:$1048576,Summary!$B60,Summary!Q$1)</f>
        <v>9.4943849225940236E-2</v>
      </c>
      <c r="R60" s="765" cm="1">
        <f t="array" ref="R60">INDEX(MODEL!$1:$1048576,Summary!$B60,Summary!R$1)</f>
        <v>5.605859263139501E-2</v>
      </c>
    </row>
    <row r="61" spans="1:18">
      <c r="A61" s="724">
        <f>ROW(MODEL!A173)</f>
        <v>173</v>
      </c>
      <c r="B61" s="724">
        <f>ROW(MODEL!A32)</f>
        <v>32</v>
      </c>
      <c r="D61" s="763" t="s">
        <v>10</v>
      </c>
      <c r="F61" s="729" cm="1">
        <f t="array" ref="F61">INDEX(MODEL!$1:$1048576,Summary!$A61,Summary!F$1)</f>
        <v>931.4</v>
      </c>
      <c r="G61" s="729" cm="1">
        <f t="array" ref="G61">INDEX(MODEL!$1:$1048576,Summary!$A61,Summary!G$1)</f>
        <v>938.4</v>
      </c>
      <c r="H61" s="729" cm="1">
        <f t="array" ref="H61">INDEX(MODEL!$1:$1048576,Summary!$A61,Summary!H$1)</f>
        <v>1029.3130041417533</v>
      </c>
      <c r="I61" s="729" cm="1">
        <f t="array" ref="I61">INDEX(MODEL!$1:$1048576,Summary!$A61,Summary!I$1)</f>
        <v>1072.2664701348606</v>
      </c>
      <c r="J61" s="729" cm="1">
        <f t="array" ref="J61">INDEX(MODEL!$1:$1048576,Summary!$A61,Summary!J$1)</f>
        <v>1118.5298064549538</v>
      </c>
      <c r="L61" s="745" t="s">
        <v>70</v>
      </c>
      <c r="N61" s="765" cm="1">
        <f t="array" ref="N61">INDEX(MODEL!$1:$1048576,Summary!$B61,Summary!N$1)</f>
        <v>-9.5896726602120896E-2</v>
      </c>
      <c r="O61" s="765" cm="1">
        <f t="array" ref="O61">INDEX(MODEL!$1:$1048576,Summary!$B61,Summary!O$1)</f>
        <v>1.0708822029576792E-2</v>
      </c>
      <c r="P61" s="765" cm="1">
        <f t="array" ref="P61">INDEX(MODEL!$1:$1048576,Summary!$B61,Summary!P$1)</f>
        <v>1.1807012922928406E-2</v>
      </c>
      <c r="Q61" s="765" cm="1">
        <f t="array" ref="Q61">INDEX(MODEL!$1:$1048576,Summary!$B61,Summary!Q$1)</f>
        <v>0.1394430951438288</v>
      </c>
      <c r="R61" s="765" cm="1">
        <f t="array" ref="R61">INDEX(MODEL!$1:$1048576,Summary!$B61,Summary!R$1)</f>
        <v>6.3989314294956579E-2</v>
      </c>
    </row>
    <row r="62" spans="1:18">
      <c r="A62" s="724">
        <f>ROW(MODEL!A176)</f>
        <v>176</v>
      </c>
      <c r="B62" s="724">
        <f>ROW(MODEL!A44)</f>
        <v>44</v>
      </c>
      <c r="D62" s="762" t="s">
        <v>76</v>
      </c>
      <c r="F62" s="734" cm="1">
        <f t="array" ref="F62">INDEX(MODEL!$1:$1048576,Summary!$A62,Summary!F$1)</f>
        <v>0</v>
      </c>
      <c r="G62" s="734" cm="1">
        <f t="array" ref="G62">INDEX(MODEL!$1:$1048576,Summary!$A62,Summary!G$1)</f>
        <v>0</v>
      </c>
      <c r="H62" s="734" cm="1">
        <f t="array" ref="H62">INDEX(MODEL!$1:$1048576,Summary!$A62,Summary!H$1)</f>
        <v>0.1</v>
      </c>
      <c r="I62" s="734" cm="1">
        <f t="array" ref="I62">INDEX(MODEL!$1:$1048576,Summary!$A62,Summary!I$1)</f>
        <v>0.1</v>
      </c>
      <c r="J62" s="734" cm="1">
        <f t="array" ref="J62">INDEX(MODEL!$1:$1048576,Summary!$A62,Summary!J$1)</f>
        <v>0.1</v>
      </c>
      <c r="L62" s="724" t="s">
        <v>418</v>
      </c>
      <c r="N62" s="765" cm="1">
        <f t="array" ref="N62">INDEX(MODEL!$1:$1048576,Summary!$B62,Summary!N$1)</f>
        <v>-0.11480804387568544</v>
      </c>
      <c r="O62" s="765" cm="1">
        <f t="array" ref="O62">INDEX(MODEL!$1:$1048576,Summary!$B62,Summary!O$1)</f>
        <v>-4.0066088393226118E-2</v>
      </c>
      <c r="P62" s="765" cm="1">
        <f t="array" ref="P62">INDEX(MODEL!$1:$1048576,Summary!$B62,Summary!P$1)</f>
        <v>9.7140252660863347E-3</v>
      </c>
      <c r="Q62" s="765" cm="1">
        <f t="array" ref="Q62">INDEX(MODEL!$1:$1048576,Summary!$B62,Summary!Q$1)</f>
        <v>0.17416160906525868</v>
      </c>
      <c r="R62" s="765" cm="1">
        <f t="array" ref="R62">INDEX(MODEL!$1:$1048576,Summary!$B62,Summary!R$1)</f>
        <v>7.6882513098355476E-2</v>
      </c>
    </row>
    <row r="63" spans="1:18">
      <c r="A63" s="724">
        <f>ROW(MODEL!A177)</f>
        <v>177</v>
      </c>
      <c r="B63" s="724">
        <f>ROW(MODEL!A84)</f>
        <v>84</v>
      </c>
      <c r="D63" s="762" t="s">
        <v>572</v>
      </c>
      <c r="F63" s="734" cm="1">
        <f t="array" ref="F63">INDEX(MODEL!$1:$1048576,Summary!$A63,Summary!F$1)</f>
        <v>903.10000000000014</v>
      </c>
      <c r="G63" s="734" cm="1">
        <f t="array" ref="G63">INDEX(MODEL!$1:$1048576,Summary!$A63,Summary!G$1)</f>
        <v>1012.2000000000002</v>
      </c>
      <c r="H63" s="734" cm="1">
        <f t="array" ref="H63">INDEX(MODEL!$1:$1048576,Summary!$A63,Summary!H$1)</f>
        <v>1021.0669479424287</v>
      </c>
      <c r="I63" s="734" cm="1">
        <f t="array" ref="I63">INDEX(MODEL!$1:$1048576,Summary!$A63,Summary!I$1)</f>
        <v>1040.6246732995387</v>
      </c>
      <c r="J63" s="734" cm="1">
        <f t="array" ref="J63">INDEX(MODEL!$1:$1048576,Summary!$A63,Summary!J$1)</f>
        <v>1075.9057970296853</v>
      </c>
      <c r="L63" s="724" t="s">
        <v>269</v>
      </c>
      <c r="N63" s="765" cm="1">
        <f t="array" ref="N63">INDEX(MODEL!$1:$1048576,Summary!$B63,Summary!N$1)</f>
        <v>-8.7072243346007605E-2</v>
      </c>
      <c r="O63" s="765" cm="1">
        <f t="array" ref="O63">INDEX(MODEL!$1:$1048576,Summary!$B63,Summary!O$1)</f>
        <v>-7.6218242399000657E-2</v>
      </c>
      <c r="P63" s="765" cm="1">
        <f t="array" ref="P63">INDEX(MODEL!$1:$1048576,Summary!$B63,Summary!P$1)</f>
        <v>5.7969068854095918E-2</v>
      </c>
      <c r="Q63" s="765" cm="1">
        <f t="array" ref="Q63">INDEX(MODEL!$1:$1048576,Summary!$B63,Summary!Q$1)</f>
        <v>0.1741616090652589</v>
      </c>
      <c r="R63" s="765" cm="1">
        <f t="array" ref="R63">INDEX(MODEL!$1:$1048576,Summary!$B63,Summary!R$1)</f>
        <v>7.6882513098355254E-2</v>
      </c>
    </row>
    <row r="64" spans="1:18">
      <c r="A64" s="724">
        <f>ROW(MODEL!A178)</f>
        <v>178</v>
      </c>
      <c r="D64" s="737" t="s">
        <v>1054</v>
      </c>
      <c r="F64" s="734" cm="1">
        <f t="array" ref="F64">INDEX(MODEL!$1:$1048576,Summary!$A64,Summary!F$1)</f>
        <v>10.199999999999999</v>
      </c>
      <c r="G64" s="734" cm="1">
        <f t="array" ref="G64">INDEX(MODEL!$1:$1048576,Summary!$A64,Summary!G$1)</f>
        <v>7.4</v>
      </c>
      <c r="H64" s="734" cm="1">
        <f t="array" ref="H64">INDEX(MODEL!$1:$1048576,Summary!$A64,Summary!H$1)</f>
        <v>7.4</v>
      </c>
      <c r="I64" s="734" cm="1">
        <f t="array" ref="I64">INDEX(MODEL!$1:$1048576,Summary!$A64,Summary!I$1)</f>
        <v>7.4</v>
      </c>
      <c r="J64" s="734" cm="1">
        <f t="array" ref="J64">INDEX(MODEL!$1:$1048576,Summary!$A64,Summary!J$1)</f>
        <v>7.4</v>
      </c>
    </row>
    <row r="65" spans="1:18">
      <c r="D65" s="762" t="s">
        <v>72</v>
      </c>
      <c r="F65" s="734">
        <f>F66-SUM(F62:F64)</f>
        <v>45.399999999999977</v>
      </c>
      <c r="G65" s="734">
        <f t="shared" ref="G65:J65" si="5">G66-SUM(G62:G64)</f>
        <v>57.200000000000045</v>
      </c>
      <c r="H65" s="734">
        <f t="shared" si="5"/>
        <v>57.200000000000045</v>
      </c>
      <c r="I65" s="734">
        <f t="shared" si="5"/>
        <v>57.200000000000045</v>
      </c>
      <c r="J65" s="734">
        <f t="shared" si="5"/>
        <v>57.200000000000045</v>
      </c>
      <c r="L65" s="727" t="s">
        <v>72</v>
      </c>
      <c r="M65" s="728"/>
      <c r="N65" s="728" t="s">
        <v>740</v>
      </c>
      <c r="O65" s="728" t="s">
        <v>913</v>
      </c>
      <c r="P65" s="728" t="s">
        <v>943</v>
      </c>
      <c r="Q65" s="728" t="s">
        <v>983</v>
      </c>
      <c r="R65" s="728" t="s">
        <v>984</v>
      </c>
    </row>
    <row r="66" spans="1:18">
      <c r="A66" s="724">
        <f>ROW(MODEL!A180)</f>
        <v>180</v>
      </c>
      <c r="B66" s="724">
        <f>ROW(MODEL!A213)</f>
        <v>213</v>
      </c>
      <c r="D66" s="763" t="s">
        <v>13</v>
      </c>
      <c r="F66" s="729" cm="1">
        <f t="array" ref="F66">INDEX(MODEL!$1:$1048576,Summary!$A66,Summary!F$1)</f>
        <v>958.70000000000016</v>
      </c>
      <c r="G66" s="729" cm="1">
        <f t="array" ref="G66">INDEX(MODEL!$1:$1048576,Summary!$A66,Summary!G$1)</f>
        <v>1076.8000000000002</v>
      </c>
      <c r="H66" s="729" cm="1">
        <f t="array" ref="H66">INDEX(MODEL!$1:$1048576,Summary!$A66,Summary!H$1)</f>
        <v>1085.7669479424287</v>
      </c>
      <c r="I66" s="729" cm="1">
        <f t="array" ref="I66">INDEX(MODEL!$1:$1048576,Summary!$A66,Summary!I$1)</f>
        <v>1105.3246732995387</v>
      </c>
      <c r="J66" s="729" cm="1">
        <f t="array" ref="J66">INDEX(MODEL!$1:$1048576,Summary!$A66,Summary!J$1)</f>
        <v>1140.6057970296854</v>
      </c>
      <c r="L66" s="724" t="s">
        <v>31</v>
      </c>
      <c r="N66" s="734" cm="1">
        <f t="array" ref="N66">INDEX(MODEL!$1:$1048576,Summary!$B66,Summary!N$1)</f>
        <v>-217.79999999999978</v>
      </c>
      <c r="O66" s="734" cm="1">
        <f t="array" ref="O66">INDEX(MODEL!$1:$1048576,Summary!$B66,Summary!O$1)</f>
        <v>-63.3</v>
      </c>
      <c r="P66" s="734" cm="1">
        <f t="array" ref="P66">INDEX(MODEL!$1:$1048576,Summary!$B66,Summary!P$1)</f>
        <v>-94.380738442804343</v>
      </c>
      <c r="Q66" s="734" cm="1">
        <f t="array" ref="Q66">INDEX(MODEL!$1:$1048576,Summary!$B66,Summary!Q$1)</f>
        <v>-161.15846333677777</v>
      </c>
      <c r="R66" s="734" cm="1">
        <f t="array" ref="R66">INDEX(MODEL!$1:$1048576,Summary!$B66,Summary!R$1)</f>
        <v>-229.69203798107648</v>
      </c>
    </row>
    <row r="67" spans="1:18">
      <c r="A67" s="724">
        <f>ROW(MODEL!A182)</f>
        <v>182</v>
      </c>
      <c r="B67" s="724">
        <f>ROW(MODEL!B289)</f>
        <v>289</v>
      </c>
      <c r="D67" s="749" t="s">
        <v>14</v>
      </c>
      <c r="F67" s="729" cm="1">
        <f t="array" ref="F67">INDEX(MODEL!$1:$1048576,Summary!$A67,Summary!F$1)</f>
        <v>1890.1000000000001</v>
      </c>
      <c r="G67" s="729" cm="1">
        <f t="array" ref="G67">INDEX(MODEL!$1:$1048576,Summary!$A67,Summary!G$1)</f>
        <v>2015.2000000000003</v>
      </c>
      <c r="H67" s="729" cm="1">
        <f t="array" ref="H67">INDEX(MODEL!$1:$1048576,Summary!$A67,Summary!H$1)</f>
        <v>2115.079952084182</v>
      </c>
      <c r="I67" s="729" cm="1">
        <f t="array" ref="I67">INDEX(MODEL!$1:$1048576,Summary!$A67,Summary!I$1)</f>
        <v>2177.5911434343993</v>
      </c>
      <c r="J67" s="729" cm="1">
        <f t="array" ref="J67">INDEX(MODEL!$1:$1048576,Summary!$A67,Summary!J$1)</f>
        <v>2259.1356034846394</v>
      </c>
      <c r="L67" s="724" t="s">
        <v>1066</v>
      </c>
      <c r="N67" s="1336" cm="1">
        <f t="array" ref="N67">INDEX(MODEL!$1:$1048576,Summary!$B67,Summary!N$1)</f>
        <v>0.18921347939365543</v>
      </c>
      <c r="O67" s="1336" cm="1">
        <f t="array" ref="O67">INDEX(MODEL!$1:$1048576,Summary!$B67,Summary!O$1)</f>
        <v>0.17710507155766581</v>
      </c>
      <c r="P67" s="1336" cm="1">
        <f t="array" ref="P67">INDEX(MODEL!$1:$1048576,Summary!$B67,Summary!P$1)</f>
        <v>0.16925904530090813</v>
      </c>
      <c r="Q67" s="1336" cm="1">
        <f t="array" ref="Q67">INDEX(MODEL!$1:$1048576,Summary!$B67,Summary!Q$1)</f>
        <v>0.19163761175353108</v>
      </c>
      <c r="R67" s="1336" cm="1">
        <f t="array" ref="R67">INDEX(MODEL!$1:$1048576,Summary!$B67,Summary!R$1)</f>
        <v>0.19811941156308022</v>
      </c>
    </row>
    <row r="68" spans="1:18">
      <c r="A68" s="724">
        <f>ROW(MODEL!A189)</f>
        <v>189</v>
      </c>
      <c r="B68" s="724">
        <f>ROW(MODEL!A54)</f>
        <v>54</v>
      </c>
      <c r="D68" s="749" t="s">
        <v>19</v>
      </c>
      <c r="F68" s="729" cm="1">
        <f t="array" ref="F68">INDEX(MODEL!$1:$1048576,Summary!$A68,Summary!F$1)</f>
        <v>1373.2000000000003</v>
      </c>
      <c r="G68" s="729" cm="1">
        <f t="array" ref="G68">INDEX(MODEL!$1:$1048576,Summary!$A68,Summary!G$1)</f>
        <v>1321.4</v>
      </c>
      <c r="H68" s="729" cm="1">
        <f t="array" ref="H68">INDEX(MODEL!$1:$1048576,Summary!$A68,Summary!H$1)</f>
        <v>1360.3105469518382</v>
      </c>
      <c r="I68" s="729" cm="1">
        <f t="array" ref="I68">INDEX(MODEL!$1:$1048576,Summary!$A68,Summary!I$1)</f>
        <v>1474.2045091406917</v>
      </c>
      <c r="J68" s="729" cm="1">
        <f t="array" ref="J68">INDEX(MODEL!$1:$1048576,Summary!$A68,Summary!J$1)</f>
        <v>1587.2694310710267</v>
      </c>
      <c r="L68" s="724" t="s">
        <v>1072</v>
      </c>
      <c r="N68" s="1336" cm="1">
        <f t="array" ref="N68">INDEX(MODEL!$1:$1048576,Summary!$B68,Summary!N$1)</f>
        <v>1.1192375863692687</v>
      </c>
      <c r="O68" s="1336" cm="1">
        <f t="array" ref="O68">INDEX(MODEL!$1:$1048576,Summary!$B68,Summary!O$1)</f>
        <v>0.9402249170395871</v>
      </c>
      <c r="P68" s="1336" cm="1">
        <f t="array" ref="P68">INDEX(MODEL!$1:$1048576,Summary!$B68,Summary!P$1)</f>
        <v>0.65</v>
      </c>
      <c r="Q68" s="1336" cm="1">
        <f t="array" ref="Q68">INDEX(MODEL!$1:$1048576,Summary!$B68,Summary!Q$1)</f>
        <v>0.65</v>
      </c>
      <c r="R68" s="1336" cm="1">
        <f t="array" ref="R68">INDEX(MODEL!$1:$1048576,Summary!$B68,Summary!R$1)</f>
        <v>0.65</v>
      </c>
    </row>
    <row r="70" spans="1:18">
      <c r="D70" s="1338" t="s">
        <v>1089</v>
      </c>
      <c r="E70" s="1337"/>
      <c r="F70" s="1337"/>
      <c r="G70" s="1337"/>
      <c r="H70" s="1337"/>
      <c r="I70" s="1337"/>
      <c r="J70" s="1337"/>
      <c r="L70" s="1337"/>
      <c r="M70" s="1337"/>
      <c r="N70" s="1337"/>
      <c r="O70" s="1337"/>
      <c r="P70" s="1337"/>
      <c r="Q70" s="1337"/>
      <c r="R70" s="1337"/>
    </row>
  </sheetData>
  <conditionalFormatting sqref="D8 D40 D23:D36 D43:D63 D65:D68">
    <cfRule type="expression" dxfId="671" priority="3">
      <formula>D$2=1</formula>
    </cfRule>
  </conditionalFormatting>
  <conditionalFormatting sqref="D13:D16">
    <cfRule type="expression" dxfId="670" priority="2">
      <formula>D$2=1</formula>
    </cfRule>
  </conditionalFormatting>
  <conditionalFormatting sqref="R13">
    <cfRule type="expression" dxfId="669" priority="4">
      <formula>N$3=1</formula>
    </cfRule>
  </conditionalFormatting>
  <conditionalFormatting sqref="W12:X12">
    <cfRule type="expression" dxfId="668" priority="1">
      <formula>S$3=1</formula>
    </cfRule>
  </conditionalFormatting>
  <printOptions horizontalCentered="1" verticalCentered="1"/>
  <pageMargins left="0.7" right="0.7" top="0.75" bottom="0.75" header="0.3" footer="0.3"/>
  <pageSetup paperSize="9" scale="26" orientation="portrait" r:id="rId1"/>
  <customProperties>
    <customPr name="Qube.Worksheet.Visibility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theme="4"/>
  </sheetPr>
  <dimension ref="A1:BR32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T28" sqref="T28"/>
    </sheetView>
  </sheetViews>
  <sheetFormatPr defaultColWidth="9.140625" defaultRowHeight="12.75" outlineLevelRow="2" outlineLevelCol="1"/>
  <cols>
    <col min="1" max="1" width="4.5703125" style="122" customWidth="1"/>
    <col min="2" max="2" width="38.5703125" style="122" bestFit="1" customWidth="1"/>
    <col min="3" max="4" width="8.7109375" style="226" hidden="1" customWidth="1" outlineLevel="1"/>
    <col min="5" max="5" width="8.7109375" style="226" customWidth="1" collapsed="1"/>
    <col min="6" max="7" width="8.7109375" style="226" hidden="1" customWidth="1" outlineLevel="1"/>
    <col min="8" max="8" width="8.7109375" style="226" customWidth="1" collapsed="1"/>
    <col min="9" max="10" width="8.7109375" style="226" hidden="1" customWidth="1" outlineLevel="1"/>
    <col min="11" max="11" width="8.7109375" style="469" customWidth="1" collapsed="1"/>
    <col min="12" max="13" width="8.7109375" style="226" hidden="1" customWidth="1" outlineLevel="1"/>
    <col min="14" max="14" width="8.7109375" style="226" customWidth="1" collapsed="1"/>
    <col min="15" max="16" width="8.7109375" style="226" hidden="1" customWidth="1" outlineLevel="1"/>
    <col min="17" max="17" width="8.7109375" style="226" customWidth="1" collapsed="1"/>
    <col min="18" max="19" width="8.7109375" style="226" hidden="1" customWidth="1" outlineLevel="1"/>
    <col min="20" max="20" width="8.7109375" style="226" customWidth="1" collapsed="1"/>
    <col min="21" max="22" width="8.7109375" style="226" hidden="1" customWidth="1" outlineLevel="1"/>
    <col min="23" max="23" width="8.7109375" style="226" customWidth="1" collapsed="1"/>
    <col min="24" max="25" width="8.7109375" style="226" hidden="1" customWidth="1" outlineLevel="1"/>
    <col min="26" max="26" width="8.7109375" style="226" customWidth="1" collapsed="1"/>
    <col min="27" max="28" width="8.7109375" style="226" hidden="1" customWidth="1" outlineLevel="1"/>
    <col min="29" max="29" width="8.7109375" style="226" customWidth="1" collapsed="1"/>
    <col min="30" max="31" width="8.7109375" style="226" hidden="1" customWidth="1" outlineLevel="1"/>
    <col min="32" max="32" width="8.7109375" style="226" customWidth="1" collapsed="1"/>
    <col min="33" max="34" width="8.7109375" style="226" hidden="1" customWidth="1" outlineLevel="1"/>
    <col min="35" max="35" width="8.7109375" style="226" customWidth="1" collapsed="1"/>
    <col min="36" max="37" width="8.7109375" style="226" hidden="1" customWidth="1" outlineLevel="1"/>
    <col min="38" max="38" width="8.7109375" style="226" customWidth="1" collapsed="1"/>
    <col min="39" max="40" width="8.7109375" style="226" hidden="1" customWidth="1" outlineLevel="1"/>
    <col min="41" max="41" width="8.7109375" style="226" customWidth="1" collapsed="1"/>
    <col min="42" max="43" width="8.7109375" style="226" hidden="1" customWidth="1" outlineLevel="1"/>
    <col min="44" max="44" width="8.7109375" style="226" customWidth="1" collapsed="1"/>
    <col min="45" max="46" width="8.7109375" style="226" hidden="1" customWidth="1" outlineLevel="1"/>
    <col min="47" max="47" width="8.7109375" style="226" customWidth="1" collapsed="1"/>
    <col min="48" max="49" width="8.7109375" style="226" hidden="1" customWidth="1" outlineLevel="1"/>
    <col min="50" max="50" width="8.7109375" style="226" customWidth="1" collapsed="1"/>
    <col min="51" max="52" width="8.7109375" style="226" hidden="1" customWidth="1" outlineLevel="1"/>
    <col min="53" max="53" width="8.7109375" style="226" customWidth="1" collapsed="1"/>
    <col min="54" max="55" width="8.7109375" style="226" hidden="1" customWidth="1" outlineLevel="1"/>
    <col min="56" max="56" width="8.7109375" style="226" customWidth="1" collapsed="1"/>
    <col min="57" max="58" width="8.7109375" style="226" hidden="1" customWidth="1" outlineLevel="1"/>
    <col min="59" max="59" width="8.7109375" style="226" customWidth="1" collapsed="1"/>
    <col min="60" max="61" width="8.7109375" style="226" hidden="1" customWidth="1" outlineLevel="1"/>
    <col min="62" max="62" width="8.7109375" style="226" customWidth="1" collapsed="1"/>
    <col min="63" max="16384" width="9.140625" style="122"/>
  </cols>
  <sheetData>
    <row r="1" spans="1:64">
      <c r="B1" s="183"/>
      <c r="C1" s="609"/>
      <c r="D1" s="609"/>
      <c r="E1" s="609"/>
      <c r="F1" s="609"/>
      <c r="G1" s="609"/>
      <c r="H1" s="609"/>
      <c r="I1" s="609"/>
      <c r="J1" s="609"/>
      <c r="K1" s="610"/>
      <c r="L1" s="611" t="s">
        <v>826</v>
      </c>
      <c r="M1" s="609"/>
      <c r="N1" s="609"/>
      <c r="O1" s="612"/>
      <c r="P1" s="609"/>
      <c r="Q1" s="609"/>
      <c r="R1" s="609"/>
      <c r="S1" s="609"/>
      <c r="T1" s="609"/>
      <c r="U1" s="609"/>
      <c r="V1" s="609"/>
      <c r="W1" s="609"/>
      <c r="X1" s="609"/>
      <c r="Y1" s="609"/>
      <c r="Z1" s="609"/>
      <c r="AA1" s="609"/>
      <c r="AB1" s="609"/>
      <c r="AC1" s="609"/>
      <c r="AD1" s="609"/>
      <c r="AE1" s="609"/>
      <c r="AF1" s="609"/>
      <c r="AG1" s="609"/>
      <c r="AH1" s="609"/>
      <c r="AI1" s="609"/>
      <c r="AJ1" s="609"/>
      <c r="AK1" s="609"/>
      <c r="AL1" s="609"/>
      <c r="AM1" s="609"/>
      <c r="AN1" s="609"/>
      <c r="AO1" s="609"/>
      <c r="AP1" s="609"/>
      <c r="AQ1" s="609"/>
      <c r="AR1" s="609"/>
      <c r="AS1" s="609"/>
      <c r="AT1" s="609"/>
      <c r="AU1" s="609"/>
      <c r="AV1" s="609"/>
      <c r="AW1" s="609"/>
      <c r="AX1" s="609"/>
      <c r="AY1" s="609"/>
      <c r="AZ1" s="609"/>
      <c r="BA1" s="609"/>
      <c r="BB1" s="609"/>
      <c r="BC1" s="609"/>
      <c r="BD1" s="609"/>
      <c r="BE1" s="609"/>
      <c r="BF1" s="609"/>
      <c r="BG1" s="609"/>
      <c r="BH1" s="609"/>
      <c r="BI1" s="609"/>
      <c r="BJ1" s="609"/>
    </row>
    <row r="2" spans="1:64" ht="30.75" customHeight="1">
      <c r="B2" s="613" t="s">
        <v>132</v>
      </c>
      <c r="C2" s="614"/>
      <c r="D2" s="614"/>
      <c r="E2" s="614" t="s">
        <v>256</v>
      </c>
      <c r="F2" s="614"/>
      <c r="G2" s="614"/>
      <c r="H2" s="614" t="s">
        <v>256</v>
      </c>
      <c r="I2" s="614"/>
      <c r="J2" s="614" t="e">
        <f>Divisionals!#REF!/J6</f>
        <v>#REF!</v>
      </c>
      <c r="K2" s="615"/>
      <c r="L2" s="614"/>
      <c r="M2" s="614"/>
      <c r="N2" s="614"/>
      <c r="O2" s="614"/>
      <c r="P2" s="614"/>
      <c r="Q2" s="614"/>
      <c r="R2" s="614"/>
      <c r="S2" s="614"/>
      <c r="T2" s="614"/>
      <c r="U2" s="614"/>
      <c r="V2" s="614"/>
      <c r="W2" s="609"/>
      <c r="X2" s="614"/>
      <c r="Y2" s="614"/>
      <c r="Z2" s="609"/>
      <c r="AA2" s="614"/>
      <c r="AB2" s="614"/>
      <c r="AC2" s="609"/>
      <c r="AD2" s="614"/>
      <c r="AE2" s="614"/>
      <c r="AF2" s="609"/>
      <c r="AG2" s="614"/>
      <c r="AH2" s="614"/>
      <c r="AI2" s="609"/>
      <c r="AJ2" s="609"/>
      <c r="AK2" s="609"/>
      <c r="AL2" s="609"/>
      <c r="AM2" s="609"/>
      <c r="AN2" s="609"/>
      <c r="AO2" s="609"/>
      <c r="AP2" s="609"/>
      <c r="AQ2" s="609"/>
      <c r="AR2" s="609"/>
      <c r="AS2" s="609"/>
      <c r="AT2" s="609"/>
      <c r="AU2" s="609"/>
      <c r="AV2" s="609"/>
      <c r="AW2" s="609"/>
      <c r="AX2" s="609"/>
      <c r="AY2" s="609"/>
      <c r="AZ2" s="609"/>
      <c r="BA2" s="609"/>
      <c r="BB2" s="609"/>
      <c r="BC2" s="609"/>
      <c r="BD2" s="609"/>
      <c r="BE2" s="609"/>
      <c r="BF2" s="609"/>
      <c r="BG2" s="609"/>
      <c r="BH2" s="609"/>
      <c r="BI2" s="609"/>
      <c r="BJ2" s="609"/>
    </row>
    <row r="3" spans="1:64" s="470" customFormat="1" ht="15" customHeight="1">
      <c r="B3" s="616" t="s">
        <v>136</v>
      </c>
      <c r="C3" s="617" t="s">
        <v>281</v>
      </c>
      <c r="D3" s="617" t="s">
        <v>282</v>
      </c>
      <c r="E3" s="617" t="s">
        <v>360</v>
      </c>
      <c r="F3" s="617" t="s">
        <v>283</v>
      </c>
      <c r="G3" s="617" t="s">
        <v>284</v>
      </c>
      <c r="H3" s="617" t="s">
        <v>361</v>
      </c>
      <c r="I3" s="617" t="s">
        <v>276</v>
      </c>
      <c r="J3" s="617" t="s">
        <v>277</v>
      </c>
      <c r="K3" s="618" t="s">
        <v>409</v>
      </c>
      <c r="L3" s="617" t="s">
        <v>981</v>
      </c>
      <c r="M3" s="617" t="s">
        <v>982</v>
      </c>
      <c r="N3" s="617" t="s">
        <v>410</v>
      </c>
      <c r="O3" s="617" t="s">
        <v>552</v>
      </c>
      <c r="P3" s="617" t="s">
        <v>553</v>
      </c>
      <c r="Q3" s="617" t="s">
        <v>411</v>
      </c>
      <c r="R3" s="617" t="s">
        <v>653</v>
      </c>
      <c r="S3" s="617" t="s">
        <v>654</v>
      </c>
      <c r="T3" s="617" t="s">
        <v>526</v>
      </c>
      <c r="U3" s="617" t="s">
        <v>734</v>
      </c>
      <c r="V3" s="617" t="s">
        <v>735</v>
      </c>
      <c r="W3" s="617" t="s">
        <v>527</v>
      </c>
      <c r="X3" s="617" t="s">
        <v>895</v>
      </c>
      <c r="Y3" s="617" t="s">
        <v>896</v>
      </c>
      <c r="Z3" s="617" t="s">
        <v>740</v>
      </c>
      <c r="AA3" s="617" t="s">
        <v>955</v>
      </c>
      <c r="AB3" s="617" t="s">
        <v>956</v>
      </c>
      <c r="AC3" s="617" t="s">
        <v>913</v>
      </c>
      <c r="AD3" s="617" t="s">
        <v>1000</v>
      </c>
      <c r="AE3" s="617" t="s">
        <v>1001</v>
      </c>
      <c r="AF3" s="617" t="s">
        <v>943</v>
      </c>
      <c r="AG3" s="617" t="s">
        <v>1082</v>
      </c>
      <c r="AH3" s="617" t="s">
        <v>1083</v>
      </c>
      <c r="AI3" s="617" t="s">
        <v>983</v>
      </c>
      <c r="AJ3" s="617"/>
      <c r="AK3" s="617"/>
      <c r="AL3" s="617" t="s">
        <v>984</v>
      </c>
      <c r="AM3" s="617"/>
      <c r="AN3" s="617"/>
      <c r="AO3" s="617" t="s">
        <v>985</v>
      </c>
      <c r="AP3" s="617"/>
      <c r="AQ3" s="617"/>
      <c r="AR3" s="617" t="s">
        <v>986</v>
      </c>
      <c r="AS3" s="617"/>
      <c r="AT3" s="617"/>
      <c r="AU3" s="617" t="s">
        <v>987</v>
      </c>
      <c r="AV3" s="617"/>
      <c r="AW3" s="617"/>
      <c r="AX3" s="617" t="s">
        <v>988</v>
      </c>
      <c r="AY3" s="617"/>
      <c r="AZ3" s="617"/>
      <c r="BA3" s="617" t="s">
        <v>989</v>
      </c>
      <c r="BB3" s="617"/>
      <c r="BC3" s="617"/>
      <c r="BD3" s="617" t="s">
        <v>990</v>
      </c>
      <c r="BE3" s="617"/>
      <c r="BF3" s="617"/>
      <c r="BG3" s="617" t="s">
        <v>999</v>
      </c>
      <c r="BH3" s="617"/>
      <c r="BI3" s="617"/>
      <c r="BJ3" s="617" t="s">
        <v>1005</v>
      </c>
    </row>
    <row r="4" spans="1:64">
      <c r="B4" s="619" t="s">
        <v>50</v>
      </c>
      <c r="C4" s="620"/>
      <c r="D4" s="620"/>
      <c r="E4" s="620"/>
      <c r="F4" s="620"/>
      <c r="G4" s="620"/>
      <c r="H4" s="620"/>
      <c r="I4" s="620"/>
      <c r="J4" s="620"/>
      <c r="K4" s="621"/>
      <c r="L4" s="620"/>
      <c r="M4" s="622"/>
      <c r="N4" s="622"/>
      <c r="O4" s="623"/>
      <c r="P4" s="623"/>
      <c r="Q4" s="623"/>
      <c r="R4" s="623"/>
      <c r="S4" s="623"/>
      <c r="T4" s="623"/>
      <c r="U4" s="623"/>
      <c r="V4" s="623"/>
      <c r="W4" s="623"/>
      <c r="X4" s="623"/>
      <c r="Y4" s="623"/>
      <c r="Z4" s="623"/>
      <c r="AA4" s="623"/>
      <c r="AB4" s="623"/>
      <c r="AC4" s="623"/>
      <c r="AD4" s="623"/>
      <c r="AE4" s="623"/>
      <c r="AF4" s="620"/>
      <c r="AG4" s="623"/>
      <c r="AH4" s="623"/>
      <c r="AI4" s="620"/>
      <c r="AJ4" s="620"/>
      <c r="AK4" s="620"/>
      <c r="AL4" s="620"/>
      <c r="AM4" s="620"/>
      <c r="AN4" s="620"/>
      <c r="AO4" s="620"/>
      <c r="AP4" s="620"/>
      <c r="AQ4" s="620"/>
      <c r="AR4" s="620"/>
      <c r="AS4" s="620"/>
      <c r="AT4" s="620"/>
      <c r="AU4" s="620"/>
      <c r="AV4" s="620"/>
      <c r="AW4" s="620"/>
      <c r="AX4" s="620"/>
      <c r="AY4" s="620"/>
      <c r="AZ4" s="620"/>
      <c r="BA4" s="620"/>
      <c r="BB4" s="620"/>
      <c r="BC4" s="620"/>
      <c r="BD4" s="620"/>
      <c r="BE4" s="620"/>
      <c r="BF4" s="620"/>
      <c r="BG4" s="620"/>
      <c r="BH4" s="620"/>
      <c r="BI4" s="620"/>
      <c r="BJ4" s="620"/>
    </row>
    <row r="5" spans="1:64">
      <c r="B5" s="125"/>
      <c r="C5" s="471"/>
      <c r="D5" s="471"/>
      <c r="E5" s="471"/>
      <c r="F5" s="471"/>
      <c r="G5" s="471"/>
      <c r="H5" s="471"/>
      <c r="I5" s="471"/>
      <c r="J5" s="471"/>
      <c r="K5" s="472"/>
      <c r="L5" s="471"/>
      <c r="M5" s="471"/>
      <c r="N5" s="471"/>
      <c r="O5" s="471"/>
      <c r="P5" s="471"/>
      <c r="Q5" s="471"/>
      <c r="R5" s="471"/>
      <c r="S5" s="471"/>
      <c r="T5" s="473"/>
      <c r="U5" s="471"/>
      <c r="V5" s="471"/>
      <c r="W5" s="473"/>
      <c r="X5" s="471"/>
      <c r="Y5" s="474"/>
      <c r="Z5" s="473"/>
      <c r="AA5" s="471"/>
      <c r="AB5" s="474"/>
      <c r="AC5" s="473"/>
      <c r="AD5" s="474"/>
      <c r="AE5" s="474"/>
      <c r="AG5" s="474"/>
      <c r="AH5" s="474"/>
    </row>
    <row r="6" spans="1:64" s="123" customFormat="1">
      <c r="B6" s="126" t="s">
        <v>139</v>
      </c>
      <c r="C6" s="475">
        <f>Divisionals!C12</f>
        <v>1295.5</v>
      </c>
      <c r="D6" s="475">
        <f>E6-C6</f>
        <v>1169.7628999999997</v>
      </c>
      <c r="E6" s="475">
        <f>Divisionals!E12</f>
        <v>2465.2628999999997</v>
      </c>
      <c r="F6" s="475">
        <f>Divisionals!F12</f>
        <v>1323.9424657534246</v>
      </c>
      <c r="G6" s="475">
        <f>H6-F6</f>
        <v>1246.4575342465755</v>
      </c>
      <c r="H6" s="475">
        <f>Divisionals!H12</f>
        <v>2570.4</v>
      </c>
      <c r="I6" s="475">
        <f>Divisionals!I12</f>
        <v>1404.6</v>
      </c>
      <c r="J6" s="475">
        <f>K6-I6</f>
        <v>1308.5999999999999</v>
      </c>
      <c r="K6" s="476">
        <f>Divisionals!K12</f>
        <v>2713.2</v>
      </c>
      <c r="L6" s="475">
        <f>Divisionals!L12</f>
        <v>1443.6</v>
      </c>
      <c r="M6" s="475">
        <f>N6-L6</f>
        <v>1381.7999999999997</v>
      </c>
      <c r="N6" s="475">
        <f>Divisionals!N12</f>
        <v>2825.3999999999996</v>
      </c>
      <c r="O6" s="475">
        <f>Divisionals!O12</f>
        <v>1776.7</v>
      </c>
      <c r="P6" s="475">
        <f>Q6-O6</f>
        <v>1676.3999999999999</v>
      </c>
      <c r="Q6" s="475">
        <f>Divisionals!Q12</f>
        <v>3453.1</v>
      </c>
      <c r="R6" s="475">
        <f>Divisionals!R12</f>
        <v>1705.1999999999998</v>
      </c>
      <c r="S6" s="475">
        <f>T6-R6</f>
        <v>1845.8000000000002</v>
      </c>
      <c r="T6" s="475">
        <f>Divisionals!T12</f>
        <v>3551</v>
      </c>
      <c r="U6" s="475">
        <f>Divisionals!U12</f>
        <v>1958.4</v>
      </c>
      <c r="V6" s="475">
        <f>W6-U6</f>
        <v>1844.4</v>
      </c>
      <c r="W6" s="475">
        <f>Divisionals!W12</f>
        <v>3802.8</v>
      </c>
      <c r="X6" s="475">
        <f>Divisionals!X12</f>
        <v>2020.3999999999999</v>
      </c>
      <c r="Y6" s="475">
        <f>Z6-X6</f>
        <v>1862.4000000000003</v>
      </c>
      <c r="Z6" s="475">
        <f>Divisionals!Z12</f>
        <v>3882.8</v>
      </c>
      <c r="AA6" s="475">
        <f>Divisionals!AA12</f>
        <v>2107.1999999999998</v>
      </c>
      <c r="AB6" s="475">
        <f>AC6-AA6</f>
        <v>1967.7000000000003</v>
      </c>
      <c r="AC6" s="475">
        <f>Divisionals!AC12</f>
        <v>4074.9</v>
      </c>
      <c r="AD6" s="475">
        <f>Divisionals!AD12</f>
        <v>2196.1126614715295</v>
      </c>
      <c r="AE6" s="475">
        <f>AF6-AD6</f>
        <v>2081.9446238005903</v>
      </c>
      <c r="AF6" s="475">
        <f>Divisionals!AF12</f>
        <v>4278.0572852721198</v>
      </c>
      <c r="AG6" s="475">
        <f>Divisionals!AG12</f>
        <v>2299.1351762983113</v>
      </c>
      <c r="AH6" s="475">
        <f>AI6-AG6</f>
        <v>2197.0840530796004</v>
      </c>
      <c r="AI6" s="475">
        <f>Divisionals!AI12</f>
        <v>4496.2192293779117</v>
      </c>
      <c r="AJ6" s="475"/>
      <c r="AK6" s="475"/>
      <c r="AL6" s="475">
        <f>Divisionals!AL12</f>
        <v>4710.8392238962624</v>
      </c>
      <c r="AM6" s="475"/>
      <c r="AN6" s="475"/>
      <c r="AO6" s="475">
        <f>Divisionals!AO12</f>
        <v>4921.5713660318479</v>
      </c>
      <c r="AP6" s="475"/>
      <c r="AQ6" s="475"/>
      <c r="AR6" s="475">
        <f>Divisionals!AR12</f>
        <v>5123.9095411398748</v>
      </c>
      <c r="AS6" s="475"/>
      <c r="AT6" s="475"/>
      <c r="AU6" s="475">
        <f>Divisionals!AU12</f>
        <v>5314.1155637674328</v>
      </c>
      <c r="AV6" s="475"/>
      <c r="AW6" s="475"/>
      <c r="AX6" s="475">
        <f>Divisionals!AX12</f>
        <v>5489.7462588222725</v>
      </c>
      <c r="AY6" s="475"/>
      <c r="AZ6" s="475"/>
      <c r="BA6" s="475">
        <f>Divisionals!BA12</f>
        <v>5671.2663973820099</v>
      </c>
      <c r="BB6" s="475"/>
      <c r="BC6" s="475"/>
      <c r="BD6" s="475">
        <f>Divisionals!BD12</f>
        <v>5858.8752189723291</v>
      </c>
      <c r="BE6" s="475"/>
      <c r="BF6" s="475"/>
      <c r="BG6" s="475">
        <f>Divisionals!BG12</f>
        <v>6052.7787282166973</v>
      </c>
      <c r="BH6" s="475"/>
      <c r="BI6" s="475"/>
      <c r="BJ6" s="475">
        <f>Divisionals!BJ12</f>
        <v>6253.1899246172252</v>
      </c>
      <c r="BL6" s="225"/>
    </row>
    <row r="7" spans="1:64">
      <c r="B7" s="122" t="s">
        <v>42</v>
      </c>
      <c r="C7" s="792"/>
      <c r="D7" s="792"/>
      <c r="E7" s="792"/>
      <c r="F7" s="792">
        <f t="shared" ref="F7:W7" si="0">F6/C6-1</f>
        <v>2.1954817254669745E-2</v>
      </c>
      <c r="G7" s="792">
        <f t="shared" si="0"/>
        <v>6.5564256009979394E-2</v>
      </c>
      <c r="H7" s="792">
        <f t="shared" si="0"/>
        <v>4.2647419064311798E-2</v>
      </c>
      <c r="I7" s="792">
        <f t="shared" si="0"/>
        <v>6.0922235167277572E-2</v>
      </c>
      <c r="J7" s="792">
        <f t="shared" si="0"/>
        <v>4.9855261046648058E-2</v>
      </c>
      <c r="K7" s="793">
        <f t="shared" si="0"/>
        <v>5.5555555555555358E-2</v>
      </c>
      <c r="L7" s="792">
        <f t="shared" si="0"/>
        <v>2.776591200341727E-2</v>
      </c>
      <c r="M7" s="792">
        <f t="shared" si="0"/>
        <v>5.593764328289752E-2</v>
      </c>
      <c r="N7" s="792">
        <f t="shared" si="0"/>
        <v>4.1353383458646586E-2</v>
      </c>
      <c r="O7" s="792">
        <f t="shared" si="0"/>
        <v>0.2307425879745082</v>
      </c>
      <c r="P7" s="792">
        <f t="shared" si="0"/>
        <v>0.21320017368649591</v>
      </c>
      <c r="Q7" s="792">
        <f t="shared" si="0"/>
        <v>0.22216323352445677</v>
      </c>
      <c r="R7" s="792">
        <f>R6/O6-1</f>
        <v>-4.0243147408116298E-2</v>
      </c>
      <c r="S7" s="792">
        <f t="shared" si="0"/>
        <v>0.10104986876640432</v>
      </c>
      <c r="T7" s="792">
        <f t="shared" si="0"/>
        <v>2.8351336480264111E-2</v>
      </c>
      <c r="U7" s="792">
        <f t="shared" si="0"/>
        <v>0.14848698099929636</v>
      </c>
      <c r="V7" s="792">
        <f>V6/S6-1</f>
        <v>-7.5847870841916354E-4</v>
      </c>
      <c r="W7" s="792">
        <f t="shared" si="0"/>
        <v>7.0909602928752591E-2</v>
      </c>
      <c r="X7" s="792">
        <f t="shared" ref="X7" si="1">X6/U6-1</f>
        <v>3.165849673202592E-2</v>
      </c>
      <c r="Y7" s="792">
        <f t="shared" ref="Y7" si="2">Y6/V6-1</f>
        <v>9.7592713077425675E-3</v>
      </c>
      <c r="Z7" s="792">
        <f>Z6/W6-1</f>
        <v>2.103713053539491E-2</v>
      </c>
      <c r="AA7" s="792">
        <f t="shared" ref="AA7:AB7" si="3">AA6/X6-1</f>
        <v>4.2961789744605072E-2</v>
      </c>
      <c r="AB7" s="792">
        <f t="shared" si="3"/>
        <v>5.6539948453608213E-2</v>
      </c>
      <c r="AC7" s="792">
        <f>AC6/Z6-1</f>
        <v>4.9474605954465734E-2</v>
      </c>
      <c r="AD7" s="792">
        <f t="shared" ref="AD7" si="4">AD6/AA6-1</f>
        <v>4.2194695079503353E-2</v>
      </c>
      <c r="AE7" s="792">
        <f t="shared" ref="AE7" si="5">AE6/AB6-1</f>
        <v>5.805998058677142E-2</v>
      </c>
      <c r="AF7" s="792">
        <f>AF6/AC6-1</f>
        <v>4.9855771987562747E-2</v>
      </c>
      <c r="AG7" s="792">
        <f t="shared" ref="AG7" si="6">AG6/AD6-1</f>
        <v>4.6911306798691488E-2</v>
      </c>
      <c r="AH7" s="792">
        <f t="shared" ref="AH7" si="7">AH6/AE6-1</f>
        <v>5.5303790486426641E-2</v>
      </c>
      <c r="AI7" s="792">
        <f>AI6/AF6-1</f>
        <v>5.0995564004448601E-2</v>
      </c>
      <c r="AJ7" s="792"/>
      <c r="AK7" s="792"/>
      <c r="AL7" s="792">
        <f>AL6/AI6-1</f>
        <v>4.7733436376065086E-2</v>
      </c>
      <c r="AM7" s="792"/>
      <c r="AN7" s="792"/>
      <c r="AO7" s="792">
        <f>AO6/AL6-1</f>
        <v>4.4733460880308273E-2</v>
      </c>
      <c r="AP7" s="792"/>
      <c r="AQ7" s="792"/>
      <c r="AR7" s="792">
        <f>AR6/AO6-1</f>
        <v>4.1112514694908731E-2</v>
      </c>
      <c r="AS7" s="792"/>
      <c r="AT7" s="792"/>
      <c r="AU7" s="792">
        <f>AU6/AR6-1</f>
        <v>3.7121268652460238E-2</v>
      </c>
      <c r="AV7" s="792"/>
      <c r="AW7" s="792"/>
      <c r="AX7" s="792">
        <f>AX6/AU6-1</f>
        <v>3.3049844879610824E-2</v>
      </c>
      <c r="AY7" s="792"/>
      <c r="AZ7" s="792"/>
      <c r="BA7" s="792">
        <f>BA6/AX6-1</f>
        <v>3.3065305753982033E-2</v>
      </c>
      <c r="BB7" s="792"/>
      <c r="BC7" s="792"/>
      <c r="BD7" s="792">
        <f>BD6/BA6-1</f>
        <v>3.3080587023195385E-2</v>
      </c>
      <c r="BE7" s="792"/>
      <c r="BF7" s="792"/>
      <c r="BG7" s="792">
        <f>BG6/BD6-1</f>
        <v>3.3095688506296517E-2</v>
      </c>
      <c r="BH7" s="792"/>
      <c r="BI7" s="792"/>
      <c r="BJ7" s="792">
        <f t="shared" ref="BJ7" si="8">BJ6/BG6-1</f>
        <v>3.3110610084960745E-2</v>
      </c>
    </row>
    <row r="8" spans="1:64">
      <c r="C8" s="479"/>
      <c r="D8" s="479"/>
      <c r="E8" s="480"/>
      <c r="F8" s="479"/>
      <c r="G8" s="479"/>
      <c r="H8" s="480"/>
      <c r="I8" s="479"/>
      <c r="J8" s="479"/>
      <c r="K8" s="481"/>
      <c r="L8" s="479"/>
      <c r="M8" s="479"/>
      <c r="N8" s="480"/>
      <c r="O8" s="479"/>
      <c r="P8" s="479"/>
      <c r="Q8" s="480"/>
      <c r="R8" s="479"/>
      <c r="S8" s="479"/>
      <c r="T8" s="480"/>
      <c r="U8" s="479"/>
      <c r="V8" s="482"/>
      <c r="W8" s="480"/>
      <c r="X8" s="479"/>
      <c r="Y8" s="479"/>
      <c r="Z8" s="480"/>
      <c r="AA8" s="479"/>
      <c r="AB8" s="479"/>
      <c r="AC8" s="480"/>
      <c r="AD8" s="479"/>
      <c r="AE8" s="479"/>
      <c r="AF8" s="480"/>
      <c r="AG8" s="479"/>
      <c r="AH8" s="479"/>
      <c r="AI8" s="480"/>
      <c r="AJ8" s="480"/>
      <c r="AK8" s="480"/>
      <c r="AL8" s="480"/>
      <c r="AM8" s="480"/>
      <c r="AN8" s="480"/>
      <c r="AO8" s="480"/>
      <c r="AP8" s="480"/>
      <c r="AQ8" s="480"/>
      <c r="AR8" s="480"/>
      <c r="AS8" s="480"/>
      <c r="AT8" s="480"/>
      <c r="AU8" s="480"/>
      <c r="AV8" s="480"/>
      <c r="AW8" s="480"/>
      <c r="AX8" s="480"/>
      <c r="AY8" s="480"/>
      <c r="AZ8" s="480"/>
      <c r="BA8" s="480"/>
      <c r="BB8" s="480"/>
      <c r="BC8" s="480"/>
      <c r="BD8" s="480"/>
      <c r="BE8" s="480"/>
      <c r="BF8" s="480"/>
      <c r="BG8" s="480"/>
      <c r="BH8" s="480"/>
      <c r="BI8" s="480"/>
      <c r="BJ8" s="480"/>
    </row>
    <row r="9" spans="1:64" s="462" customFormat="1">
      <c r="B9" s="462" t="s">
        <v>820</v>
      </c>
      <c r="C9" s="483">
        <v>-720.5</v>
      </c>
      <c r="D9" s="483">
        <f>E9-C9</f>
        <v>-644.29999999999995</v>
      </c>
      <c r="E9" s="471">
        <v>-1364.8</v>
      </c>
      <c r="F9" s="471">
        <v>-732.5</v>
      </c>
      <c r="G9" s="471">
        <f t="shared" ref="G9:G10" si="9">H9-F9</f>
        <v>-683</v>
      </c>
      <c r="H9" s="471">
        <v>-1415.5</v>
      </c>
      <c r="I9" s="471">
        <v>-773.2</v>
      </c>
      <c r="J9" s="471">
        <f t="shared" ref="J9:J10" si="10">K9-I9</f>
        <v>-715</v>
      </c>
      <c r="K9" s="472">
        <v>-1488.2</v>
      </c>
      <c r="L9" s="471">
        <v>-794</v>
      </c>
      <c r="M9" s="471">
        <f t="shared" ref="M9:M10" si="11">N9-L9</f>
        <v>-761.09999999999991</v>
      </c>
      <c r="N9" s="471">
        <v>-1555.1</v>
      </c>
      <c r="O9" s="471">
        <v>-929.6</v>
      </c>
      <c r="P9" s="471">
        <f t="shared" ref="P9:P10" si="12">Q9-O9</f>
        <v>-867.6</v>
      </c>
      <c r="Q9" s="471">
        <v>-1797.2</v>
      </c>
      <c r="R9" s="471">
        <v>-910.6</v>
      </c>
      <c r="S9" s="483">
        <f t="shared" ref="S9:S10" si="13">T9-R9</f>
        <v>-979.69999999999993</v>
      </c>
      <c r="T9" s="484">
        <v>-1890.3</v>
      </c>
      <c r="U9" s="484">
        <v>-1054.0999999999999</v>
      </c>
      <c r="V9" s="483">
        <f t="shared" ref="V9" si="14">W9-U9</f>
        <v>-990.80000000000018</v>
      </c>
      <c r="W9" s="484">
        <v>-2044.9</v>
      </c>
      <c r="X9" s="484">
        <v>-1080</v>
      </c>
      <c r="Y9" s="483">
        <f t="shared" ref="Y9" si="15">Z9-X9</f>
        <v>-1004.5</v>
      </c>
      <c r="Z9" s="484">
        <v>-2084.5</v>
      </c>
      <c r="AA9" s="484">
        <v>-1145.7</v>
      </c>
      <c r="AB9" s="483">
        <f t="shared" ref="AB9" si="16">AC9-AA9</f>
        <v>-1066.9999999999998</v>
      </c>
      <c r="AC9" s="484">
        <v>-2212.6999999999998</v>
      </c>
      <c r="AD9" s="471">
        <f t="shared" ref="AD9" si="17">(AD6-AD10)*-1</f>
        <v>-1189.9205393505645</v>
      </c>
      <c r="AE9" s="483">
        <f t="shared" ref="AE9" si="18">AF9-AD9</f>
        <v>-1130.4575886908269</v>
      </c>
      <c r="AF9" s="471">
        <f t="shared" ref="AF9:AU9" si="19">(AF6-AF10)*-1</f>
        <v>-2320.3781280413914</v>
      </c>
      <c r="AG9" s="471">
        <f t="shared" si="19"/>
        <v>-1245.557229350313</v>
      </c>
      <c r="AH9" s="483">
        <f t="shared" ref="AH9" si="20">AI9-AG9</f>
        <v>-1191.782147572442</v>
      </c>
      <c r="AI9" s="471">
        <f t="shared" si="19"/>
        <v>-2437.339376922755</v>
      </c>
      <c r="AJ9" s="471"/>
      <c r="AK9" s="471"/>
      <c r="AL9" s="471">
        <f t="shared" si="19"/>
        <v>-2552.3904457937215</v>
      </c>
      <c r="AM9" s="471"/>
      <c r="AN9" s="471"/>
      <c r="AO9" s="471">
        <f t="shared" si="19"/>
        <v>-2665.4550344408144</v>
      </c>
      <c r="AP9" s="471"/>
      <c r="AQ9" s="471"/>
      <c r="AR9" s="471">
        <f t="shared" si="19"/>
        <v>-2774.0841737647288</v>
      </c>
      <c r="AS9" s="471"/>
      <c r="AT9" s="471"/>
      <c r="AU9" s="471">
        <f t="shared" si="19"/>
        <v>-2876.445510608939</v>
      </c>
      <c r="AV9" s="471"/>
      <c r="AW9" s="471"/>
      <c r="AX9" s="471">
        <f t="shared" ref="AX9" si="21">(AX6-AX10)*-1</f>
        <v>-2972.041676446418</v>
      </c>
      <c r="AY9" s="471"/>
      <c r="AZ9" s="471"/>
      <c r="BA9" s="471">
        <f t="shared" ref="BA9:BD9" si="22">(BA6-BA10)*-1</f>
        <v>-3070.8450052050821</v>
      </c>
      <c r="BB9" s="471"/>
      <c r="BC9" s="471"/>
      <c r="BD9" s="471">
        <f t="shared" si="22"/>
        <v>-3172.9636273929104</v>
      </c>
      <c r="BE9" s="471"/>
      <c r="BF9" s="471"/>
      <c r="BG9" s="471">
        <f t="shared" ref="BG9:BJ9" si="23">(BG6-BG10)*-1</f>
        <v>-3278.5093215609222</v>
      </c>
      <c r="BH9" s="471"/>
      <c r="BI9" s="471"/>
      <c r="BJ9" s="471">
        <f t="shared" si="23"/>
        <v>-3387.5976371618599</v>
      </c>
      <c r="BK9" s="123"/>
      <c r="BL9" s="123"/>
    </row>
    <row r="10" spans="1:64" s="462" customFormat="1">
      <c r="B10" s="462" t="s">
        <v>155</v>
      </c>
      <c r="C10" s="483">
        <v>575</v>
      </c>
      <c r="D10" s="483">
        <f>E10-C10</f>
        <v>525.46289999999976</v>
      </c>
      <c r="E10" s="483">
        <f>E6+E9</f>
        <v>1100.4628999999998</v>
      </c>
      <c r="F10" s="483">
        <f t="shared" ref="F10:R10" si="24">F6+F9</f>
        <v>591.44246575342459</v>
      </c>
      <c r="G10" s="483">
        <f t="shared" si="9"/>
        <v>563.45753424657551</v>
      </c>
      <c r="H10" s="483">
        <f t="shared" si="24"/>
        <v>1154.9000000000001</v>
      </c>
      <c r="I10" s="483">
        <f t="shared" si="24"/>
        <v>631.39999999999986</v>
      </c>
      <c r="J10" s="483">
        <f t="shared" si="10"/>
        <v>593.59999999999991</v>
      </c>
      <c r="K10" s="485">
        <f t="shared" si="24"/>
        <v>1224.9999999999998</v>
      </c>
      <c r="L10" s="483">
        <f t="shared" si="24"/>
        <v>649.59999999999991</v>
      </c>
      <c r="M10" s="483">
        <f t="shared" si="11"/>
        <v>620.69999999999982</v>
      </c>
      <c r="N10" s="483">
        <f t="shared" si="24"/>
        <v>1270.2999999999997</v>
      </c>
      <c r="O10" s="483">
        <f t="shared" si="24"/>
        <v>847.1</v>
      </c>
      <c r="P10" s="483">
        <f t="shared" si="12"/>
        <v>808.79999999999984</v>
      </c>
      <c r="Q10" s="483">
        <f t="shared" si="24"/>
        <v>1655.8999999999999</v>
      </c>
      <c r="R10" s="483">
        <f t="shared" si="24"/>
        <v>794.5999999999998</v>
      </c>
      <c r="S10" s="483">
        <f t="shared" si="13"/>
        <v>866.10000000000025</v>
      </c>
      <c r="T10" s="483">
        <f t="shared" ref="T10:U10" si="25">T6+T9</f>
        <v>1660.7</v>
      </c>
      <c r="U10" s="483">
        <f t="shared" si="25"/>
        <v>904.30000000000018</v>
      </c>
      <c r="V10" s="483">
        <f>Divisionals!V28</f>
        <v>853.59999999999991</v>
      </c>
      <c r="W10" s="483">
        <f>W6+W9</f>
        <v>1757.9</v>
      </c>
      <c r="X10" s="483">
        <f t="shared" ref="X10" si="26">X6+X9</f>
        <v>940.39999999999986</v>
      </c>
      <c r="Y10" s="483">
        <f>Divisionals!Y28</f>
        <v>857.9000000000002</v>
      </c>
      <c r="Z10" s="483">
        <f>Z6+Z9</f>
        <v>1798.3000000000002</v>
      </c>
      <c r="AA10" s="483">
        <f t="shared" ref="AA10" si="27">AA6+AA9</f>
        <v>961.49999999999977</v>
      </c>
      <c r="AB10" s="483">
        <f>Divisionals!AB28</f>
        <v>900.70000000000073</v>
      </c>
      <c r="AC10" s="483">
        <f>AC6+AC9</f>
        <v>1862.2000000000003</v>
      </c>
      <c r="AD10" s="483">
        <f>Divisionals!AD28</f>
        <v>1006.192122120965</v>
      </c>
      <c r="AE10" s="483">
        <f>Divisionals!AE28</f>
        <v>951.4870351097635</v>
      </c>
      <c r="AF10" s="483">
        <f>Divisionals!AF28</f>
        <v>1957.6791572307284</v>
      </c>
      <c r="AG10" s="483">
        <f>Divisionals!AG28</f>
        <v>1053.5779469479983</v>
      </c>
      <c r="AH10" s="483">
        <f>Divisionals!AH28</f>
        <v>1005.3019055071579</v>
      </c>
      <c r="AI10" s="483">
        <f>Divisionals!AI28</f>
        <v>2058.8798524551567</v>
      </c>
      <c r="AJ10" s="483"/>
      <c r="AK10" s="483"/>
      <c r="AL10" s="483">
        <f>Divisionals!AL28</f>
        <v>2158.4487781025409</v>
      </c>
      <c r="AM10" s="483"/>
      <c r="AN10" s="483"/>
      <c r="AO10" s="483">
        <f>Divisionals!AO28</f>
        <v>2256.1163315910335</v>
      </c>
      <c r="AP10" s="483"/>
      <c r="AQ10" s="483"/>
      <c r="AR10" s="483">
        <f>Divisionals!AR28</f>
        <v>2349.825367375146</v>
      </c>
      <c r="AS10" s="483"/>
      <c r="AT10" s="483"/>
      <c r="AU10" s="483">
        <f>Divisionals!AU28</f>
        <v>2437.6700531584938</v>
      </c>
      <c r="AV10" s="483"/>
      <c r="AW10" s="483"/>
      <c r="AX10" s="483">
        <f>Divisionals!AX28</f>
        <v>2517.7045823758544</v>
      </c>
      <c r="AY10" s="483"/>
      <c r="AZ10" s="483"/>
      <c r="BA10" s="483">
        <f>Divisionals!BA28</f>
        <v>2600.4213921769278</v>
      </c>
      <c r="BB10" s="483"/>
      <c r="BC10" s="483"/>
      <c r="BD10" s="483">
        <f>Divisionals!BD28</f>
        <v>2685.9115915794187</v>
      </c>
      <c r="BE10" s="483"/>
      <c r="BF10" s="483"/>
      <c r="BG10" s="483">
        <f>Divisionals!BG28</f>
        <v>2774.2694066557751</v>
      </c>
      <c r="BH10" s="483"/>
      <c r="BI10" s="483"/>
      <c r="BJ10" s="483">
        <f>Divisionals!BJ28</f>
        <v>2865.5922874553653</v>
      </c>
      <c r="BK10" s="123"/>
      <c r="BL10" s="123"/>
    </row>
    <row r="11" spans="1:64" s="125" customFormat="1">
      <c r="B11" s="549" t="s">
        <v>770</v>
      </c>
      <c r="C11" s="800"/>
      <c r="D11" s="800"/>
      <c r="E11" s="800">
        <f t="shared" ref="E11:S11" si="28">E10/E6</f>
        <v>0.44638764490391669</v>
      </c>
      <c r="F11" s="800">
        <f t="shared" si="28"/>
        <v>0.44672822350845026</v>
      </c>
      <c r="G11" s="800">
        <f t="shared" si="28"/>
        <v>0.45204711654068414</v>
      </c>
      <c r="H11" s="800">
        <f t="shared" si="28"/>
        <v>0.44930750077808901</v>
      </c>
      <c r="I11" s="800">
        <f t="shared" si="28"/>
        <v>0.44952299587071043</v>
      </c>
      <c r="J11" s="800">
        <f t="shared" si="28"/>
        <v>0.45361454990065714</v>
      </c>
      <c r="K11" s="801">
        <f t="shared" si="28"/>
        <v>0.45149638802889569</v>
      </c>
      <c r="L11" s="800">
        <f t="shared" si="28"/>
        <v>0.44998614574674423</v>
      </c>
      <c r="M11" s="800">
        <f t="shared" si="28"/>
        <v>0.44919669995657835</v>
      </c>
      <c r="N11" s="800">
        <f t="shared" si="28"/>
        <v>0.44960005662914981</v>
      </c>
      <c r="O11" s="800">
        <f t="shared" si="28"/>
        <v>0.47678279957224068</v>
      </c>
      <c r="P11" s="800">
        <f t="shared" si="28"/>
        <v>0.48246241947029345</v>
      </c>
      <c r="Q11" s="800">
        <f t="shared" si="28"/>
        <v>0.47954012336740898</v>
      </c>
      <c r="R11" s="800">
        <f t="shared" si="28"/>
        <v>0.46598639455782304</v>
      </c>
      <c r="S11" s="800">
        <f t="shared" si="28"/>
        <v>0.46922743525842464</v>
      </c>
      <c r="T11" s="800">
        <f t="shared" ref="T11" si="29">T10/T6</f>
        <v>0.46767107856941709</v>
      </c>
      <c r="U11" s="800">
        <f>U10/U6</f>
        <v>0.46175449346405234</v>
      </c>
      <c r="V11" s="800">
        <f>V10/V6</f>
        <v>0.46280633268271515</v>
      </c>
      <c r="W11" s="800">
        <f>W10/W6</f>
        <v>0.46226464710213527</v>
      </c>
      <c r="X11" s="800">
        <f t="shared" ref="X11:AX11" si="30">X10/X6</f>
        <v>0.46545238566620467</v>
      </c>
      <c r="Y11" s="800">
        <f t="shared" si="30"/>
        <v>0.46064218213058422</v>
      </c>
      <c r="Z11" s="800">
        <f>Z10/Z6</f>
        <v>0.46314515298238385</v>
      </c>
      <c r="AA11" s="800">
        <f t="shared" ref="AA11:AB11" si="31">AA10/AA6</f>
        <v>0.4562927107061503</v>
      </c>
      <c r="AB11" s="800">
        <f t="shared" si="31"/>
        <v>0.45774254205417525</v>
      </c>
      <c r="AC11" s="800">
        <f t="shared" si="30"/>
        <v>0.4569928096395004</v>
      </c>
      <c r="AD11" s="800">
        <f t="shared" si="30"/>
        <v>0.4581696284409903</v>
      </c>
      <c r="AE11" s="800">
        <f t="shared" si="30"/>
        <v>0.45701841645183805</v>
      </c>
      <c r="AF11" s="800">
        <f t="shared" si="30"/>
        <v>0.45760938357939818</v>
      </c>
      <c r="AG11" s="800">
        <f t="shared" ref="AG11:AH11" si="32">AG10/AG6</f>
        <v>0.45824967483829981</v>
      </c>
      <c r="AH11" s="800">
        <f t="shared" si="32"/>
        <v>0.45756187802558129</v>
      </c>
      <c r="AI11" s="800">
        <f t="shared" si="30"/>
        <v>0.45791358192736953</v>
      </c>
      <c r="AJ11" s="800"/>
      <c r="AK11" s="800"/>
      <c r="AL11" s="800">
        <f t="shared" si="30"/>
        <v>0.45818774012782404</v>
      </c>
      <c r="AM11" s="800"/>
      <c r="AN11" s="800"/>
      <c r="AO11" s="800">
        <f t="shared" si="30"/>
        <v>0.45841382026124905</v>
      </c>
      <c r="AP11" s="800"/>
      <c r="AQ11" s="800"/>
      <c r="AR11" s="800">
        <f t="shared" si="30"/>
        <v>0.458600088176498</v>
      </c>
      <c r="AS11" s="800"/>
      <c r="AT11" s="800"/>
      <c r="AU11" s="800">
        <f t="shared" si="30"/>
        <v>0.45871604106221431</v>
      </c>
      <c r="AV11" s="800"/>
      <c r="AW11" s="800"/>
      <c r="AX11" s="800">
        <f t="shared" si="30"/>
        <v>0.45861948142499087</v>
      </c>
      <c r="AY11" s="800"/>
      <c r="AZ11" s="800"/>
      <c r="BA11" s="800">
        <f t="shared" ref="BA11:BD11" si="33">BA10/BA6</f>
        <v>0.45852569954699068</v>
      </c>
      <c r="BB11" s="800"/>
      <c r="BC11" s="800"/>
      <c r="BD11" s="800">
        <f t="shared" si="33"/>
        <v>0.45843468092336992</v>
      </c>
      <c r="BE11" s="800"/>
      <c r="BF11" s="800"/>
      <c r="BG11" s="800">
        <f>BG10/BG6</f>
        <v>0.45834641100008383</v>
      </c>
      <c r="BH11" s="800"/>
      <c r="BI11" s="800"/>
      <c r="BJ11" s="800">
        <f>BJ10/BJ6</f>
        <v>0.4582608751693682</v>
      </c>
      <c r="BL11" s="122"/>
    </row>
    <row r="12" spans="1:64" s="125" customFormat="1">
      <c r="B12" s="486"/>
      <c r="C12" s="487"/>
      <c r="D12" s="487"/>
      <c r="E12" s="487"/>
      <c r="F12" s="487"/>
      <c r="G12" s="487"/>
      <c r="H12" s="487"/>
      <c r="I12" s="487"/>
      <c r="J12" s="487"/>
      <c r="K12" s="488"/>
      <c r="L12" s="487"/>
      <c r="M12" s="487"/>
      <c r="N12" s="487"/>
      <c r="O12" s="487"/>
      <c r="P12" s="487"/>
      <c r="Q12" s="487"/>
      <c r="R12" s="487">
        <f t="shared" ref="R12:W12" si="34">R10/O10-1</f>
        <v>-6.1976153936961653E-2</v>
      </c>
      <c r="S12" s="487">
        <f t="shared" si="34"/>
        <v>7.0845697329377399E-2</v>
      </c>
      <c r="T12" s="1391"/>
      <c r="U12" s="1391">
        <f t="shared" si="34"/>
        <v>0.13805688396677618</v>
      </c>
      <c r="V12" s="1391">
        <f t="shared" si="34"/>
        <v>-1.4432513566563165E-2</v>
      </c>
      <c r="W12" s="1391"/>
      <c r="X12" s="1391"/>
      <c r="Y12" s="1391"/>
      <c r="Z12" s="1391"/>
      <c r="AA12" s="1391"/>
      <c r="AB12" s="1391"/>
      <c r="AC12" s="1391"/>
      <c r="AD12" s="1391"/>
      <c r="AE12" s="1391"/>
      <c r="AF12" s="487"/>
      <c r="AG12" s="487"/>
      <c r="AH12" s="487"/>
      <c r="AI12" s="487"/>
      <c r="AJ12" s="487"/>
      <c r="AK12" s="487"/>
      <c r="AL12" s="487"/>
      <c r="AM12" s="487"/>
      <c r="AN12" s="487"/>
      <c r="AO12" s="487"/>
      <c r="AP12" s="487"/>
      <c r="AQ12" s="487"/>
      <c r="AR12" s="487"/>
      <c r="AS12" s="487"/>
      <c r="AT12" s="487"/>
      <c r="AU12" s="487"/>
      <c r="AV12" s="487"/>
      <c r="AW12" s="487"/>
      <c r="AX12" s="487"/>
      <c r="AY12" s="487"/>
      <c r="AZ12" s="487"/>
      <c r="BA12" s="487"/>
      <c r="BB12" s="487"/>
      <c r="BC12" s="487"/>
      <c r="BD12" s="487"/>
      <c r="BE12" s="487"/>
      <c r="BF12" s="487"/>
      <c r="BG12" s="487"/>
      <c r="BH12" s="487"/>
      <c r="BI12" s="487"/>
      <c r="BJ12" s="487"/>
      <c r="BL12" s="122"/>
    </row>
    <row r="13" spans="1:64" s="462" customFormat="1">
      <c r="B13" s="464" t="s">
        <v>851</v>
      </c>
      <c r="C13" s="483"/>
      <c r="D13" s="483"/>
      <c r="E13" s="483"/>
      <c r="F13" s="483"/>
      <c r="G13" s="483"/>
      <c r="H13" s="489"/>
      <c r="I13" s="489"/>
      <c r="J13" s="489"/>
      <c r="K13" s="489"/>
      <c r="L13" s="489"/>
      <c r="M13" s="489"/>
      <c r="N13" s="489"/>
      <c r="O13" s="489"/>
      <c r="P13" s="489"/>
      <c r="Q13" s="489"/>
      <c r="R13" s="489"/>
      <c r="S13" s="489"/>
      <c r="T13" s="489"/>
      <c r="U13" s="473"/>
      <c r="V13" s="473"/>
      <c r="W13" s="473"/>
      <c r="X13" s="473"/>
      <c r="Y13" s="473"/>
      <c r="Z13" s="473"/>
      <c r="AA13" s="473"/>
      <c r="AB13" s="473">
        <f>AB11-Y11</f>
        <v>-2.8996400764089714E-3</v>
      </c>
      <c r="AC13" s="473"/>
      <c r="AD13" s="473"/>
      <c r="AE13" s="473">
        <f>AF11-AC11</f>
        <v>6.1657393989777987E-4</v>
      </c>
      <c r="AF13" s="489"/>
      <c r="AG13" s="473"/>
      <c r="AH13" s="473"/>
      <c r="AI13" s="489"/>
      <c r="AJ13" s="489"/>
      <c r="AK13" s="489"/>
      <c r="AL13" s="489"/>
      <c r="AM13" s="489"/>
      <c r="AN13" s="489"/>
      <c r="AO13" s="483"/>
      <c r="AP13" s="483"/>
      <c r="AQ13" s="483"/>
      <c r="AR13" s="483"/>
      <c r="AS13" s="483"/>
      <c r="AT13" s="483"/>
      <c r="AU13" s="483"/>
      <c r="AV13" s="483"/>
      <c r="AW13" s="483"/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  <c r="BH13" s="483"/>
      <c r="BI13" s="483"/>
      <c r="BJ13" s="483"/>
      <c r="BK13" s="463"/>
      <c r="BL13" s="463"/>
    </row>
    <row r="14" spans="1:64" s="462" customFormat="1">
      <c r="A14" s="225"/>
      <c r="B14" s="462" t="s">
        <v>821</v>
      </c>
      <c r="C14" s="483">
        <v>-162.80000000000001</v>
      </c>
      <c r="D14" s="483">
        <f>E14-C14</f>
        <v>-143.80000000000001</v>
      </c>
      <c r="E14" s="490">
        <v>-306.60000000000002</v>
      </c>
      <c r="F14" s="483">
        <v>-169.4</v>
      </c>
      <c r="G14" s="483">
        <f t="shared" ref="G14:G22" si="35">H14-F14</f>
        <v>-143.20000000000002</v>
      </c>
      <c r="H14" s="490">
        <v>-312.60000000000002</v>
      </c>
      <c r="I14" s="483">
        <v>-187.8</v>
      </c>
      <c r="J14" s="483">
        <f t="shared" ref="J14:J22" si="36">K14-I14</f>
        <v>-160</v>
      </c>
      <c r="K14" s="1313">
        <v>-347.8</v>
      </c>
      <c r="L14" s="483">
        <v>-193.3</v>
      </c>
      <c r="M14" s="483">
        <f t="shared" ref="M14:M22" si="37">N14-L14</f>
        <v>-177.89999999999998</v>
      </c>
      <c r="N14" s="490">
        <v>-371.2</v>
      </c>
      <c r="O14" s="483">
        <v>-214.8</v>
      </c>
      <c r="P14" s="483">
        <f>Q14-O14</f>
        <v>-223.89999999999998</v>
      </c>
      <c r="Q14" s="490">
        <v>-438.7</v>
      </c>
      <c r="R14" s="483">
        <v>-220.3</v>
      </c>
      <c r="S14" s="483">
        <f>T14-R14</f>
        <v>-239</v>
      </c>
      <c r="T14" s="490">
        <v>-459.3</v>
      </c>
      <c r="U14" s="490">
        <v>-240.6</v>
      </c>
      <c r="V14" s="483">
        <f>W14-U14</f>
        <v>-239.4</v>
      </c>
      <c r="W14" s="490">
        <v>-480</v>
      </c>
      <c r="X14" s="490">
        <v>-254.6</v>
      </c>
      <c r="Y14" s="483">
        <f>Z14-X14</f>
        <v>-257</v>
      </c>
      <c r="Z14" s="490">
        <v>-511.6</v>
      </c>
      <c r="AA14" s="490">
        <v>-275.60000000000002</v>
      </c>
      <c r="AB14" s="483">
        <f>AC14-AA14</f>
        <v>-266.69999999999993</v>
      </c>
      <c r="AC14" s="490">
        <v>-542.29999999999995</v>
      </c>
      <c r="AD14" s="483">
        <f>AD6*AD62</f>
        <v>-287.2288579639112</v>
      </c>
      <c r="AE14" s="483">
        <f>AF14-AD14</f>
        <v>-290.66404175548826</v>
      </c>
      <c r="AF14" s="483">
        <f>AF6*AF62</f>
        <v>-577.89289971939945</v>
      </c>
      <c r="AG14" s="483">
        <f>AG6*AG62</f>
        <v>-300.70313904129398</v>
      </c>
      <c r="AH14" s="483">
        <f>AI14-AG14</f>
        <v>-307.10935695640023</v>
      </c>
      <c r="AI14" s="483">
        <f>AI6*AI62</f>
        <v>-607.81249599769421</v>
      </c>
      <c r="AJ14" s="483"/>
      <c r="AK14" s="483"/>
      <c r="AL14" s="483">
        <f>AL6*AL62</f>
        <v>-636.82547510397751</v>
      </c>
      <c r="AM14" s="483"/>
      <c r="AN14" s="483"/>
      <c r="AO14" s="483">
        <f>AO6*AO62</f>
        <v>-665.31288258212498</v>
      </c>
      <c r="AP14" s="483"/>
      <c r="AQ14" s="483"/>
      <c r="AR14" s="483">
        <f>AR6*AR62</f>
        <v>-692.66556824399481</v>
      </c>
      <c r="AS14" s="483"/>
      <c r="AT14" s="483"/>
      <c r="AU14" s="483">
        <f>AU6*AU62</f>
        <v>-718.37819288908918</v>
      </c>
      <c r="AV14" s="483"/>
      <c r="AW14" s="483"/>
      <c r="AX14" s="483">
        <f>AX6*AX62</f>
        <v>-742.1204807289688</v>
      </c>
      <c r="AY14" s="483"/>
      <c r="AZ14" s="483"/>
      <c r="BA14" s="483">
        <f>BA6*BA62</f>
        <v>-766.65892133056434</v>
      </c>
      <c r="BB14" s="483"/>
      <c r="BC14" s="483"/>
      <c r="BD14" s="483">
        <f>BD6*BD62</f>
        <v>-792.02044849474908</v>
      </c>
      <c r="BE14" s="483"/>
      <c r="BF14" s="483"/>
      <c r="BG14" s="483">
        <f>BG6*BG62</f>
        <v>-818.23291054874858</v>
      </c>
      <c r="BH14" s="483"/>
      <c r="BI14" s="483"/>
      <c r="BJ14" s="483">
        <f>BJ6*BJ62</f>
        <v>-845.32510140861086</v>
      </c>
      <c r="BK14" s="463"/>
      <c r="BL14" s="463"/>
    </row>
    <row r="15" spans="1:64" s="462" customFormat="1">
      <c r="A15" s="225"/>
      <c r="B15" s="122" t="s">
        <v>42</v>
      </c>
      <c r="C15" s="792"/>
      <c r="D15" s="792"/>
      <c r="E15" s="792"/>
      <c r="F15" s="792">
        <f>F14/C14-1</f>
        <v>4.0540540540540571E-2</v>
      </c>
      <c r="G15" s="792">
        <f t="shared" ref="G15" si="38">G14/D14-1</f>
        <v>-4.1724617524339092E-3</v>
      </c>
      <c r="H15" s="792">
        <f t="shared" ref="H15" si="39">H14/E14-1</f>
        <v>1.9569471624266033E-2</v>
      </c>
      <c r="I15" s="792">
        <f t="shared" ref="I15" si="40">I14/F14-1</f>
        <v>0.10861865407319948</v>
      </c>
      <c r="J15" s="792">
        <f t="shared" ref="J15" si="41">J14/G14-1</f>
        <v>0.11731843575418988</v>
      </c>
      <c r="K15" s="793">
        <f t="shared" ref="K15" si="42">K14/H14-1</f>
        <v>0.11260396673064621</v>
      </c>
      <c r="L15" s="792">
        <f t="shared" ref="L15" si="43">L14/I14-1</f>
        <v>2.9286474973375887E-2</v>
      </c>
      <c r="M15" s="792">
        <f t="shared" ref="M15" si="44">M14/J14-1</f>
        <v>0.11187499999999995</v>
      </c>
      <c r="N15" s="792">
        <f t="shared" ref="N15" si="45">N14/K14-1</f>
        <v>6.7280046003450167E-2</v>
      </c>
      <c r="O15" s="792">
        <f t="shared" ref="O15" si="46">O14/L14-1</f>
        <v>0.1112260734609416</v>
      </c>
      <c r="P15" s="792">
        <f t="shared" ref="P15" si="47">P14/M14-1</f>
        <v>0.25857223159078147</v>
      </c>
      <c r="Q15" s="792">
        <f t="shared" ref="Q15" si="48">Q14/N14-1</f>
        <v>0.18184267241379315</v>
      </c>
      <c r="R15" s="792">
        <f t="shared" ref="R15" si="49">R14/O14-1</f>
        <v>2.5605214152700118E-2</v>
      </c>
      <c r="S15" s="792">
        <f t="shared" ref="S15" si="50">S14/P14-1</f>
        <v>6.7440821795444528E-2</v>
      </c>
      <c r="T15" s="792">
        <f t="shared" ref="T15" si="51">T14/Q14-1</f>
        <v>4.6956918167312622E-2</v>
      </c>
      <c r="U15" s="792">
        <f t="shared" ref="U15" si="52">U14/R14-1</f>
        <v>9.214707217430762E-2</v>
      </c>
      <c r="V15" s="792">
        <f t="shared" ref="V15" si="53">V14/S14-1</f>
        <v>1.6736401673640433E-3</v>
      </c>
      <c r="W15" s="792">
        <f t="shared" ref="W15" si="54">W14/T14-1</f>
        <v>4.5068582625734877E-2</v>
      </c>
      <c r="X15" s="792">
        <f t="shared" ref="X15" si="55">X14/U14-1</f>
        <v>5.8187863674147966E-2</v>
      </c>
      <c r="Y15" s="792">
        <f t="shared" ref="Y15:AB15" si="56">Y14/V14-1</f>
        <v>7.3517126148705092E-2</v>
      </c>
      <c r="Z15" s="792">
        <f t="shared" si="56"/>
        <v>6.583333333333341E-2</v>
      </c>
      <c r="AA15" s="792">
        <f t="shared" ref="AA15" si="57">AA14/X14-1</f>
        <v>8.2482325216025165E-2</v>
      </c>
      <c r="AB15" s="792">
        <f t="shared" si="56"/>
        <v>3.7743190661478243E-2</v>
      </c>
      <c r="AC15" s="792">
        <f>AC14/Z14-1</f>
        <v>6.0007818608287522E-2</v>
      </c>
      <c r="AD15" s="792">
        <f t="shared" ref="AD15" si="58">AD14/AA14-1</f>
        <v>4.2194695079503575E-2</v>
      </c>
      <c r="AE15" s="792">
        <f t="shared" ref="AE15" si="59">AE14/AB14-1</f>
        <v>8.9853924842475896E-2</v>
      </c>
      <c r="AF15" s="792">
        <f t="shared" ref="AF15" si="60">AF14/AC14-1</f>
        <v>6.56332283226988E-2</v>
      </c>
      <c r="AG15" s="792">
        <f t="shared" ref="AG15" si="61">AG14/AD14-1</f>
        <v>4.6911306798691266E-2</v>
      </c>
      <c r="AH15" s="792">
        <f t="shared" ref="AH15" si="62">AH14/AE14-1</f>
        <v>5.6578430209630381E-2</v>
      </c>
      <c r="AI15" s="792">
        <f t="shared" ref="AI15" si="63">AI14/AF14-1</f>
        <v>5.177360077070059E-2</v>
      </c>
      <c r="AJ15" s="792"/>
      <c r="AK15" s="792"/>
      <c r="AL15" s="792">
        <f>AL14/AI14-1</f>
        <v>4.7733436376065086E-2</v>
      </c>
      <c r="AM15" s="792"/>
      <c r="AN15" s="792"/>
      <c r="AO15" s="792">
        <f t="shared" ref="AO15" si="64">AO14/AL14-1</f>
        <v>4.4733460880308273E-2</v>
      </c>
      <c r="AP15" s="792"/>
      <c r="AQ15" s="792"/>
      <c r="AR15" s="792">
        <f t="shared" ref="AR15" si="65">AR14/AO14-1</f>
        <v>4.1112514694908953E-2</v>
      </c>
      <c r="AS15" s="792"/>
      <c r="AT15" s="792"/>
      <c r="AU15" s="792">
        <f t="shared" ref="AU15" si="66">AU14/AR14-1</f>
        <v>3.7121268652460238E-2</v>
      </c>
      <c r="AV15" s="792"/>
      <c r="AW15" s="792"/>
      <c r="AX15" s="792">
        <f t="shared" ref="AX15" si="67">AX14/AU14-1</f>
        <v>3.3049844879611046E-2</v>
      </c>
      <c r="AY15" s="792"/>
      <c r="AZ15" s="792"/>
      <c r="BA15" s="792">
        <f t="shared" ref="BA15" si="68">BA14/AX14-1</f>
        <v>3.3065305753982033E-2</v>
      </c>
      <c r="BB15" s="792"/>
      <c r="BC15" s="792"/>
      <c r="BD15" s="792">
        <f>BD14/BA14-1</f>
        <v>3.3080587023195163E-2</v>
      </c>
      <c r="BE15" s="792"/>
      <c r="BF15" s="792"/>
      <c r="BG15" s="792">
        <f>BG14/BD14-1</f>
        <v>3.3095688506296517E-2</v>
      </c>
      <c r="BH15" s="792"/>
      <c r="BI15" s="792"/>
      <c r="BJ15" s="792">
        <f t="shared" ref="BJ15" si="69">BJ14/BG14-1</f>
        <v>3.3110610084960967E-2</v>
      </c>
      <c r="BK15" s="463"/>
      <c r="BL15" s="463"/>
    </row>
    <row r="16" spans="1:64" s="462" customFormat="1">
      <c r="A16" s="225"/>
      <c r="B16" s="462" t="s">
        <v>67</v>
      </c>
      <c r="C16" s="483">
        <v>-52</v>
      </c>
      <c r="D16" s="483">
        <f t="shared" ref="D16:D22" si="70">E16-C16</f>
        <v>-27</v>
      </c>
      <c r="E16" s="490">
        <v>-79</v>
      </c>
      <c r="F16" s="483">
        <v>-53.1</v>
      </c>
      <c r="G16" s="483">
        <f t="shared" si="35"/>
        <v>-25.300000000000004</v>
      </c>
      <c r="H16" s="490">
        <v>-78.400000000000006</v>
      </c>
      <c r="I16" s="483">
        <v>-51.7</v>
      </c>
      <c r="J16" s="483">
        <f t="shared" si="36"/>
        <v>-30.200000000000003</v>
      </c>
      <c r="K16" s="1313">
        <v>-81.900000000000006</v>
      </c>
      <c r="L16" s="483">
        <v>-51.2</v>
      </c>
      <c r="M16" s="483">
        <f t="shared" si="37"/>
        <v>-27.899999999999991</v>
      </c>
      <c r="N16" s="490">
        <v>-79.099999999999994</v>
      </c>
      <c r="O16" s="483">
        <v>-56</v>
      </c>
      <c r="P16" s="483">
        <f t="shared" ref="P16:P20" si="71">Q16-O16</f>
        <v>-46.5</v>
      </c>
      <c r="Q16" s="490">
        <v>-102.5</v>
      </c>
      <c r="R16" s="483">
        <v>-58.8</v>
      </c>
      <c r="S16" s="483">
        <f t="shared" ref="S16:S22" si="72">T16-R16</f>
        <v>-40</v>
      </c>
      <c r="T16" s="490">
        <v>-98.8</v>
      </c>
      <c r="U16" s="490">
        <v>-59.2</v>
      </c>
      <c r="V16" s="483">
        <f t="shared" ref="V16:V18" si="73">W16-U16</f>
        <v>-44.7</v>
      </c>
      <c r="W16" s="490">
        <v>-103.9</v>
      </c>
      <c r="X16" s="490">
        <v>-65</v>
      </c>
      <c r="Y16" s="483">
        <f t="shared" ref="Y16:Y20" si="74">Z16-X16</f>
        <v>-42</v>
      </c>
      <c r="Z16" s="490">
        <v>-107</v>
      </c>
      <c r="AA16" s="490">
        <v>-61.4</v>
      </c>
      <c r="AB16" s="483">
        <f t="shared" ref="AB16:AB20" si="75">AC16-AA16</f>
        <v>-41.4</v>
      </c>
      <c r="AC16" s="490">
        <v>-102.8</v>
      </c>
      <c r="AD16" s="483">
        <f>AD6*AD64</f>
        <v>-63.990754277881514</v>
      </c>
      <c r="AE16" s="483">
        <f t="shared" ref="AE16" si="76">AF16-AD16</f>
        <v>-43.934419082439938</v>
      </c>
      <c r="AF16" s="483">
        <f>AF6*AF64</f>
        <v>-107.92517336032145</v>
      </c>
      <c r="AG16" s="483">
        <f>AG6*AG64</f>
        <v>-66.992644184090892</v>
      </c>
      <c r="AH16" s="483">
        <f t="shared" ref="AH16" si="77">AI16-AG16</f>
        <v>-44.18812464732909</v>
      </c>
      <c r="AI16" s="483">
        <f>AI6*AI64</f>
        <v>-111.18076883141998</v>
      </c>
      <c r="AJ16" s="483"/>
      <c r="AK16" s="483"/>
      <c r="AL16" s="483">
        <f>AL6*AL64</f>
        <v>-114.13238937472843</v>
      </c>
      <c r="AM16" s="483"/>
      <c r="AN16" s="483"/>
      <c r="AO16" s="483">
        <f>AO6*AO64</f>
        <v>-119.23792614999896</v>
      </c>
      <c r="AP16" s="483"/>
      <c r="AQ16" s="483"/>
      <c r="AR16" s="483">
        <f>AR6*AR64</f>
        <v>-121.57814237046131</v>
      </c>
      <c r="AS16" s="483"/>
      <c r="AT16" s="483"/>
      <c r="AU16" s="483">
        <f>AU6*AU64</f>
        <v>-123.43421947377855</v>
      </c>
      <c r="AV16" s="483"/>
      <c r="AW16" s="483"/>
      <c r="AX16" s="483">
        <f>AX6*AX64</f>
        <v>-124.76882815081164</v>
      </c>
      <c r="AY16" s="483"/>
      <c r="AZ16" s="483"/>
      <c r="BA16" s="483">
        <f>BA6*BA64</f>
        <v>-126.05871440349325</v>
      </c>
      <c r="BB16" s="483"/>
      <c r="BC16" s="483"/>
      <c r="BD16" s="483">
        <f>BD6*BD64</f>
        <v>-127.29937306586397</v>
      </c>
      <c r="BE16" s="483"/>
      <c r="BF16" s="483"/>
      <c r="BG16" s="483">
        <f>BG6*BG64</f>
        <v>-128.48604409979029</v>
      </c>
      <c r="BH16" s="483"/>
      <c r="BI16" s="483"/>
      <c r="BJ16" s="483">
        <f>BJ6*BJ64</f>
        <v>-129.61370044502891</v>
      </c>
      <c r="BK16" s="463"/>
      <c r="BL16" s="463"/>
    </row>
    <row r="17" spans="1:65" s="462" customFormat="1">
      <c r="A17" s="225"/>
      <c r="B17" s="133" t="s">
        <v>42</v>
      </c>
      <c r="C17" s="473"/>
      <c r="D17" s="473"/>
      <c r="E17" s="473"/>
      <c r="F17" s="473">
        <f>F16/C16-1</f>
        <v>2.1153846153846079E-2</v>
      </c>
      <c r="G17" s="473">
        <f t="shared" ref="G17" si="78">G16/D16-1</f>
        <v>-6.2962962962962776E-2</v>
      </c>
      <c r="H17" s="473">
        <f t="shared" ref="H17" si="79">H16/E16-1</f>
        <v>-7.5949367088606889E-3</v>
      </c>
      <c r="I17" s="473">
        <f t="shared" ref="I17" si="80">I16/F16-1</f>
        <v>-2.6365348399246646E-2</v>
      </c>
      <c r="J17" s="473">
        <f t="shared" ref="J17" si="81">J16/G16-1</f>
        <v>0.19367588932806323</v>
      </c>
      <c r="K17" s="560">
        <f t="shared" ref="K17" si="82">K16/H16-1</f>
        <v>4.4642857142857206E-2</v>
      </c>
      <c r="L17" s="473">
        <f t="shared" ref="L17" si="83">L16/I16-1</f>
        <v>-9.6711798839458352E-3</v>
      </c>
      <c r="M17" s="473">
        <f t="shared" ref="M17" si="84">M16/J16-1</f>
        <v>-7.6158940397351382E-2</v>
      </c>
      <c r="N17" s="473">
        <f t="shared" ref="N17" si="85">N16/K16-1</f>
        <v>-3.4188034188034289E-2</v>
      </c>
      <c r="O17" s="473">
        <f t="shared" ref="O17" si="86">O16/L16-1</f>
        <v>9.375E-2</v>
      </c>
      <c r="P17" s="473">
        <f t="shared" ref="P17" si="87">P16/M16-1</f>
        <v>0.66666666666666718</v>
      </c>
      <c r="Q17" s="473">
        <f>Q16/N16-1</f>
        <v>0.29582806573957021</v>
      </c>
      <c r="R17" s="473">
        <f t="shared" ref="R17" si="88">R16/O16-1</f>
        <v>5.0000000000000044E-2</v>
      </c>
      <c r="S17" s="473">
        <f t="shared" ref="S17" si="89">S16/P16-1</f>
        <v>-0.13978494623655913</v>
      </c>
      <c r="T17" s="473">
        <f t="shared" ref="T17" si="90">T16/Q16-1</f>
        <v>-3.6097560975609788E-2</v>
      </c>
      <c r="U17" s="473">
        <f t="shared" ref="U17" si="91">U16/R16-1</f>
        <v>6.8027210884353817E-3</v>
      </c>
      <c r="V17" s="473">
        <f t="shared" ref="V17" si="92">V16/S16-1</f>
        <v>0.11750000000000016</v>
      </c>
      <c r="W17" s="473">
        <f t="shared" ref="W17" si="93">W16/T16-1</f>
        <v>5.1619433198380582E-2</v>
      </c>
      <c r="X17" s="473">
        <f>X16/U16-1</f>
        <v>9.7972972972973027E-2</v>
      </c>
      <c r="Y17" s="473">
        <f t="shared" ref="Y17:AB17" si="94">Y16/V16-1</f>
        <v>-6.0402684563758413E-2</v>
      </c>
      <c r="Z17" s="473">
        <f t="shared" si="94"/>
        <v>2.9836381135707413E-2</v>
      </c>
      <c r="AA17" s="473">
        <f t="shared" ref="AA17" si="95">AA16/X16-1</f>
        <v>-5.5384615384615365E-2</v>
      </c>
      <c r="AB17" s="473">
        <f t="shared" si="94"/>
        <v>-1.4285714285714346E-2</v>
      </c>
      <c r="AC17" s="473">
        <f>AC16/Z16-1</f>
        <v>-3.9252336448598157E-2</v>
      </c>
      <c r="AD17" s="473">
        <f t="shared" ref="AD17" si="96">AD16/AA16-1</f>
        <v>4.2194695079503575E-2</v>
      </c>
      <c r="AE17" s="473">
        <f t="shared" ref="AE17" si="97">AE16/AB16-1</f>
        <v>6.1217852232848813E-2</v>
      </c>
      <c r="AF17" s="473">
        <f t="shared" ref="AF17" si="98">AF16/AC16-1</f>
        <v>4.9855771987562747E-2</v>
      </c>
      <c r="AG17" s="473">
        <f t="shared" ref="AG17" si="99">AG16/AD16-1</f>
        <v>4.6911306798691488E-2</v>
      </c>
      <c r="AH17" s="473">
        <f t="shared" ref="AH17" si="100">AH16/AE16-1</f>
        <v>5.7746425282896308E-3</v>
      </c>
      <c r="AI17" s="473">
        <f t="shared" ref="AI17" si="101">AI16/AF16-1</f>
        <v>3.0165302215724221E-2</v>
      </c>
      <c r="AJ17" s="473"/>
      <c r="AK17" s="473"/>
      <c r="AL17" s="473">
        <f>AL16/AI16-1</f>
        <v>2.6547941468042069E-2</v>
      </c>
      <c r="AM17" s="473"/>
      <c r="AN17" s="473"/>
      <c r="AO17" s="473">
        <f t="shared" ref="AO17" si="102">AO16/AL16-1</f>
        <v>4.4733460880308273E-2</v>
      </c>
      <c r="AP17" s="473"/>
      <c r="AQ17" s="473"/>
      <c r="AR17" s="473">
        <f t="shared" ref="AR17" si="103">AR16/AO16-1</f>
        <v>1.9626441821190443E-2</v>
      </c>
      <c r="AS17" s="473"/>
      <c r="AT17" s="473"/>
      <c r="AU17" s="473">
        <f t="shared" ref="AU17" si="104">AU16/AR16-1</f>
        <v>1.5266536131647523E-2</v>
      </c>
      <c r="AV17" s="473"/>
      <c r="AW17" s="473"/>
      <c r="AX17" s="473">
        <f>AX16/AU16-1</f>
        <v>1.081230701439817E-2</v>
      </c>
      <c r="AY17" s="473"/>
      <c r="AZ17" s="473"/>
      <c r="BA17" s="473">
        <f t="shared" ref="BA17" si="105">BA16/AX16-1</f>
        <v>1.0338209245040586E-2</v>
      </c>
      <c r="BB17" s="473"/>
      <c r="BC17" s="473"/>
      <c r="BD17" s="473">
        <f>BD16/BA16-1</f>
        <v>9.8419111145269245E-3</v>
      </c>
      <c r="BE17" s="473"/>
      <c r="BF17" s="473"/>
      <c r="BG17" s="473">
        <f>BG16/BD16-1</f>
        <v>9.3218922084741251E-3</v>
      </c>
      <c r="BH17" s="473"/>
      <c r="BI17" s="473"/>
      <c r="BJ17" s="473">
        <f t="shared" ref="BJ17" si="106">BJ16/BG16-1</f>
        <v>8.7764889419648107E-3</v>
      </c>
      <c r="BK17" s="463"/>
      <c r="BL17" s="463"/>
    </row>
    <row r="18" spans="1:65" s="462" customFormat="1">
      <c r="A18" s="225"/>
      <c r="B18" s="462" t="s">
        <v>68</v>
      </c>
      <c r="C18" s="483">
        <v>-96.2</v>
      </c>
      <c r="D18" s="483">
        <f t="shared" si="70"/>
        <v>-90.2</v>
      </c>
      <c r="E18" s="490">
        <v>-186.4</v>
      </c>
      <c r="F18" s="483">
        <v>-104</v>
      </c>
      <c r="G18" s="483">
        <f t="shared" si="35"/>
        <v>-98.5</v>
      </c>
      <c r="H18" s="490">
        <v>-202.5</v>
      </c>
      <c r="I18" s="483">
        <v>-103.9</v>
      </c>
      <c r="J18" s="483">
        <f t="shared" si="36"/>
        <v>-111.6</v>
      </c>
      <c r="K18" s="1313">
        <v>-215.5</v>
      </c>
      <c r="L18" s="483">
        <v>-102</v>
      </c>
      <c r="M18" s="483">
        <f t="shared" si="37"/>
        <v>-102.9</v>
      </c>
      <c r="N18" s="490">
        <v>-204.9</v>
      </c>
      <c r="O18" s="483">
        <v>-103.7</v>
      </c>
      <c r="P18" s="483">
        <f t="shared" si="71"/>
        <v>-109.60000000000001</v>
      </c>
      <c r="Q18" s="490">
        <v>-213.3</v>
      </c>
      <c r="R18" s="483">
        <v>-112.4</v>
      </c>
      <c r="S18" s="483">
        <f t="shared" si="72"/>
        <v>-125.69999999999999</v>
      </c>
      <c r="T18" s="490">
        <v>-238.1</v>
      </c>
      <c r="U18" s="490">
        <v>-117</v>
      </c>
      <c r="V18" s="483">
        <f t="shared" si="73"/>
        <v>-119.1</v>
      </c>
      <c r="W18" s="490">
        <v>-236.1</v>
      </c>
      <c r="X18" s="490">
        <v>-127.3</v>
      </c>
      <c r="Y18" s="483">
        <f t="shared" si="74"/>
        <v>-129.89999999999998</v>
      </c>
      <c r="Z18" s="490">
        <v>-257.2</v>
      </c>
      <c r="AA18" s="490">
        <v>-158.4</v>
      </c>
      <c r="AB18" s="483">
        <f t="shared" si="75"/>
        <v>-161.29999999999998</v>
      </c>
      <c r="AC18" s="490">
        <v>-319.7</v>
      </c>
      <c r="AD18" s="483">
        <f>AD6*AD65</f>
        <v>-167.27975236206487</v>
      </c>
      <c r="AE18" s="483">
        <f t="shared" ref="AE18" si="107">AF18-AD18</f>
        <v>-176.91525251290318</v>
      </c>
      <c r="AF18" s="483">
        <f>AF6*AF65</f>
        <v>-344.19500487496805</v>
      </c>
      <c r="AG18" s="483">
        <f>AG6*AG65</f>
        <v>-175.12706414633084</v>
      </c>
      <c r="AH18" s="483">
        <f t="shared" ref="AH18" si="108">AI18-AG18</f>
        <v>-182.12413990037226</v>
      </c>
      <c r="AI18" s="483">
        <f>AI6*AI65</f>
        <v>-357.25120404670309</v>
      </c>
      <c r="AJ18" s="483"/>
      <c r="AK18" s="483"/>
      <c r="AL18" s="483">
        <f>AL6*AL65</f>
        <v>-374.30403166533898</v>
      </c>
      <c r="AM18" s="483"/>
      <c r="AN18" s="483"/>
      <c r="AO18" s="483">
        <f>AO6*AO65</f>
        <v>-391.04794642318217</v>
      </c>
      <c r="AP18" s="483"/>
      <c r="AQ18" s="483"/>
      <c r="AR18" s="483">
        <f>AR6*AR65</f>
        <v>-407.12491086691915</v>
      </c>
      <c r="AS18" s="483"/>
      <c r="AT18" s="483"/>
      <c r="AU18" s="483">
        <f>AU6*AU65</f>
        <v>-422.23790405831903</v>
      </c>
      <c r="AV18" s="483"/>
      <c r="AW18" s="483"/>
      <c r="AX18" s="483">
        <f>AX6*AX65</f>
        <v>-436.1928012897385</v>
      </c>
      <c r="AY18" s="483"/>
      <c r="AZ18" s="483"/>
      <c r="BA18" s="483">
        <f>BA6*BA65</f>
        <v>-450.61564963206962</v>
      </c>
      <c r="BB18" s="483"/>
      <c r="BC18" s="483"/>
      <c r="BD18" s="483">
        <f>BD6*BD65</f>
        <v>-465.52227984373701</v>
      </c>
      <c r="BE18" s="483"/>
      <c r="BF18" s="483"/>
      <c r="BG18" s="483">
        <f>BG6*BG65</f>
        <v>-480.92906021018632</v>
      </c>
      <c r="BH18" s="483"/>
      <c r="BI18" s="483"/>
      <c r="BJ18" s="483">
        <f>BJ6*BJ65</f>
        <v>-496.85291480133242</v>
      </c>
      <c r="BK18" s="463"/>
      <c r="BL18" s="463"/>
    </row>
    <row r="19" spans="1:65" s="462" customFormat="1">
      <c r="A19" s="225"/>
      <c r="B19" s="137" t="s">
        <v>42</v>
      </c>
      <c r="C19" s="492"/>
      <c r="D19" s="492"/>
      <c r="E19" s="492"/>
      <c r="F19" s="492">
        <f>F18/C18-1</f>
        <v>8.1081081081081141E-2</v>
      </c>
      <c r="G19" s="492">
        <f t="shared" ref="G19" si="109">G18/D18-1</f>
        <v>9.2017738359201795E-2</v>
      </c>
      <c r="H19" s="492">
        <f t="shared" ref="H19" si="110">H18/E18-1</f>
        <v>8.63733905579398E-2</v>
      </c>
      <c r="I19" s="492">
        <f t="shared" ref="I19" si="111">I18/F18-1</f>
        <v>-9.6153846153845812E-4</v>
      </c>
      <c r="J19" s="492">
        <f t="shared" ref="J19" si="112">J18/G18-1</f>
        <v>0.13299492385786804</v>
      </c>
      <c r="K19" s="798">
        <f t="shared" ref="K19" si="113">K18/H18-1</f>
        <v>6.419753086419755E-2</v>
      </c>
      <c r="L19" s="492">
        <f t="shared" ref="L19" si="114">L18/I18-1</f>
        <v>-1.8286814244465877E-2</v>
      </c>
      <c r="M19" s="492">
        <f t="shared" ref="M19" si="115">M18/J18-1</f>
        <v>-7.7956989247311759E-2</v>
      </c>
      <c r="N19" s="492">
        <f t="shared" ref="N19" si="116">N18/K18-1</f>
        <v>-4.9187935034802788E-2</v>
      </c>
      <c r="O19" s="492">
        <f t="shared" ref="O19" si="117">O18/L18-1</f>
        <v>1.6666666666666607E-2</v>
      </c>
      <c r="P19" s="492">
        <f t="shared" ref="P19" si="118">P18/M18-1</f>
        <v>6.5111758989309987E-2</v>
      </c>
      <c r="Q19" s="492">
        <f t="shared" ref="Q19" si="119">Q18/N18-1</f>
        <v>4.0995607613470098E-2</v>
      </c>
      <c r="R19" s="492">
        <f t="shared" ref="R19" si="120">R18/O18-1</f>
        <v>8.3895853423336497E-2</v>
      </c>
      <c r="S19" s="492">
        <f t="shared" ref="S19" si="121">S18/P18-1</f>
        <v>0.14689781021897796</v>
      </c>
      <c r="T19" s="492">
        <f t="shared" ref="T19" si="122">T18/Q18-1</f>
        <v>0.11626816690107811</v>
      </c>
      <c r="U19" s="492">
        <f t="shared" ref="U19" si="123">U18/R18-1</f>
        <v>4.0925266903914626E-2</v>
      </c>
      <c r="V19" s="492">
        <f t="shared" ref="V19" si="124">V18/S18-1</f>
        <v>-5.2505966587112152E-2</v>
      </c>
      <c r="W19" s="492">
        <f t="shared" ref="W19" si="125">W18/T18-1</f>
        <v>-8.3998320033599194E-3</v>
      </c>
      <c r="X19" s="492">
        <f t="shared" ref="X19" si="126">X18/U18-1</f>
        <v>8.8034188034187943E-2</v>
      </c>
      <c r="Y19" s="492">
        <f t="shared" ref="Y19:AB19" si="127">Y18/V18-1</f>
        <v>9.0680100755667459E-2</v>
      </c>
      <c r="Z19" s="492">
        <f t="shared" si="127"/>
        <v>8.9368911478187263E-2</v>
      </c>
      <c r="AA19" s="492">
        <f t="shared" ref="AA19" si="128">AA18/X18-1</f>
        <v>0.24430479183032205</v>
      </c>
      <c r="AB19" s="492">
        <f t="shared" si="127"/>
        <v>0.24172440338722101</v>
      </c>
      <c r="AC19" s="492">
        <f>AC18/Z18-1</f>
        <v>0.24300155520995337</v>
      </c>
      <c r="AD19" s="492">
        <f t="shared" ref="AD19" si="129">AD18/AA18-1</f>
        <v>5.6059042689803329E-2</v>
      </c>
      <c r="AE19" s="492">
        <f t="shared" ref="AE19" si="130">AE18/AB18-1</f>
        <v>9.6808757054576589E-2</v>
      </c>
      <c r="AF19" s="492">
        <f t="shared" ref="AF19" si="131">AF18/AC18-1</f>
        <v>7.6618720284541864E-2</v>
      </c>
      <c r="AG19" s="492">
        <f t="shared" ref="AG19" si="132">AG18/AD18-1</f>
        <v>4.6911306798691488E-2</v>
      </c>
      <c r="AH19" s="492">
        <f t="shared" ref="AH19" si="133">AH18/AE18-1</f>
        <v>2.9442839514864261E-2</v>
      </c>
      <c r="AI19" s="492">
        <f t="shared" ref="AI19" si="134">AI18/AF18-1</f>
        <v>3.7932564351065512E-2</v>
      </c>
      <c r="AJ19" s="492"/>
      <c r="AK19" s="492"/>
      <c r="AL19" s="492">
        <f>AL18/AI18-1</f>
        <v>4.7733436376064864E-2</v>
      </c>
      <c r="AM19" s="492"/>
      <c r="AN19" s="492"/>
      <c r="AO19" s="492">
        <f t="shared" ref="AO19" si="135">AO18/AL18-1</f>
        <v>4.4733460880308495E-2</v>
      </c>
      <c r="AP19" s="492"/>
      <c r="AQ19" s="492"/>
      <c r="AR19" s="492">
        <f t="shared" ref="AR19" si="136">AR18/AO18-1</f>
        <v>4.1112514694908731E-2</v>
      </c>
      <c r="AS19" s="492"/>
      <c r="AT19" s="492"/>
      <c r="AU19" s="492">
        <f t="shared" ref="AU19" si="137">AU18/AR18-1</f>
        <v>3.712126865246046E-2</v>
      </c>
      <c r="AV19" s="492"/>
      <c r="AW19" s="492"/>
      <c r="AX19" s="492">
        <f t="shared" ref="AX19" si="138">AX18/AU18-1</f>
        <v>3.3049844879610824E-2</v>
      </c>
      <c r="AY19" s="492"/>
      <c r="AZ19" s="492"/>
      <c r="BA19" s="492">
        <f t="shared" ref="BA19" si="139">BA18/AX18-1</f>
        <v>3.3065305753982033E-2</v>
      </c>
      <c r="BB19" s="492"/>
      <c r="BC19" s="492"/>
      <c r="BD19" s="492">
        <f>BD18/BA18-1</f>
        <v>3.3080587023195385E-2</v>
      </c>
      <c r="BE19" s="492"/>
      <c r="BF19" s="492"/>
      <c r="BG19" s="492">
        <f>BG18/BD18-1</f>
        <v>3.3095688506296517E-2</v>
      </c>
      <c r="BH19" s="492"/>
      <c r="BI19" s="492"/>
      <c r="BJ19" s="492">
        <f t="shared" ref="BJ19" si="140">BJ18/BG18-1</f>
        <v>3.3110610084960745E-2</v>
      </c>
      <c r="BK19" s="463"/>
      <c r="BL19" s="463"/>
    </row>
    <row r="20" spans="1:65" s="462" customFormat="1">
      <c r="A20" s="225"/>
      <c r="B20" s="462" t="s">
        <v>822</v>
      </c>
      <c r="C20" s="483">
        <v>-150.5</v>
      </c>
      <c r="D20" s="483">
        <f t="shared" si="70"/>
        <v>-166.7</v>
      </c>
      <c r="E20" s="490">
        <v>-317.2</v>
      </c>
      <c r="F20" s="483">
        <v>-156</v>
      </c>
      <c r="G20" s="483">
        <f t="shared" si="35"/>
        <v>-148.30000000000001</v>
      </c>
      <c r="H20" s="490">
        <v>-304.3</v>
      </c>
      <c r="I20" s="483">
        <v>-175.5</v>
      </c>
      <c r="J20" s="483">
        <f t="shared" si="36"/>
        <v>-190.89999999999998</v>
      </c>
      <c r="K20" s="1313">
        <v>-366.4</v>
      </c>
      <c r="L20" s="483">
        <v>-192.5</v>
      </c>
      <c r="M20" s="483">
        <f t="shared" si="37"/>
        <v>-211.10000000000002</v>
      </c>
      <c r="N20" s="490">
        <v>-403.6</v>
      </c>
      <c r="O20" s="483">
        <v>-204.6</v>
      </c>
      <c r="P20" s="483">
        <f t="shared" si="71"/>
        <v>-228.4</v>
      </c>
      <c r="Q20" s="490">
        <v>-433</v>
      </c>
      <c r="R20" s="483">
        <v>-223.1</v>
      </c>
      <c r="S20" s="483">
        <f t="shared" si="72"/>
        <v>-248.29999999999998</v>
      </c>
      <c r="T20" s="490">
        <v>-471.4</v>
      </c>
      <c r="U20" s="490">
        <v>-256.10000000000002</v>
      </c>
      <c r="V20" s="483">
        <f>W20-U20</f>
        <v>-259.19999999999993</v>
      </c>
      <c r="W20" s="490">
        <v>-515.29999999999995</v>
      </c>
      <c r="X20" s="490">
        <v>-266.3</v>
      </c>
      <c r="Y20" s="483">
        <f t="shared" si="74"/>
        <v>-266.8</v>
      </c>
      <c r="Z20" s="490">
        <f>-533.1</f>
        <v>-533.1</v>
      </c>
      <c r="AA20" s="490">
        <v>-251.8</v>
      </c>
      <c r="AB20" s="483">
        <f t="shared" si="75"/>
        <v>-264.3</v>
      </c>
      <c r="AC20" s="490">
        <v>-516.1</v>
      </c>
      <c r="AD20" s="483">
        <f>AD6*AD67</f>
        <v>-279.99352551279122</v>
      </c>
      <c r="AE20" s="483">
        <f t="shared" ref="AE20" si="141">AF20-AD20</f>
        <v>-260.98142695293558</v>
      </c>
      <c r="AF20" s="483">
        <f>AF6*AF67</f>
        <v>-540.9749524657268</v>
      </c>
      <c r="AG20" s="483">
        <f>AG6*AG67</f>
        <v>-298.88757291878051</v>
      </c>
      <c r="AH20" s="483">
        <f t="shared" ref="AH20" si="142">AI20-AG20</f>
        <v>-268.32583659140244</v>
      </c>
      <c r="AI20" s="483">
        <f>AI6*AI67</f>
        <v>-567.21340951018294</v>
      </c>
      <c r="AJ20" s="483"/>
      <c r="AK20" s="483"/>
      <c r="AL20" s="483">
        <f>AL6*AL67</f>
        <v>-592.87520293751925</v>
      </c>
      <c r="AM20" s="483"/>
      <c r="AN20" s="483"/>
      <c r="AO20" s="483">
        <f>AO6*AO67</f>
        <v>-617.92009122522018</v>
      </c>
      <c r="AP20" s="483"/>
      <c r="AQ20" s="483"/>
      <c r="AR20" s="483">
        <f>AR6*AR67</f>
        <v>-641.78716719365445</v>
      </c>
      <c r="AS20" s="483"/>
      <c r="AT20" s="483"/>
      <c r="AU20" s="483">
        <f>AU6*AU67</f>
        <v>-665.07970948837487</v>
      </c>
      <c r="AV20" s="483"/>
      <c r="AW20" s="483"/>
      <c r="AX20" s="483">
        <f>AX6*AX67</f>
        <v>-686.51151609366025</v>
      </c>
      <c r="AY20" s="483"/>
      <c r="AZ20" s="483"/>
      <c r="BA20" s="483">
        <f>BA6*BA67</f>
        <v>-708.64410263718867</v>
      </c>
      <c r="BB20" s="483"/>
      <c r="BC20" s="483"/>
      <c r="BD20" s="483">
        <f>BD6*BD67</f>
        <v>-731.50057802105505</v>
      </c>
      <c r="BE20" s="483"/>
      <c r="BF20" s="483"/>
      <c r="BG20" s="483">
        <f>BG6*BG67</f>
        <v>-755.10481542059415</v>
      </c>
      <c r="BH20" s="483"/>
      <c r="BI20" s="483"/>
      <c r="BJ20" s="483">
        <f>BJ6*BJ67</f>
        <v>-779.48147754479999</v>
      </c>
      <c r="BK20" s="463"/>
      <c r="BL20" s="463"/>
    </row>
    <row r="21" spans="1:65" s="462" customFormat="1">
      <c r="A21" s="225"/>
      <c r="B21" s="137" t="s">
        <v>42</v>
      </c>
      <c r="C21" s="492"/>
      <c r="D21" s="492"/>
      <c r="E21" s="492"/>
      <c r="F21" s="492">
        <f>F20/C20-1</f>
        <v>3.6544850498338777E-2</v>
      </c>
      <c r="G21" s="492">
        <f t="shared" ref="G21" si="143">G20/D20-1</f>
        <v>-0.11037792441511685</v>
      </c>
      <c r="H21" s="492">
        <f t="shared" ref="H21" si="144">H20/E20-1</f>
        <v>-4.0668348045397207E-2</v>
      </c>
      <c r="I21" s="492">
        <f t="shared" ref="I21" si="145">I20/F20-1</f>
        <v>0.125</v>
      </c>
      <c r="J21" s="492">
        <f t="shared" ref="J21" si="146">J20/G20-1</f>
        <v>0.28725556304787569</v>
      </c>
      <c r="K21" s="798">
        <f t="shared" ref="K21" si="147">K20/H20-1</f>
        <v>0.20407492605980937</v>
      </c>
      <c r="L21" s="492">
        <f t="shared" ref="L21" si="148">L20/I20-1</f>
        <v>9.6866096866096818E-2</v>
      </c>
      <c r="M21" s="492">
        <f t="shared" ref="M21" si="149">M20/J20-1</f>
        <v>0.1058145625982192</v>
      </c>
      <c r="N21" s="492">
        <f t="shared" ref="N21" si="150">N20/K20-1</f>
        <v>0.10152838427947608</v>
      </c>
      <c r="O21" s="492">
        <f t="shared" ref="O21" si="151">O20/L20-1</f>
        <v>6.2857142857142723E-2</v>
      </c>
      <c r="P21" s="492">
        <f t="shared" ref="P21" si="152">P20/M20-1</f>
        <v>8.1951681667456144E-2</v>
      </c>
      <c r="Q21" s="492">
        <f t="shared" ref="Q21" si="153">Q20/N20-1</f>
        <v>7.2844400396432141E-2</v>
      </c>
      <c r="R21" s="492">
        <f t="shared" ref="R21" si="154">R20/O20-1</f>
        <v>9.0420332355816146E-2</v>
      </c>
      <c r="S21" s="492">
        <f t="shared" ref="S21" si="155">S20/P20-1</f>
        <v>8.7127845884413135E-2</v>
      </c>
      <c r="T21" s="492">
        <f t="shared" ref="T21" si="156">T20/Q20-1</f>
        <v>8.8683602771362446E-2</v>
      </c>
      <c r="U21" s="492">
        <f t="shared" ref="U21" si="157">U20/R20-1</f>
        <v>0.14791573285522208</v>
      </c>
      <c r="V21" s="492">
        <f t="shared" ref="V21" si="158">V20/S20-1</f>
        <v>4.3898509867096092E-2</v>
      </c>
      <c r="W21" s="492">
        <f t="shared" ref="W21" si="159">W20/T20-1</f>
        <v>9.3126856173101347E-2</v>
      </c>
      <c r="X21" s="492">
        <f t="shared" ref="X21" si="160">X20/U20-1</f>
        <v>3.9828192112455918E-2</v>
      </c>
      <c r="Y21" s="492">
        <f t="shared" ref="Y21:AB21" si="161">Y20/V20-1</f>
        <v>2.9320987654321229E-2</v>
      </c>
      <c r="Z21" s="492">
        <f t="shared" si="161"/>
        <v>3.4542984669124976E-2</v>
      </c>
      <c r="AA21" s="492">
        <f t="shared" ref="AA21" si="162">AA20/X20-1</f>
        <v>-5.44498685692828E-2</v>
      </c>
      <c r="AB21" s="492">
        <f t="shared" si="161"/>
        <v>-9.3703148425786642E-3</v>
      </c>
      <c r="AC21" s="492">
        <f>AC20/Z20-1</f>
        <v>-3.1888951416244593E-2</v>
      </c>
      <c r="AD21" s="492">
        <f t="shared" ref="AD21" si="163">AD20/AA20-1</f>
        <v>0.11196793293403973</v>
      </c>
      <c r="AE21" s="492">
        <f t="shared" ref="AE21" si="164">AE20/AB20-1</f>
        <v>-1.2556084173531712E-2</v>
      </c>
      <c r="AF21" s="492">
        <f t="shared" ref="AF21" si="165">AF20/AC20-1</f>
        <v>4.8197931535994609E-2</v>
      </c>
      <c r="AG21" s="492">
        <f t="shared" ref="AG21" si="166">AG20/AD20-1</f>
        <v>6.7480301094055672E-2</v>
      </c>
      <c r="AH21" s="492">
        <f t="shared" ref="AH21" si="167">AH20/AE20-1</f>
        <v>2.8141503110837629E-2</v>
      </c>
      <c r="AI21" s="492">
        <f t="shared" ref="AI21" si="168">AI20/AF20-1</f>
        <v>4.8502166181378703E-2</v>
      </c>
      <c r="AJ21" s="492"/>
      <c r="AK21" s="492"/>
      <c r="AL21" s="492">
        <f>AL20/AI20-1</f>
        <v>4.5241866636221761E-2</v>
      </c>
      <c r="AM21" s="492"/>
      <c r="AN21" s="492"/>
      <c r="AO21" s="492">
        <f t="shared" ref="AO21" si="169">AO20/AL20-1</f>
        <v>4.2243103040253693E-2</v>
      </c>
      <c r="AP21" s="492"/>
      <c r="AQ21" s="492"/>
      <c r="AR21" s="492">
        <f t="shared" ref="AR21" si="170">AR20/AO20-1</f>
        <v>3.8624858306695264E-2</v>
      </c>
      <c r="AS21" s="492"/>
      <c r="AT21" s="492"/>
      <c r="AU21" s="492">
        <f t="shared" ref="AU21" si="171">AU20/AR20-1</f>
        <v>3.6293250294442414E-2</v>
      </c>
      <c r="AV21" s="492"/>
      <c r="AW21" s="492"/>
      <c r="AX21" s="492">
        <f t="shared" ref="AX21" si="172">AX20/AU20-1</f>
        <v>3.222441806527554E-2</v>
      </c>
      <c r="AY21" s="492"/>
      <c r="AZ21" s="492"/>
      <c r="BA21" s="492">
        <f t="shared" ref="BA21" si="173">BA20/AX20-1</f>
        <v>3.2239206516834207E-2</v>
      </c>
      <c r="BB21" s="492"/>
      <c r="BC21" s="492"/>
      <c r="BD21" s="492">
        <f>BD20/BA20-1</f>
        <v>3.2253814430695193E-2</v>
      </c>
      <c r="BE21" s="492"/>
      <c r="BF21" s="492"/>
      <c r="BG21" s="492">
        <f>BG20/BD20-1</f>
        <v>3.2268241623808702E-2</v>
      </c>
      <c r="BH21" s="492"/>
      <c r="BI21" s="492"/>
      <c r="BJ21" s="492">
        <f t="shared" ref="BJ21" si="174">BJ20/BG20-1</f>
        <v>3.2282487975696439E-2</v>
      </c>
      <c r="BK21" s="463"/>
      <c r="BL21" s="463"/>
    </row>
    <row r="22" spans="1:65" s="462" customFormat="1" ht="12" customHeight="1">
      <c r="A22" s="225"/>
      <c r="B22" s="462" t="s">
        <v>72</v>
      </c>
      <c r="C22" s="483">
        <f>C31-(C10+SUM(C14:C20))</f>
        <v>1.6999999999999886</v>
      </c>
      <c r="D22" s="483">
        <f t="shared" si="70"/>
        <v>-5.6628999999997234</v>
      </c>
      <c r="E22" s="485">
        <f>E31-(E10+SUM(E14:E20))</f>
        <v>-3.9628999999997347</v>
      </c>
      <c r="F22" s="483">
        <f>F31-(F10+SUM(F14:F20))</f>
        <v>4.5147587787999157</v>
      </c>
      <c r="G22" s="483">
        <f t="shared" si="35"/>
        <v>-42.113106704273321</v>
      </c>
      <c r="H22" s="485">
        <f>H31-(H10+SUM(H14:H20))</f>
        <v>-37.598347925473405</v>
      </c>
      <c r="I22" s="485">
        <f>I31-(I10+SUM(I14:I20))</f>
        <v>11.918708232787708</v>
      </c>
      <c r="J22" s="483">
        <f t="shared" si="36"/>
        <v>2.5598474124747952</v>
      </c>
      <c r="K22" s="485">
        <f>K31-(K10+SUM(K14:K20))</f>
        <v>14.478555645262503</v>
      </c>
      <c r="L22" s="483">
        <f>L31-(L10+SUM(L14:L20))</f>
        <v>17.498671519155067</v>
      </c>
      <c r="M22" s="483">
        <f t="shared" si="37"/>
        <v>36.017424404064542</v>
      </c>
      <c r="N22" s="483">
        <f>N31-(N10+SUM(N14:N20))</f>
        <v>53.516095923219609</v>
      </c>
      <c r="O22" s="483">
        <f>O31-(O10+SUM(O14:O20))</f>
        <v>3.678357259872314</v>
      </c>
      <c r="P22" s="483">
        <f>P31-(P10+SUM(P14:P20))</f>
        <v>3.5096493427534483</v>
      </c>
      <c r="Q22" s="491">
        <f>Q31-(Q10+SUM(Q14:Q20))</f>
        <v>7.8813336542332877</v>
      </c>
      <c r="R22" s="483">
        <f>R31-(R10+SUM(R14:R20))</f>
        <v>2.6404989324242365</v>
      </c>
      <c r="S22" s="491">
        <f t="shared" si="72"/>
        <v>0.73237354348299277</v>
      </c>
      <c r="T22" s="491">
        <f>T31-(T10+SUM(T14:T20))</f>
        <v>3.3728724759072293</v>
      </c>
      <c r="U22" s="483">
        <f>U31-(U10+SUM(U14:U20))</f>
        <v>9.3601249398331277</v>
      </c>
      <c r="V22" s="483">
        <f>W22-U22</f>
        <v>1.7515868763458968</v>
      </c>
      <c r="W22" s="491">
        <f>W31-(W10+SUM(W14:W20))</f>
        <v>11.111711816179024</v>
      </c>
      <c r="X22" s="483">
        <f>X31-(X10+SUM(X14:X20))</f>
        <v>2.2558049753187959</v>
      </c>
      <c r="Y22" s="483">
        <f>Y31-(Y10+SUM(Y14,Y16,Y18,Y20))</f>
        <v>0.29999999999981242</v>
      </c>
      <c r="Z22" s="491">
        <f>Z31-(Z10+SUM(Z14:Z20))</f>
        <v>2.6149613740523705</v>
      </c>
      <c r="AA22" s="483">
        <f>AA31-(AA10+SUM(AA14:AA20))</f>
        <v>1.228597498338587</v>
      </c>
      <c r="AB22" s="483">
        <f>AB31-(AB10+SUM(AB14,AB16,AB18,AB20))</f>
        <v>13.599999999999085</v>
      </c>
      <c r="AC22" s="491">
        <f>AC31-(AC10+SUM(AC14:AC20))</f>
        <v>14.836242962629854</v>
      </c>
      <c r="AD22" s="483">
        <f t="shared" ref="AD22:AI22" si="175">AD31-(AD10+SUM(AD14,AD16,AD18,AD20))</f>
        <v>8.4661526535492158</v>
      </c>
      <c r="AE22" s="483">
        <f t="shared" si="175"/>
        <v>5.9230204587868229</v>
      </c>
      <c r="AF22" s="483">
        <f t="shared" si="175"/>
        <v>14.389173112336152</v>
      </c>
      <c r="AG22" s="483">
        <f t="shared" si="175"/>
        <v>28.985924762372946</v>
      </c>
      <c r="AH22" s="483">
        <f t="shared" si="175"/>
        <v>12.600279513549168</v>
      </c>
      <c r="AI22" s="483">
        <f t="shared" si="175"/>
        <v>41.586204275921659</v>
      </c>
      <c r="AJ22" s="483"/>
      <c r="AK22" s="483"/>
      <c r="AL22" s="483">
        <f>AL31-(AL10+SUM(AL14,AL16,AL18,AL20))</f>
        <v>45.940139283589929</v>
      </c>
      <c r="AM22" s="483"/>
      <c r="AN22" s="483"/>
      <c r="AO22" s="483">
        <f>AO31-(AO10+SUM(AO14,AO16,AO18,AO20))</f>
        <v>48.443752785783829</v>
      </c>
      <c r="AP22" s="483"/>
      <c r="AQ22" s="483"/>
      <c r="AR22" s="483">
        <f>AR31-(AR10+SUM(AR14,AR16,AR18,AR20))</f>
        <v>47.338286668838236</v>
      </c>
      <c r="AS22" s="483"/>
      <c r="AT22" s="483"/>
      <c r="AU22" s="483">
        <f>AU31-(AU10+SUM(AU14,AU16,AU18,AU20))</f>
        <v>46.920939056825318</v>
      </c>
      <c r="AV22" s="483"/>
      <c r="AW22" s="483"/>
      <c r="AX22" s="483">
        <f>AX31-(AX10+SUM(AX14,AX16,AX18,AX20))</f>
        <v>46.506268028203635</v>
      </c>
      <c r="AY22" s="483"/>
      <c r="AZ22" s="483"/>
      <c r="BA22" s="483">
        <f>BA31-(BA10+SUM(BA14,BA16,BA18,BA20))</f>
        <v>46.00015760782162</v>
      </c>
      <c r="BB22" s="483"/>
      <c r="BC22" s="483"/>
      <c r="BD22" s="483">
        <f>BD31-(BD10+SUM(BD14,BD16,BD18,BD20))</f>
        <v>45.396318387916608</v>
      </c>
      <c r="BE22" s="483"/>
      <c r="BF22" s="483"/>
      <c r="BG22" s="483">
        <f>BG31-(BG10+SUM(BG14,BG16,BG18,BG20))</f>
        <v>44.688109608735203</v>
      </c>
      <c r="BH22" s="483"/>
      <c r="BI22" s="483"/>
      <c r="BJ22" s="483">
        <f>BJ31-(BJ10+SUM(BJ14,BJ16,BJ18,BJ20))</f>
        <v>43.868521121565777</v>
      </c>
      <c r="BK22" s="463"/>
      <c r="BL22" s="463"/>
    </row>
    <row r="23" spans="1:65" s="462" customFormat="1" ht="12" customHeight="1">
      <c r="A23" s="225"/>
      <c r="B23" s="464" t="s">
        <v>1087</v>
      </c>
      <c r="C23" s="1388"/>
      <c r="D23" s="1388"/>
      <c r="E23" s="1388"/>
      <c r="F23" s="1388"/>
      <c r="G23" s="1388"/>
      <c r="H23" s="1389">
        <f t="shared" ref="H23:AE23" si="176">(H31-H10)/(E31-E10)-1</f>
        <v>4.7177396195028143E-2</v>
      </c>
      <c r="I23" s="1388">
        <f t="shared" si="176"/>
        <v>6.0809861678492005E-2</v>
      </c>
      <c r="J23" s="1388">
        <f t="shared" si="176"/>
        <v>7.113767577797403E-2</v>
      </c>
      <c r="K23" s="1389">
        <f t="shared" si="176"/>
        <v>6.5861220998609804E-2</v>
      </c>
      <c r="L23" s="1389">
        <f t="shared" si="176"/>
        <v>2.8802525152890279E-2</v>
      </c>
      <c r="M23" s="1389">
        <f t="shared" si="176"/>
        <v>-1.2653061224489837E-2</v>
      </c>
      <c r="N23" s="1389">
        <f t="shared" si="176"/>
        <v>8.4261209750224886E-3</v>
      </c>
      <c r="O23" s="1389">
        <f t="shared" si="176"/>
        <v>0.10297219558964565</v>
      </c>
      <c r="P23" s="1389">
        <f t="shared" si="176"/>
        <v>0.2482430756510956</v>
      </c>
      <c r="Q23" s="1389">
        <f t="shared" si="176"/>
        <v>0.17288371630359123</v>
      </c>
      <c r="R23" s="1389">
        <f t="shared" si="176"/>
        <v>6.3630041724616948E-2</v>
      </c>
      <c r="S23" s="1389">
        <f t="shared" si="176"/>
        <v>8.0145719489982392E-2</v>
      </c>
      <c r="T23" s="1389">
        <f t="shared" si="176"/>
        <v>7.2088881350182321E-2</v>
      </c>
      <c r="U23" s="1389">
        <f t="shared" si="176"/>
        <v>8.4341288002615977E-2</v>
      </c>
      <c r="V23" s="1389">
        <f t="shared" si="176"/>
        <v>1.2877510347998999E-2</v>
      </c>
      <c r="W23" s="1389">
        <f t="shared" si="176"/>
        <v>4.7464599319674283E-2</v>
      </c>
      <c r="X23" s="1389">
        <f t="shared" si="176"/>
        <v>7.1299366897798588E-2</v>
      </c>
      <c r="Y23" s="1389">
        <f t="shared" si="176"/>
        <v>5.2520054487664947E-2</v>
      </c>
      <c r="Z23" s="1389">
        <f t="shared" si="176"/>
        <v>6.1928857337059107E-2</v>
      </c>
      <c r="AA23" s="1389">
        <f t="shared" si="176"/>
        <v>4.9247221049669276E-2</v>
      </c>
      <c r="AB23" s="1389">
        <f>(AB31-AB10)/(Y31-Y10)-1</f>
        <v>3.5519125683060926E-2</v>
      </c>
      <c r="AC23" s="1389">
        <f t="shared" si="176"/>
        <v>4.2457862171965122E-2</v>
      </c>
      <c r="AD23" s="1389">
        <f t="shared" si="176"/>
        <v>5.9443123860935865E-2</v>
      </c>
      <c r="AE23" s="1389">
        <f t="shared" si="176"/>
        <v>6.453564761141406E-2</v>
      </c>
      <c r="AF23" s="1389">
        <f>(AF31-AF10)/(AC31-AC10)-1</f>
        <v>6.1944915614735585E-2</v>
      </c>
      <c r="AG23" s="1389">
        <f t="shared" ref="AG23:BJ23" si="177">(AG31-AG10)/(AD31-AD10)-1</f>
        <v>2.873036694670561E-2</v>
      </c>
      <c r="AH23" s="1389">
        <f t="shared" si="177"/>
        <v>2.9449360539671066E-2</v>
      </c>
      <c r="AI23" s="1389">
        <f t="shared" si="177"/>
        <v>2.9084446894874327E-2</v>
      </c>
      <c r="AJ23" s="1389">
        <f t="shared" si="177"/>
        <v>-1</v>
      </c>
      <c r="AK23" s="1389">
        <f t="shared" si="177"/>
        <v>-1</v>
      </c>
      <c r="AL23" s="1389">
        <f t="shared" si="177"/>
        <v>4.390194721869034E-2</v>
      </c>
      <c r="AM23" s="1389" t="e">
        <f t="shared" si="177"/>
        <v>#DIV/0!</v>
      </c>
      <c r="AN23" s="1389" t="e">
        <f t="shared" si="177"/>
        <v>#DIV/0!</v>
      </c>
      <c r="AO23" s="1389">
        <f t="shared" si="177"/>
        <v>4.3582266652113288E-2</v>
      </c>
      <c r="AP23" s="1389" t="e">
        <f t="shared" si="177"/>
        <v>#DIV/0!</v>
      </c>
      <c r="AQ23" s="1389" t="e">
        <f t="shared" si="177"/>
        <v>#DIV/0!</v>
      </c>
      <c r="AR23" s="1389">
        <f t="shared" si="177"/>
        <v>4.0538317618025177E-2</v>
      </c>
      <c r="AS23" s="1389" t="e">
        <f t="shared" si="177"/>
        <v>#DIV/0!</v>
      </c>
      <c r="AT23" s="1389" t="e">
        <f t="shared" si="177"/>
        <v>#DIV/0!</v>
      </c>
      <c r="AU23" s="1389">
        <f t="shared" si="177"/>
        <v>3.6562917128617034E-2</v>
      </c>
      <c r="AV23" s="1389" t="e">
        <f t="shared" si="177"/>
        <v>#DIV/0!</v>
      </c>
      <c r="AW23" s="1389" t="e">
        <f t="shared" si="177"/>
        <v>#DIV/0!</v>
      </c>
      <c r="AX23" s="1389">
        <f t="shared" si="177"/>
        <v>3.2344053488783331E-2</v>
      </c>
      <c r="AY23" s="1389" t="e">
        <f t="shared" si="177"/>
        <v>#DIV/0!</v>
      </c>
      <c r="AZ23" s="1389" t="e">
        <f t="shared" si="177"/>
        <v>#DIV/0!</v>
      </c>
      <c r="BA23" s="1389">
        <f t="shared" si="177"/>
        <v>3.2365951995923403E-2</v>
      </c>
      <c r="BB23" s="1389" t="e">
        <f t="shared" si="177"/>
        <v>#DIV/0!</v>
      </c>
      <c r="BC23" s="1389" t="e">
        <f t="shared" si="177"/>
        <v>#DIV/0!</v>
      </c>
      <c r="BD23" s="1389">
        <f t="shared" si="177"/>
        <v>3.2387770737151156E-2</v>
      </c>
      <c r="BE23" s="1389" t="e">
        <f t="shared" si="177"/>
        <v>#DIV/0!</v>
      </c>
      <c r="BF23" s="1389" t="e">
        <f t="shared" si="177"/>
        <v>#DIV/0!</v>
      </c>
      <c r="BG23" s="1389">
        <f t="shared" si="177"/>
        <v>3.2409511369223098E-2</v>
      </c>
      <c r="BH23" s="1389" t="e">
        <f t="shared" si="177"/>
        <v>#DIV/0!</v>
      </c>
      <c r="BI23" s="1389" t="e">
        <f t="shared" si="177"/>
        <v>#DIV/0!</v>
      </c>
      <c r="BJ23" s="1389">
        <f t="shared" si="177"/>
        <v>3.2431175603456097E-2</v>
      </c>
      <c r="BK23" s="463"/>
      <c r="BL23" s="463"/>
    </row>
    <row r="24" spans="1:65" s="462" customFormat="1">
      <c r="B24" s="464"/>
      <c r="C24" s="483"/>
      <c r="D24" s="483"/>
      <c r="E24" s="483"/>
      <c r="F24" s="483"/>
      <c r="G24" s="483"/>
      <c r="H24" s="483"/>
      <c r="I24" s="483"/>
      <c r="J24" s="483"/>
      <c r="K24" s="485"/>
      <c r="L24" s="483"/>
      <c r="M24" s="483"/>
      <c r="N24" s="483"/>
      <c r="O24" s="483"/>
      <c r="P24" s="483"/>
      <c r="Q24" s="483"/>
      <c r="R24" s="483"/>
      <c r="S24" s="483"/>
      <c r="T24" s="483"/>
      <c r="U24" s="492">
        <f>U18/R18-1</f>
        <v>4.0925266903914626E-2</v>
      </c>
      <c r="V24" s="492"/>
      <c r="W24" s="483"/>
      <c r="X24" s="492"/>
      <c r="Y24" s="483"/>
      <c r="Z24" s="483"/>
      <c r="AA24" s="492"/>
      <c r="AB24" s="483"/>
      <c r="AC24" s="1393">
        <f>(AC31-AC10)</f>
        <v>-1465.8000000000002</v>
      </c>
      <c r="AD24" s="483">
        <f>AC24*1.042</f>
        <v>-1527.3636000000001</v>
      </c>
      <c r="AE24" s="483"/>
      <c r="AF24" s="1393">
        <f>(AF31-AF10)</f>
        <v>-1556.5988573080795</v>
      </c>
      <c r="AG24" s="483"/>
      <c r="AH24" s="483"/>
      <c r="AI24" s="483"/>
      <c r="AJ24" s="483"/>
      <c r="AK24" s="483"/>
      <c r="AL24" s="483"/>
      <c r="AM24" s="483"/>
      <c r="AN24" s="483"/>
      <c r="AO24" s="483"/>
      <c r="AP24" s="483"/>
      <c r="AQ24" s="483"/>
      <c r="AR24" s="483"/>
      <c r="AS24" s="483"/>
      <c r="AT24" s="483"/>
      <c r="AU24" s="483"/>
      <c r="AV24" s="483"/>
      <c r="AW24" s="483"/>
      <c r="AX24" s="483"/>
      <c r="AY24" s="483"/>
      <c r="AZ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63"/>
      <c r="BL24" s="463"/>
    </row>
    <row r="25" spans="1:65" s="126" customFormat="1">
      <c r="B25" s="126" t="s">
        <v>134</v>
      </c>
      <c r="C25" s="475">
        <v>150.80000000000001</v>
      </c>
      <c r="D25" s="475">
        <f>E25-C25</f>
        <v>127.19999999999999</v>
      </c>
      <c r="E25" s="475">
        <v>278</v>
      </c>
      <c r="F25" s="475">
        <v>149.30000000000001</v>
      </c>
      <c r="G25" s="475">
        <f>H25-F25</f>
        <v>144.80000000000001</v>
      </c>
      <c r="H25" s="475">
        <v>294.10000000000002</v>
      </c>
      <c r="I25" s="475">
        <v>166.2</v>
      </c>
      <c r="J25" s="475">
        <f>K25-I25</f>
        <v>148.5</v>
      </c>
      <c r="K25" s="476">
        <v>314.7</v>
      </c>
      <c r="L25" s="475">
        <v>259.3</v>
      </c>
      <c r="M25" s="475">
        <f>N25-L25</f>
        <v>273.90000000000003</v>
      </c>
      <c r="N25" s="475">
        <v>533.20000000000005</v>
      </c>
      <c r="O25" s="475">
        <v>418.1</v>
      </c>
      <c r="P25" s="475">
        <f>Q25-O25</f>
        <v>358.1</v>
      </c>
      <c r="Q25" s="475">
        <v>776.2</v>
      </c>
      <c r="R25" s="475">
        <v>329.4</v>
      </c>
      <c r="S25" s="475">
        <f>T25-R25</f>
        <v>372.4</v>
      </c>
      <c r="T25" s="493">
        <v>701.8</v>
      </c>
      <c r="U25" s="493">
        <v>404.5</v>
      </c>
      <c r="V25" s="475">
        <f>W25-U25</f>
        <v>358.9</v>
      </c>
      <c r="W25" s="493">
        <f>767.6-4.2</f>
        <v>763.4</v>
      </c>
      <c r="X25" s="493">
        <v>402</v>
      </c>
      <c r="Y25" s="475">
        <f>Z25-X25</f>
        <v>328.4</v>
      </c>
      <c r="Z25" s="493">
        <f>738.6-8.2</f>
        <v>730.4</v>
      </c>
      <c r="AA25" s="493">
        <f>393.2-2.3</f>
        <v>390.9</v>
      </c>
      <c r="AB25" s="475">
        <f>AC25-AA25</f>
        <v>363.80000000000007</v>
      </c>
      <c r="AC25" s="493">
        <f>758-3.3</f>
        <v>754.7</v>
      </c>
      <c r="AD25" s="475">
        <f t="shared" ref="AD25" si="178">AD31-AD29</f>
        <v>402.8854755787354</v>
      </c>
      <c r="AE25" s="475">
        <f>AF25-AD25</f>
        <v>371.63500618565342</v>
      </c>
      <c r="AF25" s="475">
        <f>AF31-AF29</f>
        <v>774.52048176438882</v>
      </c>
      <c r="AG25" s="475">
        <f t="shared" ref="AG25:AR25" si="179">AG31-AG29</f>
        <v>436.37758105105081</v>
      </c>
      <c r="AH25" s="475">
        <f>AI25-AG25</f>
        <v>411.67885655637872</v>
      </c>
      <c r="AI25" s="475">
        <f t="shared" si="179"/>
        <v>848.05643760742953</v>
      </c>
      <c r="AJ25" s="475"/>
      <c r="AK25" s="475"/>
      <c r="AL25" s="475">
        <f t="shared" si="179"/>
        <v>895.59728797169657</v>
      </c>
      <c r="AM25" s="475"/>
      <c r="AN25" s="475"/>
      <c r="AO25" s="475">
        <f t="shared" si="179"/>
        <v>938.31686424159534</v>
      </c>
      <c r="AP25" s="475"/>
      <c r="AQ25" s="475"/>
      <c r="AR25" s="475">
        <f t="shared" si="179"/>
        <v>978.59441741054798</v>
      </c>
      <c r="AS25" s="475"/>
      <c r="AT25" s="475"/>
      <c r="AU25" s="475">
        <f>AU31-AU29</f>
        <v>1016.4504071465044</v>
      </c>
      <c r="AV25" s="475"/>
      <c r="AW25" s="475"/>
      <c r="AX25" s="475">
        <f t="shared" ref="AX25" si="180">AX31-AX29</f>
        <v>1050.9866975153691</v>
      </c>
      <c r="AY25" s="475"/>
      <c r="AZ25" s="475"/>
      <c r="BA25" s="475">
        <f t="shared" ref="BA25:BD25" si="181">BA31-BA29</f>
        <v>1086.715696135406</v>
      </c>
      <c r="BB25" s="475"/>
      <c r="BC25" s="475"/>
      <c r="BD25" s="475">
        <f t="shared" si="181"/>
        <v>1123.6787111006174</v>
      </c>
      <c r="BE25" s="475"/>
      <c r="BF25" s="475"/>
      <c r="BG25" s="475">
        <f t="shared" ref="BG25:BJ25" si="182">BG31-BG29</f>
        <v>1161.9184664104189</v>
      </c>
      <c r="BH25" s="475"/>
      <c r="BI25" s="475"/>
      <c r="BJ25" s="475">
        <f t="shared" si="182"/>
        <v>1201.4791493286023</v>
      </c>
    </row>
    <row r="26" spans="1:65">
      <c r="B26" s="137" t="s">
        <v>42</v>
      </c>
      <c r="C26" s="492"/>
      <c r="D26" s="492"/>
      <c r="E26" s="492"/>
      <c r="F26" s="492">
        <f t="shared" ref="F26:W26" si="183">F25/C25-1</f>
        <v>-9.9469496021220571E-3</v>
      </c>
      <c r="G26" s="492">
        <f t="shared" si="183"/>
        <v>0.13836477987421403</v>
      </c>
      <c r="H26" s="492">
        <f t="shared" si="183"/>
        <v>5.7913669064748374E-2</v>
      </c>
      <c r="I26" s="492">
        <f t="shared" si="183"/>
        <v>0.11319490957803069</v>
      </c>
      <c r="J26" s="492">
        <f t="shared" si="183"/>
        <v>2.5552486187845114E-2</v>
      </c>
      <c r="K26" s="798">
        <f t="shared" si="183"/>
        <v>7.0044202652159049E-2</v>
      </c>
      <c r="L26" s="492">
        <f t="shared" si="183"/>
        <v>0.56016847172081841</v>
      </c>
      <c r="M26" s="492">
        <f t="shared" si="183"/>
        <v>0.84444444444444478</v>
      </c>
      <c r="N26" s="492">
        <f t="shared" si="183"/>
        <v>0.69431204321576123</v>
      </c>
      <c r="O26" s="492">
        <f t="shared" si="183"/>
        <v>0.61241804859236404</v>
      </c>
      <c r="P26" s="492">
        <f t="shared" si="183"/>
        <v>0.30741146403796993</v>
      </c>
      <c r="Q26" s="492">
        <f t="shared" si="183"/>
        <v>0.45573893473368332</v>
      </c>
      <c r="R26" s="492">
        <f t="shared" si="183"/>
        <v>-0.21215020330064582</v>
      </c>
      <c r="S26" s="492">
        <f t="shared" si="183"/>
        <v>3.9932979614632602E-2</v>
      </c>
      <c r="T26" s="492">
        <f t="shared" si="183"/>
        <v>-9.585158464313337E-2</v>
      </c>
      <c r="U26" s="492">
        <f t="shared" si="183"/>
        <v>0.22799028536733457</v>
      </c>
      <c r="V26" s="492">
        <f>V25/S25-1</f>
        <v>-3.6251342642320106E-2</v>
      </c>
      <c r="W26" s="492">
        <f t="shared" si="183"/>
        <v>8.7774294670846409E-2</v>
      </c>
      <c r="X26" s="492">
        <f t="shared" ref="X26" si="184">X25/U25-1</f>
        <v>-6.1804697156984112E-3</v>
      </c>
      <c r="Y26" s="492">
        <f t="shared" ref="Y26:AB26" si="185">Y25/V25-1</f>
        <v>-8.498188910560045E-2</v>
      </c>
      <c r="Z26" s="492">
        <f t="shared" si="185"/>
        <v>-4.3227665706051854E-2</v>
      </c>
      <c r="AA26" s="492">
        <f t="shared" ref="AA26" si="186">AA25/X25-1</f>
        <v>-2.7611940298507553E-2</v>
      </c>
      <c r="AB26" s="492">
        <f t="shared" si="185"/>
        <v>0.1077953714981732</v>
      </c>
      <c r="AC26" s="492">
        <f>AC25/Z25-1</f>
        <v>3.3269441401971633E-2</v>
      </c>
      <c r="AD26" s="492">
        <f t="shared" ref="AD26" si="187">AD25/AA25-1</f>
        <v>3.0661231974252745E-2</v>
      </c>
      <c r="AE26" s="492">
        <f t="shared" ref="AE26" si="188">AE25/AB25-1</f>
        <v>2.153657555154842E-2</v>
      </c>
      <c r="AF26" s="492">
        <f>AF25/AC25-1</f>
        <v>2.6262729249223238E-2</v>
      </c>
      <c r="AG26" s="492">
        <f t="shared" ref="AG26" si="189">AG25/AD25-1</f>
        <v>8.3130585495058584E-2</v>
      </c>
      <c r="AH26" s="492">
        <f t="shared" ref="AH26" si="190">AH25/AE25-1</f>
        <v>0.10775048018679123</v>
      </c>
      <c r="AI26" s="492">
        <f>AI25/AF25-1</f>
        <v>9.4943849225940236E-2</v>
      </c>
      <c r="AJ26" s="492"/>
      <c r="AK26" s="492"/>
      <c r="AL26" s="492">
        <f>AL25/AI25-1</f>
        <v>5.605859263139501E-2</v>
      </c>
      <c r="AM26" s="492"/>
      <c r="AN26" s="492"/>
      <c r="AO26" s="492">
        <f>AO25/AL25-1</f>
        <v>4.7699537329604746E-2</v>
      </c>
      <c r="AP26" s="492"/>
      <c r="AQ26" s="492"/>
      <c r="AR26" s="492">
        <f>AR25/AO25-1</f>
        <v>4.2925321609249112E-2</v>
      </c>
      <c r="AS26" s="492"/>
      <c r="AT26" s="492"/>
      <c r="AU26" s="492">
        <f>AU25/AR25-1</f>
        <v>3.8684044239825965E-2</v>
      </c>
      <c r="AV26" s="492"/>
      <c r="AW26" s="492"/>
      <c r="AX26" s="492">
        <f>AX25/AU25-1</f>
        <v>3.3977349141724345E-2</v>
      </c>
      <c r="AY26" s="492"/>
      <c r="AZ26" s="492"/>
      <c r="BA26" s="492">
        <f>BA25/AX25-1</f>
        <v>3.3995671595562271E-2</v>
      </c>
      <c r="BB26" s="492"/>
      <c r="BC26" s="492"/>
      <c r="BD26" s="492">
        <f>BD25/BA25-1</f>
        <v>3.4013509786101181E-2</v>
      </c>
      <c r="BE26" s="492"/>
      <c r="BF26" s="492"/>
      <c r="BG26" s="492">
        <f>BG25/BD25-1</f>
        <v>3.4030862142388152E-2</v>
      </c>
      <c r="BH26" s="492"/>
      <c r="BI26" s="492"/>
      <c r="BJ26" s="492">
        <f t="shared" ref="BJ26" si="191">BJ25/BG25-1</f>
        <v>3.4047727152835883E-2</v>
      </c>
    </row>
    <row r="27" spans="1:65" s="125" customFormat="1">
      <c r="B27" s="124" t="s">
        <v>59</v>
      </c>
      <c r="C27" s="501">
        <v>0.11640293323041298</v>
      </c>
      <c r="D27" s="501">
        <v>0.10869007946680341</v>
      </c>
      <c r="E27" s="501">
        <f t="shared" ref="E27:AI27" si="192">E25/E6</f>
        <v>0.11276687772326434</v>
      </c>
      <c r="F27" s="501">
        <f t="shared" si="192"/>
        <v>0.11276925082619575</v>
      </c>
      <c r="G27" s="501">
        <f t="shared" si="192"/>
        <v>0.11616922038786083</v>
      </c>
      <c r="H27" s="501">
        <f t="shared" si="192"/>
        <v>0.11441798941798942</v>
      </c>
      <c r="I27" s="501">
        <f t="shared" si="192"/>
        <v>0.11832550192225545</v>
      </c>
      <c r="J27" s="501">
        <f t="shared" si="192"/>
        <v>0.11348005502063274</v>
      </c>
      <c r="K27" s="799">
        <f t="shared" si="192"/>
        <v>0.11598850066342327</v>
      </c>
      <c r="L27" s="501">
        <f t="shared" si="192"/>
        <v>0.17962039346079248</v>
      </c>
      <c r="M27" s="501">
        <f t="shared" si="192"/>
        <v>0.19821971341728187</v>
      </c>
      <c r="N27" s="501">
        <f t="shared" si="192"/>
        <v>0.18871664189141366</v>
      </c>
      <c r="O27" s="501">
        <f t="shared" si="192"/>
        <v>0.23532391512354364</v>
      </c>
      <c r="P27" s="501">
        <f t="shared" si="192"/>
        <v>0.21361250298258175</v>
      </c>
      <c r="Q27" s="501">
        <f t="shared" si="192"/>
        <v>0.2247835278445455</v>
      </c>
      <c r="R27" s="501">
        <f t="shared" si="192"/>
        <v>0.19317382125263899</v>
      </c>
      <c r="S27" s="501">
        <f t="shared" si="192"/>
        <v>0.20175533643948421</v>
      </c>
      <c r="T27" s="501">
        <f t="shared" si="192"/>
        <v>0.19763446916361588</v>
      </c>
      <c r="U27" s="501">
        <f t="shared" si="192"/>
        <v>0.20654616013071894</v>
      </c>
      <c r="V27" s="501">
        <f t="shared" si="192"/>
        <v>0.19458902624159616</v>
      </c>
      <c r="W27" s="501">
        <f t="shared" si="192"/>
        <v>0.20074681813400649</v>
      </c>
      <c r="X27" s="501">
        <f t="shared" si="192"/>
        <v>0.1989705008909127</v>
      </c>
      <c r="Y27" s="501">
        <f t="shared" si="192"/>
        <v>0.17633161512027487</v>
      </c>
      <c r="Z27" s="501">
        <f t="shared" si="192"/>
        <v>0.18811167198928608</v>
      </c>
      <c r="AA27" s="628">
        <f t="shared" si="192"/>
        <v>0.18550683371298407</v>
      </c>
      <c r="AB27" s="501">
        <f t="shared" ref="AB27" si="193">AB25/AB6</f>
        <v>0.18488590740458405</v>
      </c>
      <c r="AC27" s="501">
        <f t="shared" si="192"/>
        <v>0.18520699894475939</v>
      </c>
      <c r="AD27" s="501">
        <f t="shared" si="192"/>
        <v>0.18345391957659291</v>
      </c>
      <c r="AE27" s="501">
        <f t="shared" si="192"/>
        <v>0.17850379012830497</v>
      </c>
      <c r="AF27" s="501">
        <f t="shared" si="192"/>
        <v>0.18104490662871592</v>
      </c>
      <c r="AG27" s="501">
        <f t="shared" si="192"/>
        <v>0.18980075010362554</v>
      </c>
      <c r="AH27" s="501">
        <f t="shared" si="192"/>
        <v>0.18737510564483789</v>
      </c>
      <c r="AI27" s="501">
        <f t="shared" si="192"/>
        <v>0.18861545541781</v>
      </c>
      <c r="AJ27" s="501"/>
      <c r="AK27" s="501"/>
      <c r="AL27" s="501">
        <f>AL25/AL6</f>
        <v>0.19011416977015019</v>
      </c>
      <c r="AM27" s="501"/>
      <c r="AN27" s="501"/>
      <c r="AO27" s="501">
        <f>AO25/AO6</f>
        <v>0.19065391812008592</v>
      </c>
      <c r="AP27" s="501"/>
      <c r="AQ27" s="501"/>
      <c r="AR27" s="501">
        <f>AR25/AR6</f>
        <v>0.19098588871513295</v>
      </c>
      <c r="AS27" s="501"/>
      <c r="AT27" s="501"/>
      <c r="AU27" s="501">
        <f>AU25/AU6</f>
        <v>0.19127367385023403</v>
      </c>
      <c r="AV27" s="501"/>
      <c r="AW27" s="501"/>
      <c r="AX27" s="501">
        <f>AX25/AX6</f>
        <v>0.19144540530017859</v>
      </c>
      <c r="AY27" s="501"/>
      <c r="AZ27" s="501"/>
      <c r="BA27" s="501">
        <f>BA25/BA6</f>
        <v>0.19161781866516789</v>
      </c>
      <c r="BB27" s="501"/>
      <c r="BC27" s="501"/>
      <c r="BD27" s="501">
        <f>BD25/BD6</f>
        <v>0.19179085901367179</v>
      </c>
      <c r="BE27" s="501"/>
      <c r="BF27" s="501"/>
      <c r="BG27" s="501">
        <f>BG25/BG6</f>
        <v>0.19196447096171143</v>
      </c>
      <c r="BH27" s="501"/>
      <c r="BI27" s="501"/>
      <c r="BJ27" s="501">
        <f>BJ25/BJ6</f>
        <v>0.1921385986692461</v>
      </c>
      <c r="BL27" s="122"/>
    </row>
    <row r="28" spans="1:65">
      <c r="B28" s="461"/>
      <c r="C28" s="494"/>
      <c r="D28" s="494"/>
      <c r="E28" s="494"/>
      <c r="F28" s="494"/>
      <c r="G28" s="494"/>
      <c r="H28" s="494"/>
      <c r="I28" s="494"/>
      <c r="J28" s="494"/>
      <c r="K28" s="495"/>
      <c r="L28" s="494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4"/>
      <c r="Z28" s="643"/>
      <c r="AA28" s="494"/>
      <c r="AB28" s="494"/>
      <c r="AC28" s="643"/>
      <c r="AD28" s="494"/>
      <c r="AE28" s="494"/>
      <c r="AF28" s="494"/>
      <c r="AG28" s="494"/>
      <c r="AH28" s="494"/>
      <c r="AI28" s="494"/>
      <c r="AJ28" s="494"/>
      <c r="AK28" s="494"/>
      <c r="AL28" s="494"/>
      <c r="AM28" s="494"/>
      <c r="AN28" s="494"/>
      <c r="AO28" s="494"/>
      <c r="AP28" s="494"/>
      <c r="AQ28" s="494"/>
      <c r="AR28" s="494"/>
      <c r="AS28" s="494"/>
      <c r="AT28" s="494"/>
      <c r="AU28" s="494"/>
      <c r="AV28" s="494"/>
      <c r="AW28" s="494"/>
      <c r="AX28" s="494"/>
      <c r="AY28" s="494"/>
      <c r="AZ28" s="494"/>
      <c r="BA28" s="494"/>
      <c r="BB28" s="494"/>
      <c r="BC28" s="494"/>
      <c r="BD28" s="494"/>
      <c r="BE28" s="494"/>
      <c r="BF28" s="494"/>
      <c r="BG28" s="494"/>
      <c r="BH28" s="494"/>
      <c r="BI28" s="494"/>
      <c r="BJ28" s="494"/>
    </row>
    <row r="29" spans="1:65" s="462" customFormat="1">
      <c r="B29" s="462" t="s">
        <v>220</v>
      </c>
      <c r="C29" s="483">
        <f t="shared" ref="C29:I29" si="194">C31-C25</f>
        <v>-35.600000000000023</v>
      </c>
      <c r="D29" s="483">
        <f>E29-C29</f>
        <v>-35.099999999999994</v>
      </c>
      <c r="E29" s="483">
        <f t="shared" si="194"/>
        <v>-70.700000000000017</v>
      </c>
      <c r="F29" s="483">
        <f t="shared" si="194"/>
        <v>-35.700000000000017</v>
      </c>
      <c r="G29" s="483">
        <f>H29-F29</f>
        <v>-38.800000000000011</v>
      </c>
      <c r="H29" s="483">
        <f t="shared" si="194"/>
        <v>-74.500000000000028</v>
      </c>
      <c r="I29" s="483">
        <f t="shared" si="194"/>
        <v>-41.699999999999989</v>
      </c>
      <c r="J29" s="483">
        <f>K29-I29</f>
        <v>-44.900000000000006</v>
      </c>
      <c r="K29" s="485">
        <f>K31-K25</f>
        <v>-86.6</v>
      </c>
      <c r="L29" s="496">
        <f>L31-L25</f>
        <v>-131.20000000000002</v>
      </c>
      <c r="M29" s="483">
        <f>N29-L29</f>
        <v>-137.00000000000003</v>
      </c>
      <c r="N29" s="483">
        <f>N31-N25</f>
        <v>-268.20000000000005</v>
      </c>
      <c r="O29" s="483">
        <f>O31-O25</f>
        <v>-146.20000000000005</v>
      </c>
      <c r="P29" s="483">
        <f>Q29-O29</f>
        <v>-153.19999999999999</v>
      </c>
      <c r="Q29" s="483">
        <f>Q31-Q25</f>
        <v>-299.40000000000003</v>
      </c>
      <c r="R29" s="483">
        <f>R31-R25</f>
        <v>-146.59999999999997</v>
      </c>
      <c r="S29" s="483">
        <f>T29-R29</f>
        <v>-158.59999999999997</v>
      </c>
      <c r="T29" s="483">
        <f>T31-T25</f>
        <v>-305.19999999999993</v>
      </c>
      <c r="U29" s="483">
        <f>U31-U25</f>
        <v>-163.6</v>
      </c>
      <c r="V29" s="483">
        <f>W29-U29</f>
        <v>-165.99999999999997</v>
      </c>
      <c r="W29" s="483">
        <f>W31-W25</f>
        <v>-329.59999999999997</v>
      </c>
      <c r="X29" s="483">
        <f>X31-X25</f>
        <v>-172.29999999999998</v>
      </c>
      <c r="Y29" s="483">
        <f>Z29-X29</f>
        <v>-165.90000000000006</v>
      </c>
      <c r="Z29" s="483">
        <f>'PPE &amp; Leases'!Z71</f>
        <v>-338.20000000000005</v>
      </c>
      <c r="AA29" s="483">
        <f>AA31-AA25</f>
        <v>-175.1</v>
      </c>
      <c r="AB29" s="483">
        <f>AC29-AA29</f>
        <v>-183.20000000000002</v>
      </c>
      <c r="AC29" s="483">
        <f>'PPE &amp; Leases'!AC71</f>
        <v>-358.3</v>
      </c>
      <c r="AD29" s="483">
        <f>'PPE &amp; Leases'!AD71</f>
        <v>-186.72009092087001</v>
      </c>
      <c r="AE29" s="483">
        <f>AF29-AD29</f>
        <v>-186.72009092087001</v>
      </c>
      <c r="AF29" s="483">
        <f>'PPE &amp; Leases'!AF71</f>
        <v>-373.44018184174001</v>
      </c>
      <c r="AG29" s="483">
        <f>'PPE &amp; Leases'!AG71</f>
        <v>-195.5241296311757</v>
      </c>
      <c r="AH29" s="483">
        <f>AI29-AG29</f>
        <v>-195.5241296311757</v>
      </c>
      <c r="AI29" s="483">
        <f>'PPE &amp; Leases'!AI71</f>
        <v>-391.04825926235139</v>
      </c>
      <c r="AJ29" s="483"/>
      <c r="AK29" s="483"/>
      <c r="AL29" s="483">
        <f>'PPE &amp; Leases'!AL71</f>
        <v>-409.34546966712969</v>
      </c>
      <c r="AM29" s="483"/>
      <c r="AN29" s="483"/>
      <c r="AO29" s="483">
        <f>'PPE &amp; Leases'!AO71</f>
        <v>-427.27562624530441</v>
      </c>
      <c r="AP29" s="483"/>
      <c r="AQ29" s="483"/>
      <c r="AR29" s="483">
        <f>'PPE &amp; Leases'!AR71</f>
        <v>-444.58655204159345</v>
      </c>
      <c r="AS29" s="483"/>
      <c r="AT29" s="483"/>
      <c r="AU29" s="483">
        <f>'PPE &amp; Leases'!AU71</f>
        <v>-460.98944084074697</v>
      </c>
      <c r="AV29" s="483"/>
      <c r="AW29" s="483"/>
      <c r="AX29" s="483">
        <f>'PPE &amp; Leases'!AX71</f>
        <v>-476.36947337449021</v>
      </c>
      <c r="AY29" s="483"/>
      <c r="AZ29" s="483"/>
      <c r="BA29" s="483">
        <f>'PPE &amp; Leases'!BA71</f>
        <v>-492.27153435397236</v>
      </c>
      <c r="BB29" s="483"/>
      <c r="BC29" s="483"/>
      <c r="BD29" s="483">
        <f>'PPE &amp; Leases'!BD71</f>
        <v>-508.71348055868725</v>
      </c>
      <c r="BE29" s="483"/>
      <c r="BF29" s="483"/>
      <c r="BG29" s="483">
        <f>'PPE &amp; Leases'!BG71</f>
        <v>-525.71378042522792</v>
      </c>
      <c r="BH29" s="483"/>
      <c r="BI29" s="483"/>
      <c r="BJ29" s="483">
        <f>'PPE &amp; Leases'!BJ71</f>
        <v>-543.2915349514434</v>
      </c>
      <c r="BK29" s="123"/>
      <c r="BL29" s="123"/>
      <c r="BM29" s="497"/>
    </row>
    <row r="30" spans="1:65">
      <c r="C30" s="471"/>
      <c r="D30" s="471"/>
      <c r="E30" s="471"/>
      <c r="F30" s="471"/>
      <c r="G30" s="471"/>
      <c r="H30" s="471"/>
      <c r="I30" s="471"/>
      <c r="J30" s="471"/>
      <c r="K30" s="472"/>
      <c r="L30" s="471"/>
      <c r="M30" s="471"/>
      <c r="N30" s="471"/>
      <c r="O30" s="471"/>
      <c r="P30" s="473"/>
      <c r="Q30" s="471"/>
      <c r="R30" s="471"/>
      <c r="S30" s="471"/>
      <c r="T30" s="471"/>
      <c r="U30" s="471"/>
      <c r="V30" s="471"/>
      <c r="W30" s="471"/>
      <c r="X30" s="471"/>
      <c r="Y30" s="471"/>
      <c r="Z30" s="501">
        <f>Z29/W29-1</f>
        <v>2.6092233009709087E-2</v>
      </c>
      <c r="AA30" s="471"/>
      <c r="AB30" s="471"/>
      <c r="AC30" s="501">
        <f>AC29/Z29-1</f>
        <v>5.9432288586634963E-2</v>
      </c>
      <c r="AD30" s="471"/>
      <c r="AE30" s="471"/>
      <c r="AF30" s="501">
        <f>AF29/AC29-1</f>
        <v>4.2255601009600907E-2</v>
      </c>
      <c r="AG30" s="471"/>
      <c r="AH30" s="471"/>
      <c r="AI30" s="471"/>
      <c r="AJ30" s="471"/>
      <c r="AK30" s="471"/>
      <c r="AL30" s="471"/>
      <c r="AM30" s="471"/>
      <c r="AN30" s="471"/>
      <c r="AO30" s="471"/>
      <c r="AP30" s="471"/>
      <c r="AQ30" s="471"/>
      <c r="AR30" s="471"/>
      <c r="AS30" s="471"/>
      <c r="AT30" s="471"/>
      <c r="AU30" s="471"/>
      <c r="AV30" s="471"/>
      <c r="AW30" s="471"/>
      <c r="AX30" s="471"/>
      <c r="AY30" s="471"/>
      <c r="AZ30" s="471"/>
      <c r="BA30" s="471"/>
      <c r="BB30" s="471"/>
      <c r="BC30" s="471"/>
      <c r="BD30" s="471"/>
      <c r="BE30" s="471"/>
      <c r="BF30" s="471"/>
      <c r="BG30" s="471"/>
      <c r="BH30" s="471"/>
      <c r="BI30" s="471"/>
      <c r="BJ30" s="471"/>
    </row>
    <row r="31" spans="1:65" s="123" customFormat="1">
      <c r="B31" s="624" t="s">
        <v>140</v>
      </c>
      <c r="C31" s="625">
        <v>115.19999999999999</v>
      </c>
      <c r="D31" s="625">
        <f>E31-C31</f>
        <v>92.1</v>
      </c>
      <c r="E31" s="625">
        <v>207.29999999999998</v>
      </c>
      <c r="F31" s="625">
        <v>113.6</v>
      </c>
      <c r="G31" s="625">
        <f>H31-F31</f>
        <v>106</v>
      </c>
      <c r="H31" s="625">
        <v>219.6</v>
      </c>
      <c r="I31" s="625">
        <v>124.5</v>
      </c>
      <c r="J31" s="625">
        <f>K31-I31</f>
        <v>103.6</v>
      </c>
      <c r="K31" s="626">
        <v>228.1</v>
      </c>
      <c r="L31" s="625">
        <v>128.1</v>
      </c>
      <c r="M31" s="625">
        <f>N31-L31</f>
        <v>136.9</v>
      </c>
      <c r="N31" s="625">
        <v>265</v>
      </c>
      <c r="O31" s="625">
        <v>271.89999999999998</v>
      </c>
      <c r="P31" s="625">
        <f>Q31-O31</f>
        <v>204.90000000000003</v>
      </c>
      <c r="Q31" s="625">
        <v>476.8</v>
      </c>
      <c r="R31" s="625">
        <v>182.8</v>
      </c>
      <c r="S31" s="625">
        <f>T31-R31</f>
        <v>213.8</v>
      </c>
      <c r="T31" s="627">
        <v>396.6</v>
      </c>
      <c r="U31" s="627">
        <v>240.9</v>
      </c>
      <c r="V31" s="625">
        <f>W31-U31</f>
        <v>192.9</v>
      </c>
      <c r="W31" s="627">
        <f>438-4.2</f>
        <v>433.8</v>
      </c>
      <c r="X31" s="627">
        <f>233.3-3.6</f>
        <v>229.70000000000002</v>
      </c>
      <c r="Y31" s="625">
        <f>Z31-X31</f>
        <v>162.49999999999997</v>
      </c>
      <c r="Z31" s="627">
        <f>400.4-8.2</f>
        <v>392.2</v>
      </c>
      <c r="AA31" s="627">
        <f>218.1-2.3</f>
        <v>215.79999999999998</v>
      </c>
      <c r="AB31" s="625">
        <f>AC31-AA31</f>
        <v>180.6</v>
      </c>
      <c r="AC31" s="627">
        <f>399.7-3.3</f>
        <v>396.4</v>
      </c>
      <c r="AD31" s="625">
        <f>Divisionals!AD38</f>
        <v>216.16538465786539</v>
      </c>
      <c r="AE31" s="625">
        <f>AF31-AD31</f>
        <v>184.91491526478342</v>
      </c>
      <c r="AF31" s="625">
        <f>Divisionals!AF38</f>
        <v>401.08029992264881</v>
      </c>
      <c r="AG31" s="625">
        <f>Divisionals!AG38</f>
        <v>240.85345141987509</v>
      </c>
      <c r="AH31" s="625">
        <f>AI31-AG31</f>
        <v>216.15472692520305</v>
      </c>
      <c r="AI31" s="625">
        <f>Divisionals!AI38</f>
        <v>457.00817834507814</v>
      </c>
      <c r="AJ31" s="625"/>
      <c r="AK31" s="625"/>
      <c r="AL31" s="625">
        <f>Divisionals!AL38</f>
        <v>486.25181830456688</v>
      </c>
      <c r="AM31" s="625"/>
      <c r="AN31" s="625"/>
      <c r="AO31" s="625">
        <f>Divisionals!AO38</f>
        <v>511.04123799629093</v>
      </c>
      <c r="AP31" s="625"/>
      <c r="AQ31" s="625"/>
      <c r="AR31" s="625">
        <f>Divisionals!AR38</f>
        <v>534.00786536895453</v>
      </c>
      <c r="AS31" s="625"/>
      <c r="AT31" s="625"/>
      <c r="AU31" s="625">
        <f>Divisionals!AU38</f>
        <v>555.46096630575744</v>
      </c>
      <c r="AV31" s="625"/>
      <c r="AW31" s="625"/>
      <c r="AX31" s="625">
        <f>Divisionals!AX38</f>
        <v>574.61722414087888</v>
      </c>
      <c r="AY31" s="625"/>
      <c r="AZ31" s="625"/>
      <c r="BA31" s="625">
        <f>Divisionals!BA38</f>
        <v>594.44416178143365</v>
      </c>
      <c r="BB31" s="625"/>
      <c r="BC31" s="625"/>
      <c r="BD31" s="625">
        <f>Divisionals!BD38</f>
        <v>614.96523054193017</v>
      </c>
      <c r="BE31" s="625"/>
      <c r="BF31" s="625"/>
      <c r="BG31" s="625">
        <f>Divisionals!BG38</f>
        <v>636.20468598519096</v>
      </c>
      <c r="BH31" s="625"/>
      <c r="BI31" s="625"/>
      <c r="BJ31" s="625">
        <f>Divisionals!BJ38</f>
        <v>658.18761437715887</v>
      </c>
      <c r="BL31" s="225"/>
      <c r="BM31" s="498"/>
    </row>
    <row r="32" spans="1:65">
      <c r="B32" s="124" t="s">
        <v>42</v>
      </c>
      <c r="C32" s="473"/>
      <c r="D32" s="473"/>
      <c r="E32" s="473"/>
      <c r="F32" s="473">
        <f t="shared" ref="F32:W32" si="195">F31/C31-1</f>
        <v>-1.388888888888884E-2</v>
      </c>
      <c r="G32" s="473">
        <f t="shared" si="195"/>
        <v>0.15092290988056467</v>
      </c>
      <c r="H32" s="473">
        <f t="shared" si="195"/>
        <v>5.9334298118668638E-2</v>
      </c>
      <c r="I32" s="473">
        <f t="shared" si="195"/>
        <v>9.5950704225352235E-2</v>
      </c>
      <c r="J32" s="473">
        <f t="shared" si="195"/>
        <v>-2.264150943396237E-2</v>
      </c>
      <c r="K32" s="560">
        <f t="shared" si="195"/>
        <v>3.8706739526411571E-2</v>
      </c>
      <c r="L32" s="473">
        <f t="shared" si="195"/>
        <v>2.8915662650602414E-2</v>
      </c>
      <c r="M32" s="473">
        <f t="shared" si="195"/>
        <v>0.32142857142857162</v>
      </c>
      <c r="N32" s="473">
        <f t="shared" si="195"/>
        <v>0.16177115300306877</v>
      </c>
      <c r="O32" s="473">
        <f t="shared" si="195"/>
        <v>1.1225604996096799</v>
      </c>
      <c r="P32" s="473">
        <f t="shared" si="195"/>
        <v>0.4967129291453618</v>
      </c>
      <c r="Q32" s="473">
        <f t="shared" si="195"/>
        <v>0.79924528301886788</v>
      </c>
      <c r="R32" s="473">
        <f t="shared" si="195"/>
        <v>-0.32769400514895175</v>
      </c>
      <c r="S32" s="473">
        <f t="shared" si="195"/>
        <v>4.3435822352366982E-2</v>
      </c>
      <c r="T32" s="473">
        <f t="shared" si="195"/>
        <v>-0.16820469798657711</v>
      </c>
      <c r="U32" s="473">
        <f t="shared" si="195"/>
        <v>0.31783369803063444</v>
      </c>
      <c r="V32" s="473">
        <f t="shared" si="195"/>
        <v>-9.7754911131899047E-2</v>
      </c>
      <c r="W32" s="473">
        <f t="shared" si="195"/>
        <v>9.3797276853252676E-2</v>
      </c>
      <c r="X32" s="473">
        <f t="shared" ref="X32" si="196">X31/U31-1</f>
        <v>-4.6492320464923131E-2</v>
      </c>
      <c r="Y32" s="473">
        <f t="shared" ref="Y32:AB32" si="197">Y31/V31-1</f>
        <v>-0.15759460860549523</v>
      </c>
      <c r="Z32" s="473">
        <f t="shared" si="197"/>
        <v>-9.5896726602120896E-2</v>
      </c>
      <c r="AA32" s="473">
        <f t="shared" ref="AA32" si="198">AA31/X31-1</f>
        <v>-6.0513713539399383E-2</v>
      </c>
      <c r="AB32" s="473">
        <f t="shared" si="197"/>
        <v>0.11138461538461564</v>
      </c>
      <c r="AC32" s="473">
        <f>AC31/Z31-1</f>
        <v>1.0708822029576792E-2</v>
      </c>
      <c r="AD32" s="473">
        <f t="shared" ref="AD32" si="199">AD31/AA31-1</f>
        <v>1.6931633821382075E-3</v>
      </c>
      <c r="AE32" s="473">
        <f t="shared" ref="AE32" si="200">AE31/AB31-1</f>
        <v>2.3892111100683344E-2</v>
      </c>
      <c r="AF32" s="473">
        <f>AF31/AC31-1</f>
        <v>1.1807012922928406E-2</v>
      </c>
      <c r="AG32" s="473">
        <f t="shared" ref="AG32" si="201">AG31/AD31-1</f>
        <v>0.11420915888584382</v>
      </c>
      <c r="AH32" s="473">
        <f t="shared" ref="AH32" si="202">AH31/AE31-1</f>
        <v>0.1689415459844692</v>
      </c>
      <c r="AI32" s="473">
        <f>AI31/AF31-1</f>
        <v>0.1394430951438288</v>
      </c>
      <c r="AJ32" s="473"/>
      <c r="AK32" s="473"/>
      <c r="AL32" s="473">
        <f>AL31/AI31-1</f>
        <v>6.3989314294956579E-2</v>
      </c>
      <c r="AM32" s="473"/>
      <c r="AN32" s="473"/>
      <c r="AO32" s="473">
        <f>AO31/AL31-1</f>
        <v>5.0980621066175624E-2</v>
      </c>
      <c r="AP32" s="473"/>
      <c r="AQ32" s="473"/>
      <c r="AR32" s="473">
        <f>AR31/AO31-1</f>
        <v>4.4940849514829795E-2</v>
      </c>
      <c r="AS32" s="473"/>
      <c r="AT32" s="473"/>
      <c r="AU32" s="473">
        <f>AU31/AR31-1</f>
        <v>4.0173754598128664E-2</v>
      </c>
      <c r="AV32" s="473"/>
      <c r="AW32" s="473"/>
      <c r="AX32" s="473">
        <f>AX31/AU31-1</f>
        <v>3.4487135905381994E-2</v>
      </c>
      <c r="AY32" s="473"/>
      <c r="AZ32" s="473"/>
      <c r="BA32" s="473">
        <f>BA31/AX31-1</f>
        <v>3.4504600293175036E-2</v>
      </c>
      <c r="BB32" s="473"/>
      <c r="BC32" s="473"/>
      <c r="BD32" s="473">
        <f>BD31/BA31-1</f>
        <v>3.4521440498294753E-2</v>
      </c>
      <c r="BE32" s="473"/>
      <c r="BF32" s="473"/>
      <c r="BG32" s="473">
        <f>BG31/BD31-1</f>
        <v>3.4537652518247031E-2</v>
      </c>
      <c r="BH32" s="473"/>
      <c r="BI32" s="473"/>
      <c r="BJ32" s="473">
        <f t="shared" ref="BJ32" si="203">BJ31/BG31-1</f>
        <v>3.4553232436391745E-2</v>
      </c>
    </row>
    <row r="33" spans="2:65">
      <c r="B33" s="137" t="s">
        <v>100</v>
      </c>
      <c r="C33" s="492">
        <v>8.8923195677344649E-2</v>
      </c>
      <c r="D33" s="492">
        <v>7.8697769802614698E-2</v>
      </c>
      <c r="E33" s="473">
        <f t="shared" ref="E33:AI33" si="204">E31/E6</f>
        <v>8.4088394791484514E-2</v>
      </c>
      <c r="F33" s="473">
        <f t="shared" si="204"/>
        <v>8.5804332845651948E-2</v>
      </c>
      <c r="G33" s="473">
        <f t="shared" si="204"/>
        <v>8.5041003875091475E-2</v>
      </c>
      <c r="H33" s="473">
        <f t="shared" si="204"/>
        <v>8.5434173669467775E-2</v>
      </c>
      <c r="I33" s="473">
        <f t="shared" si="204"/>
        <v>8.8637334472447676E-2</v>
      </c>
      <c r="J33" s="473">
        <f t="shared" si="204"/>
        <v>7.9168577105303381E-2</v>
      </c>
      <c r="K33" s="560">
        <f t="shared" si="204"/>
        <v>8.4070470293380509E-2</v>
      </c>
      <c r="L33" s="473">
        <f t="shared" si="204"/>
        <v>8.8736492103075645E-2</v>
      </c>
      <c r="M33" s="473">
        <f t="shared" si="204"/>
        <v>9.907367202200032E-2</v>
      </c>
      <c r="N33" s="473">
        <f t="shared" si="204"/>
        <v>9.3792029447157935E-2</v>
      </c>
      <c r="O33" s="473">
        <f t="shared" si="204"/>
        <v>0.15303652839533965</v>
      </c>
      <c r="P33" s="473">
        <f t="shared" si="204"/>
        <v>0.12222619899785257</v>
      </c>
      <c r="Q33" s="473">
        <f t="shared" si="204"/>
        <v>0.1380788277200197</v>
      </c>
      <c r="R33" s="473">
        <f t="shared" si="204"/>
        <v>0.10720150129017125</v>
      </c>
      <c r="S33" s="473">
        <f t="shared" si="204"/>
        <v>0.11583053418571893</v>
      </c>
      <c r="T33" s="473">
        <f t="shared" si="204"/>
        <v>0.11168684877499296</v>
      </c>
      <c r="U33" s="473">
        <f t="shared" si="204"/>
        <v>0.12300857843137254</v>
      </c>
      <c r="V33" s="473">
        <f t="shared" si="204"/>
        <v>0.10458685751463891</v>
      </c>
      <c r="W33" s="473">
        <f t="shared" si="204"/>
        <v>0.11407384032817923</v>
      </c>
      <c r="X33" s="473">
        <f t="shared" si="204"/>
        <v>0.11369035834488221</v>
      </c>
      <c r="Y33" s="473">
        <f t="shared" si="204"/>
        <v>8.7253006872852201E-2</v>
      </c>
      <c r="Z33" s="473">
        <f t="shared" si="204"/>
        <v>0.10100958071494796</v>
      </c>
      <c r="AA33" s="473">
        <f t="shared" si="204"/>
        <v>0.10241078208048596</v>
      </c>
      <c r="AB33" s="473">
        <f t="shared" ref="AB33" si="205">AB31/AB6</f>
        <v>9.1782283884738511E-2</v>
      </c>
      <c r="AC33" s="473">
        <f t="shared" si="204"/>
        <v>9.7278460821124443E-2</v>
      </c>
      <c r="AD33" s="473">
        <f t="shared" si="204"/>
        <v>9.8430917707573978E-2</v>
      </c>
      <c r="AE33" s="473">
        <f t="shared" si="204"/>
        <v>8.881836392325422E-2</v>
      </c>
      <c r="AF33" s="473">
        <f t="shared" si="204"/>
        <v>9.3752905390825494E-2</v>
      </c>
      <c r="AG33" s="473">
        <f t="shared" si="204"/>
        <v>0.10475828211530286</v>
      </c>
      <c r="AH33" s="473">
        <f t="shared" si="204"/>
        <v>9.8382547823886904E-2</v>
      </c>
      <c r="AI33" s="473">
        <f t="shared" si="204"/>
        <v>0.10164277029888262</v>
      </c>
      <c r="AJ33" s="473"/>
      <c r="AK33" s="473"/>
      <c r="AL33" s="473">
        <f>AL31/AL6</f>
        <v>0.10321978636799994</v>
      </c>
      <c r="AM33" s="473"/>
      <c r="AN33" s="473"/>
      <c r="AO33" s="473">
        <f>AO31/AO6</f>
        <v>0.10383700651451326</v>
      </c>
      <c r="AP33" s="473"/>
      <c r="AQ33" s="473"/>
      <c r="AR33" s="473">
        <f>AR31/AR6</f>
        <v>0.10421883155457856</v>
      </c>
      <c r="AS33" s="473"/>
      <c r="AT33" s="473"/>
      <c r="AU33" s="473">
        <f>AU31/AU6</f>
        <v>0.1045255714973508</v>
      </c>
      <c r="AV33" s="473"/>
      <c r="AW33" s="473"/>
      <c r="AX33" s="473">
        <f>AX31/AX6</f>
        <v>0.10467099881300393</v>
      </c>
      <c r="AY33" s="473"/>
      <c r="AZ33" s="473"/>
      <c r="BA33" s="473">
        <f>BA31/BA6</f>
        <v>0.10481682928099499</v>
      </c>
      <c r="BB33" s="473"/>
      <c r="BC33" s="473"/>
      <c r="BD33" s="473">
        <f>BD31/BD6</f>
        <v>0.10496301893416969</v>
      </c>
      <c r="BE33" s="473"/>
      <c r="BF33" s="473"/>
      <c r="BG33" s="473">
        <f>BG31/BG6</f>
        <v>0.10510952317145633</v>
      </c>
      <c r="BH33" s="473"/>
      <c r="BI33" s="473"/>
      <c r="BJ33" s="473">
        <f>BJ31/BJ6</f>
        <v>0.10525629675600302</v>
      </c>
    </row>
    <row r="34" spans="2:65" s="125" customFormat="1">
      <c r="B34" s="486"/>
      <c r="C34" s="487"/>
      <c r="D34" s="487"/>
      <c r="E34" s="487"/>
      <c r="F34" s="487"/>
      <c r="G34" s="487"/>
      <c r="H34" s="487"/>
      <c r="I34" s="487"/>
      <c r="J34" s="487"/>
      <c r="K34" s="488"/>
      <c r="L34" s="487"/>
      <c r="M34" s="487"/>
      <c r="N34" s="487"/>
      <c r="O34" s="487"/>
      <c r="P34" s="487"/>
      <c r="Q34" s="487"/>
      <c r="R34" s="487"/>
      <c r="S34" s="487"/>
      <c r="T34" s="487"/>
      <c r="U34" s="487"/>
      <c r="V34" s="487"/>
      <c r="W34" s="487"/>
      <c r="X34" s="487"/>
      <c r="Y34" s="487"/>
      <c r="Z34" s="487"/>
      <c r="AA34" s="487"/>
      <c r="AB34" s="487"/>
      <c r="AC34" s="487"/>
      <c r="AD34" s="487"/>
      <c r="AE34" s="487"/>
      <c r="AF34" s="487"/>
      <c r="AG34" s="487"/>
      <c r="AH34" s="487"/>
      <c r="AI34" s="487"/>
      <c r="AJ34" s="487"/>
      <c r="AK34" s="487"/>
      <c r="AL34" s="487"/>
      <c r="AM34" s="487"/>
      <c r="AN34" s="487"/>
      <c r="AO34" s="487"/>
      <c r="AP34" s="487"/>
      <c r="AQ34" s="487"/>
      <c r="AR34" s="487"/>
      <c r="AS34" s="487"/>
      <c r="AT34" s="487"/>
      <c r="AU34" s="487"/>
      <c r="AV34" s="487"/>
      <c r="AW34" s="487"/>
      <c r="AX34" s="487"/>
      <c r="AY34" s="487"/>
      <c r="AZ34" s="487"/>
      <c r="BA34" s="487"/>
      <c r="BB34" s="487"/>
      <c r="BC34" s="487"/>
      <c r="BD34" s="487"/>
      <c r="BE34" s="487"/>
      <c r="BF34" s="487"/>
      <c r="BG34" s="487"/>
      <c r="BH34" s="487"/>
      <c r="BI34" s="487"/>
      <c r="BJ34" s="487"/>
      <c r="BL34" s="122"/>
    </row>
    <row r="35" spans="2:65" s="123" customFormat="1">
      <c r="B35" s="123" t="s">
        <v>389</v>
      </c>
      <c r="C35" s="499"/>
      <c r="D35" s="499"/>
      <c r="E35" s="499"/>
      <c r="F35" s="499"/>
      <c r="G35" s="471">
        <f>H35-F35</f>
        <v>-2.2000000000000002</v>
      </c>
      <c r="H35" s="471">
        <v>-2.2000000000000002</v>
      </c>
      <c r="I35" s="471">
        <f>-1.4</f>
        <v>-1.4</v>
      </c>
      <c r="J35" s="471">
        <f>K35-I35</f>
        <v>-1.2000000000000002</v>
      </c>
      <c r="K35" s="472">
        <v>-2.6</v>
      </c>
      <c r="L35" s="471">
        <v>0</v>
      </c>
      <c r="M35" s="471">
        <f>N35-L35</f>
        <v>0</v>
      </c>
      <c r="N35" s="499">
        <v>0</v>
      </c>
      <c r="O35" s="471">
        <v>0</v>
      </c>
      <c r="P35" s="471">
        <f>Q35-O35</f>
        <v>0</v>
      </c>
      <c r="Q35" s="499">
        <v>0</v>
      </c>
      <c r="R35" s="471">
        <v>0</v>
      </c>
      <c r="S35" s="471">
        <f>T35-R35</f>
        <v>0</v>
      </c>
      <c r="T35" s="500">
        <v>0</v>
      </c>
      <c r="U35" s="471"/>
      <c r="V35" s="471"/>
      <c r="W35" s="500"/>
      <c r="X35" s="628">
        <f>(X10-X31)/(U10-U31)-1</f>
        <v>7.1299366897798588E-2</v>
      </c>
      <c r="Y35" s="501">
        <f>(Y10-Y31)/(V10-V31)-1</f>
        <v>5.2520054487664947E-2</v>
      </c>
      <c r="Z35" s="500"/>
      <c r="AA35" s="628"/>
      <c r="AB35" s="501">
        <f>(AB10-AB31)/(Y10-Y31)-1</f>
        <v>3.5519125683060926E-2</v>
      </c>
      <c r="AC35" s="500"/>
      <c r="AD35" s="471"/>
      <c r="AE35" s="471"/>
      <c r="AF35" s="499"/>
      <c r="AG35" s="471"/>
      <c r="AH35" s="471"/>
      <c r="AI35" s="499"/>
      <c r="AJ35" s="499"/>
      <c r="AK35" s="499"/>
      <c r="AL35" s="499"/>
      <c r="AM35" s="499"/>
      <c r="AN35" s="499"/>
      <c r="AO35" s="499"/>
      <c r="AP35" s="499"/>
      <c r="AQ35" s="499"/>
      <c r="AR35" s="499"/>
      <c r="AS35" s="499"/>
      <c r="AT35" s="499"/>
      <c r="AU35" s="499"/>
      <c r="AV35" s="499"/>
      <c r="AW35" s="499"/>
      <c r="AX35" s="499"/>
      <c r="AY35" s="499"/>
      <c r="AZ35" s="499"/>
      <c r="BA35" s="499"/>
      <c r="BB35" s="499"/>
      <c r="BC35" s="499"/>
      <c r="BD35" s="499"/>
      <c r="BE35" s="499"/>
      <c r="BF35" s="499"/>
      <c r="BG35" s="499"/>
      <c r="BH35" s="499"/>
      <c r="BI35" s="499"/>
      <c r="BJ35" s="499"/>
    </row>
    <row r="36" spans="2:65" s="123" customFormat="1">
      <c r="C36" s="491"/>
      <c r="D36" s="499"/>
      <c r="E36" s="499"/>
      <c r="F36" s="499"/>
      <c r="G36" s="499"/>
      <c r="H36" s="499"/>
      <c r="I36" s="471"/>
      <c r="J36" s="471">
        <f>K36-I36</f>
        <v>0</v>
      </c>
      <c r="K36" s="502"/>
      <c r="L36" s="471"/>
      <c r="M36" s="471"/>
      <c r="N36" s="499"/>
      <c r="O36" s="471"/>
      <c r="P36" s="471"/>
      <c r="Q36" s="499"/>
      <c r="R36" s="471"/>
      <c r="S36" s="471"/>
      <c r="T36" s="499"/>
      <c r="U36" s="471"/>
      <c r="V36" s="471"/>
      <c r="W36" s="499"/>
      <c r="X36" s="471"/>
      <c r="Y36" s="471"/>
      <c r="Z36" s="499"/>
      <c r="AA36" s="471"/>
      <c r="AB36" s="471"/>
      <c r="AC36" s="499"/>
      <c r="AD36" s="471"/>
      <c r="AE36" s="471"/>
      <c r="AF36" s="499"/>
      <c r="AG36" s="471"/>
      <c r="AH36" s="471"/>
      <c r="AI36" s="499"/>
      <c r="AJ36" s="499"/>
      <c r="AK36" s="499"/>
      <c r="AL36" s="499"/>
      <c r="AM36" s="499"/>
      <c r="AN36" s="499"/>
      <c r="AO36" s="499"/>
      <c r="AP36" s="499"/>
      <c r="AQ36" s="499"/>
      <c r="AR36" s="499"/>
      <c r="AS36" s="499"/>
      <c r="AT36" s="499"/>
      <c r="AU36" s="499"/>
      <c r="AV36" s="499"/>
      <c r="AW36" s="499"/>
      <c r="AX36" s="499"/>
      <c r="AY36" s="499"/>
      <c r="AZ36" s="499"/>
      <c r="BA36" s="499"/>
      <c r="BB36" s="499"/>
      <c r="BC36" s="499"/>
      <c r="BD36" s="499"/>
      <c r="BE36" s="499"/>
      <c r="BF36" s="499"/>
      <c r="BG36" s="499"/>
      <c r="BH36" s="499"/>
      <c r="BI36" s="499"/>
      <c r="BJ36" s="499"/>
    </row>
    <row r="37" spans="2:65" s="123" customFormat="1">
      <c r="B37" s="123" t="s">
        <v>141</v>
      </c>
      <c r="C37" s="491">
        <v>-9.1</v>
      </c>
      <c r="D37" s="491">
        <f>E37-C37</f>
        <v>-7.7000000000000011</v>
      </c>
      <c r="E37" s="491">
        <v>-16.8</v>
      </c>
      <c r="F37" s="491">
        <v>-8.4</v>
      </c>
      <c r="G37" s="491">
        <f>H37-F37</f>
        <v>-9.2999999999999989</v>
      </c>
      <c r="H37" s="491">
        <v>-17.7</v>
      </c>
      <c r="I37" s="491">
        <v>-11</v>
      </c>
      <c r="J37" s="491">
        <f>K37-I37</f>
        <v>-10.3</v>
      </c>
      <c r="K37" s="472">
        <v>-21.3</v>
      </c>
      <c r="L37" s="471">
        <v>-27.9</v>
      </c>
      <c r="M37" s="471">
        <f>N37-L37</f>
        <v>-27.200000000000003</v>
      </c>
      <c r="N37" s="471">
        <v>-55.1</v>
      </c>
      <c r="O37" s="471">
        <v>-21.1</v>
      </c>
      <c r="P37" s="471">
        <f>Q37-O37</f>
        <v>-19.899999999999999</v>
      </c>
      <c r="Q37" s="471">
        <f>'PPE &amp; Leases'!Q81</f>
        <v>-41</v>
      </c>
      <c r="R37" s="471">
        <v>-21.8</v>
      </c>
      <c r="S37" s="471">
        <f>T37-R37</f>
        <v>-25.2</v>
      </c>
      <c r="T37" s="484">
        <v>-47</v>
      </c>
      <c r="U37" s="484">
        <v>-22.6</v>
      </c>
      <c r="V37" s="471">
        <f>W37-U37</f>
        <v>-20.6</v>
      </c>
      <c r="W37" s="484">
        <f>'PPE &amp; Leases'!W81+4.2</f>
        <v>-43.2</v>
      </c>
      <c r="X37" s="484">
        <f>-27+3.6</f>
        <v>-23.4</v>
      </c>
      <c r="Y37" s="471">
        <f>Z37-X37</f>
        <v>-26.199999999999996</v>
      </c>
      <c r="Z37" s="484">
        <f>-57.8+8.2</f>
        <v>-49.599999999999994</v>
      </c>
      <c r="AA37" s="484">
        <f>'PPE &amp; Leases'!AA81</f>
        <v>-29.999999999999996</v>
      </c>
      <c r="AB37" s="471">
        <f>AC37-AA37</f>
        <v>-37</v>
      </c>
      <c r="AC37" s="484">
        <f>-70.3+3.3</f>
        <v>-67</v>
      </c>
      <c r="AD37" s="471">
        <f>'PPE &amp; Leases'!AD81</f>
        <v>-30.408750000000005</v>
      </c>
      <c r="AE37" s="471">
        <f>AF37-AD37</f>
        <v>-38.071750000000002</v>
      </c>
      <c r="AF37" s="471">
        <f>'PPE &amp; Leases'!AF81</f>
        <v>-68.480500000000006</v>
      </c>
      <c r="AG37" s="471">
        <f>'PPE &amp; Leases'!AG81</f>
        <v>-30.895568890507874</v>
      </c>
      <c r="AH37" s="471">
        <f>AI37-AG37</f>
        <v>-35.586693202609794</v>
      </c>
      <c r="AI37" s="471">
        <f>'PPE &amp; Leases'!AI81</f>
        <v>-66.482262093117669</v>
      </c>
      <c r="AJ37" s="471"/>
      <c r="AK37" s="471"/>
      <c r="AL37" s="471">
        <f>'PPE &amp; Leases'!AL81</f>
        <v>-65.701288181117832</v>
      </c>
      <c r="AM37" s="471"/>
      <c r="AN37" s="471"/>
      <c r="AO37" s="471">
        <f>'PPE &amp; Leases'!AO81</f>
        <v>-63.160586682348828</v>
      </c>
      <c r="AP37" s="471"/>
      <c r="AQ37" s="471"/>
      <c r="AR37" s="471">
        <f>'PPE &amp; Leases'!AR81</f>
        <v>-62.807870064625241</v>
      </c>
      <c r="AS37" s="471"/>
      <c r="AT37" s="471"/>
      <c r="AU37" s="471">
        <f>'PPE &amp; Leases'!AU81</f>
        <v>-62.263875565612807</v>
      </c>
      <c r="AV37" s="471"/>
      <c r="AW37" s="471"/>
      <c r="AX37" s="471">
        <f>'PPE &amp; Leases'!AX81</f>
        <v>-61.441112680798817</v>
      </c>
      <c r="AY37" s="471"/>
      <c r="AZ37" s="471"/>
      <c r="BA37" s="471">
        <f>'PPE &amp; Leases'!BA81</f>
        <v>-60.445324102375693</v>
      </c>
      <c r="BB37" s="471"/>
      <c r="BC37" s="471"/>
      <c r="BD37" s="471">
        <f>'PPE &amp; Leases'!BD81</f>
        <v>-59.246975752111524</v>
      </c>
      <c r="BE37" s="471"/>
      <c r="BF37" s="471"/>
      <c r="BG37" s="471">
        <f>'PPE &amp; Leases'!BG81</f>
        <v>-57.826980913215074</v>
      </c>
      <c r="BH37" s="471"/>
      <c r="BI37" s="471"/>
      <c r="BJ37" s="471">
        <f>'PPE &amp; Leases'!BJ81</f>
        <v>-56.165316317166116</v>
      </c>
    </row>
    <row r="38" spans="2:65" s="123" customFormat="1">
      <c r="C38" s="471"/>
      <c r="D38" s="471"/>
      <c r="E38" s="471"/>
      <c r="F38" s="471"/>
      <c r="G38" s="471"/>
      <c r="H38" s="471"/>
      <c r="I38" s="471"/>
      <c r="J38" s="471"/>
      <c r="K38" s="472"/>
      <c r="L38" s="471"/>
      <c r="M38" s="471"/>
      <c r="N38" s="471"/>
      <c r="O38" s="471"/>
      <c r="P38" s="471"/>
      <c r="Q38" s="471"/>
      <c r="R38" s="471"/>
      <c r="S38" s="471"/>
      <c r="T38" s="471"/>
      <c r="U38" s="492"/>
      <c r="V38" s="471"/>
      <c r="W38" s="471"/>
      <c r="X38" s="492"/>
      <c r="Y38" s="471"/>
      <c r="Z38" s="471"/>
      <c r="AA38" s="492"/>
      <c r="AB38" s="471"/>
      <c r="AC38" s="471"/>
      <c r="AD38" s="471"/>
      <c r="AE38" s="471"/>
      <c r="AF38" s="471"/>
      <c r="AG38" s="471"/>
      <c r="AH38" s="471"/>
      <c r="AI38" s="471"/>
      <c r="AJ38" s="471"/>
      <c r="AK38" s="471"/>
      <c r="AL38" s="471"/>
      <c r="AM38" s="471"/>
      <c r="AN38" s="471"/>
      <c r="AO38" s="471"/>
      <c r="AP38" s="471"/>
      <c r="AQ38" s="471"/>
      <c r="AR38" s="471"/>
      <c r="AS38" s="471"/>
      <c r="AT38" s="471"/>
      <c r="AU38" s="471"/>
      <c r="AV38" s="471"/>
      <c r="AW38" s="471"/>
      <c r="AX38" s="471"/>
      <c r="AY38" s="471"/>
      <c r="AZ38" s="471"/>
      <c r="BA38" s="471"/>
      <c r="BB38" s="471"/>
      <c r="BC38" s="471"/>
      <c r="BD38" s="471"/>
      <c r="BE38" s="471"/>
      <c r="BF38" s="471"/>
      <c r="BG38" s="471"/>
      <c r="BH38" s="471"/>
      <c r="BI38" s="471"/>
      <c r="BJ38" s="471"/>
    </row>
    <row r="39" spans="2:65" s="123" customFormat="1">
      <c r="B39" s="123" t="s">
        <v>91</v>
      </c>
      <c r="C39" s="471">
        <f>C31+C35+C37</f>
        <v>106.1</v>
      </c>
      <c r="D39" s="471">
        <f>E39-C39</f>
        <v>84.399999999999977</v>
      </c>
      <c r="E39" s="471">
        <f>E31+E35+E37</f>
        <v>190.49999999999997</v>
      </c>
      <c r="F39" s="471">
        <f>F31+F35+F37</f>
        <v>105.19999999999999</v>
      </c>
      <c r="G39" s="471">
        <f>H39-F39</f>
        <v>94.500000000000028</v>
      </c>
      <c r="H39" s="471">
        <f>H31+H35+H37</f>
        <v>199.70000000000002</v>
      </c>
      <c r="I39" s="471">
        <f>I31+I35+I37</f>
        <v>112.1</v>
      </c>
      <c r="J39" s="471">
        <f>K39-I39</f>
        <v>92.1</v>
      </c>
      <c r="K39" s="472">
        <f>K31+K35+K37</f>
        <v>204.2</v>
      </c>
      <c r="L39" s="471">
        <f>L31+L35+L37</f>
        <v>100.19999999999999</v>
      </c>
      <c r="M39" s="471">
        <f>N39-L39</f>
        <v>109.70000000000002</v>
      </c>
      <c r="N39" s="471">
        <f>N31+N35+N37</f>
        <v>209.9</v>
      </c>
      <c r="O39" s="471">
        <f>O31+O35+O37</f>
        <v>250.79999999999998</v>
      </c>
      <c r="P39" s="471">
        <f>Q39-O39</f>
        <v>185.00000000000003</v>
      </c>
      <c r="Q39" s="471">
        <f>Q31+Q35+Q37</f>
        <v>435.8</v>
      </c>
      <c r="R39" s="471">
        <f>R31+R35+R37</f>
        <v>161</v>
      </c>
      <c r="S39" s="471">
        <f>T39-R39</f>
        <v>188.60000000000002</v>
      </c>
      <c r="T39" s="471">
        <f>T31+T35+T37</f>
        <v>349.6</v>
      </c>
      <c r="U39" s="471">
        <f>U31+U35+U37</f>
        <v>218.3</v>
      </c>
      <c r="V39" s="471">
        <f>W39-U39</f>
        <v>172.3</v>
      </c>
      <c r="W39" s="471">
        <f>W31+W35+W37</f>
        <v>390.6</v>
      </c>
      <c r="X39" s="471">
        <f>X31+X35+X37</f>
        <v>206.3712993668978</v>
      </c>
      <c r="Y39" s="471">
        <f>Z39-X39</f>
        <v>136.22870063310222</v>
      </c>
      <c r="Z39" s="471">
        <f>Z31+Z35+Z37</f>
        <v>342.6</v>
      </c>
      <c r="AA39" s="471">
        <f>AA31+AA35+AA37</f>
        <v>185.79999999999998</v>
      </c>
      <c r="AB39" s="471">
        <f>AC39-AA39</f>
        <v>143.6</v>
      </c>
      <c r="AC39" s="471">
        <f t="shared" ref="AC39:BD39" si="206">AC31+AC35+AC37</f>
        <v>329.4</v>
      </c>
      <c r="AD39" s="471">
        <f>AD31+AD35+AD37</f>
        <v>185.75663465786539</v>
      </c>
      <c r="AE39" s="471">
        <f>AF39-AD39</f>
        <v>146.84316526478341</v>
      </c>
      <c r="AF39" s="471">
        <f t="shared" si="206"/>
        <v>332.5997999226488</v>
      </c>
      <c r="AG39" s="471">
        <f>AG31+AG35+AG37</f>
        <v>209.95788252936723</v>
      </c>
      <c r="AH39" s="471">
        <f>AI39-AG39</f>
        <v>180.56803372259321</v>
      </c>
      <c r="AI39" s="471">
        <f t="shared" si="206"/>
        <v>390.52591625196044</v>
      </c>
      <c r="AJ39" s="471"/>
      <c r="AK39" s="471"/>
      <c r="AL39" s="471">
        <f t="shared" si="206"/>
        <v>420.55053012344905</v>
      </c>
      <c r="AM39" s="471"/>
      <c r="AN39" s="471"/>
      <c r="AO39" s="471">
        <f t="shared" si="206"/>
        <v>447.88065131394211</v>
      </c>
      <c r="AP39" s="471"/>
      <c r="AQ39" s="471"/>
      <c r="AR39" s="471">
        <f t="shared" si="206"/>
        <v>471.19999530432926</v>
      </c>
      <c r="AS39" s="471"/>
      <c r="AT39" s="471"/>
      <c r="AU39" s="471">
        <f t="shared" si="206"/>
        <v>493.19709074014463</v>
      </c>
      <c r="AV39" s="471"/>
      <c r="AW39" s="471"/>
      <c r="AX39" s="471">
        <f t="shared" si="206"/>
        <v>513.17611146008005</v>
      </c>
      <c r="AY39" s="471"/>
      <c r="AZ39" s="471"/>
      <c r="BA39" s="471">
        <f t="shared" si="206"/>
        <v>533.99883767905794</v>
      </c>
      <c r="BB39" s="471"/>
      <c r="BC39" s="471"/>
      <c r="BD39" s="471">
        <f t="shared" si="206"/>
        <v>555.71825478981862</v>
      </c>
      <c r="BE39" s="471"/>
      <c r="BF39" s="471"/>
      <c r="BG39" s="471">
        <f t="shared" ref="BG39:BJ39" si="207">BG31+BG35+BG37</f>
        <v>578.37770507197592</v>
      </c>
      <c r="BH39" s="471"/>
      <c r="BI39" s="471"/>
      <c r="BJ39" s="471">
        <f t="shared" si="207"/>
        <v>602.02229805999275</v>
      </c>
    </row>
    <row r="40" spans="2:65" s="123" customFormat="1">
      <c r="C40" s="471"/>
      <c r="D40" s="471"/>
      <c r="E40" s="471"/>
      <c r="F40" s="473">
        <f>F39/F6</f>
        <v>7.9459646261994574E-2</v>
      </c>
      <c r="G40" s="471"/>
      <c r="H40" s="471"/>
      <c r="I40" s="473">
        <f>I39/I6</f>
        <v>7.9809198348284205E-2</v>
      </c>
      <c r="J40" s="471"/>
      <c r="K40" s="472"/>
      <c r="L40" s="473">
        <f>L39/L6</f>
        <v>6.9409808811305068E-2</v>
      </c>
      <c r="M40" s="471"/>
      <c r="N40" s="471"/>
      <c r="O40" s="473">
        <f>O39/O6</f>
        <v>0.14116057860077671</v>
      </c>
      <c r="P40" s="471"/>
      <c r="Q40" s="471"/>
      <c r="R40" s="473">
        <f>R39/R6</f>
        <v>9.4417077175697875E-2</v>
      </c>
      <c r="S40" s="471">
        <f>+S39-7</f>
        <v>181.60000000000002</v>
      </c>
      <c r="T40" s="471"/>
      <c r="U40" s="473"/>
      <c r="V40" s="492"/>
      <c r="W40" s="471"/>
      <c r="X40" s="473"/>
      <c r="Y40" s="471"/>
      <c r="Z40" s="471"/>
      <c r="AA40" s="473"/>
      <c r="AB40" s="471"/>
      <c r="AC40" s="471"/>
      <c r="AD40" s="471"/>
      <c r="AE40" s="471"/>
      <c r="AF40" s="471"/>
      <c r="AG40" s="471"/>
      <c r="AH40" s="471"/>
      <c r="AI40" s="471"/>
      <c r="AJ40" s="471"/>
      <c r="AK40" s="471"/>
      <c r="AL40" s="471"/>
      <c r="AM40" s="471"/>
      <c r="AN40" s="471"/>
      <c r="AO40" s="471"/>
      <c r="AP40" s="471"/>
      <c r="AQ40" s="471"/>
      <c r="AR40" s="471"/>
      <c r="AS40" s="471"/>
      <c r="AT40" s="471"/>
      <c r="AU40" s="471"/>
      <c r="AV40" s="471"/>
      <c r="AW40" s="471"/>
      <c r="AX40" s="471"/>
      <c r="AY40" s="471"/>
      <c r="AZ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</row>
    <row r="41" spans="2:65" s="123" customFormat="1">
      <c r="B41" s="123" t="s">
        <v>92</v>
      </c>
      <c r="C41" s="471">
        <f t="shared" ref="C41:I41" si="208">C43-(C39+C42)</f>
        <v>-32.899999999999991</v>
      </c>
      <c r="D41" s="471">
        <f>E41-C41</f>
        <v>-24.400000000000048</v>
      </c>
      <c r="E41" s="471">
        <f t="shared" si="208"/>
        <v>-57.30000000000004</v>
      </c>
      <c r="F41" s="471">
        <f t="shared" si="208"/>
        <v>-31.700000000000003</v>
      </c>
      <c r="G41" s="471">
        <f>H41-F41</f>
        <v>-26.899999999999991</v>
      </c>
      <c r="H41" s="471">
        <f t="shared" si="208"/>
        <v>-58.599999999999994</v>
      </c>
      <c r="I41" s="471">
        <f t="shared" si="208"/>
        <v>-31.799999999999997</v>
      </c>
      <c r="J41" s="471">
        <f>K41-I41</f>
        <v>-19.799999999999997</v>
      </c>
      <c r="K41" s="472">
        <f>K43-(K39+K42)</f>
        <v>-51.599999999999994</v>
      </c>
      <c r="L41" s="471">
        <f>L43-L39</f>
        <v>-30.099999999999994</v>
      </c>
      <c r="M41" s="471">
        <f t="shared" ref="M41:M43" si="209">N41-L41</f>
        <v>-31.600000000000023</v>
      </c>
      <c r="N41" s="471">
        <f>N43-N39</f>
        <v>-61.700000000000017</v>
      </c>
      <c r="O41" s="471">
        <f>O43-O39</f>
        <v>-75.199999999999989</v>
      </c>
      <c r="P41" s="471">
        <f>Q41-O41</f>
        <v>-53.800000000000011</v>
      </c>
      <c r="Q41" s="471">
        <f>Q43-Q39</f>
        <v>-129</v>
      </c>
      <c r="R41" s="503">
        <f>R43-R39</f>
        <v>-48.2</v>
      </c>
      <c r="S41" s="471">
        <f>T41-R41</f>
        <v>-57.300000000000026</v>
      </c>
      <c r="T41" s="471">
        <f>T43-T39</f>
        <v>-105.50000000000003</v>
      </c>
      <c r="U41" s="471">
        <f>U43-U39</f>
        <v>-64.800000000000011</v>
      </c>
      <c r="V41" s="471">
        <f>W41-U41</f>
        <v>-52.299999999999983</v>
      </c>
      <c r="W41" s="484">
        <v>-117.1</v>
      </c>
      <c r="X41" s="471">
        <f>X43-X39</f>
        <v>-61.171299366897813</v>
      </c>
      <c r="Y41" s="471">
        <f>Z41-X41</f>
        <v>-39.328700633102187</v>
      </c>
      <c r="Z41" s="484">
        <v>-100.5</v>
      </c>
      <c r="AA41" s="484">
        <v>-55</v>
      </c>
      <c r="AB41" s="471">
        <f>AC41-AA41</f>
        <v>-42</v>
      </c>
      <c r="AC41" s="484">
        <v>-97</v>
      </c>
      <c r="AD41" s="471">
        <f>AD39*AD59</f>
        <v>-54.700648335801283</v>
      </c>
      <c r="AE41" s="471">
        <f>AF41-AD41</f>
        <v>-43.241612115009083</v>
      </c>
      <c r="AF41" s="471">
        <f>AF39*AF59</f>
        <v>-97.942260450810366</v>
      </c>
      <c r="AG41" s="471">
        <f>AG39*AG59</f>
        <v>-61.827306027166429</v>
      </c>
      <c r="AH41" s="471">
        <f>AI41-AG41</f>
        <v>-53.172736099245725</v>
      </c>
      <c r="AI41" s="471">
        <f>AI39*AI59</f>
        <v>-115.00004212641215</v>
      </c>
      <c r="AJ41" s="471"/>
      <c r="AK41" s="471"/>
      <c r="AL41" s="471">
        <f>AL39*AL59</f>
        <v>-123.84153437150746</v>
      </c>
      <c r="AM41" s="471"/>
      <c r="AN41" s="471"/>
      <c r="AO41" s="471">
        <f>AO39*AO59</f>
        <v>-131.88956641606674</v>
      </c>
      <c r="AP41" s="471"/>
      <c r="AQ41" s="471"/>
      <c r="AR41" s="471">
        <f>AR39*AR59</f>
        <v>-138.75652563606539</v>
      </c>
      <c r="AS41" s="471"/>
      <c r="AT41" s="471"/>
      <c r="AU41" s="471">
        <f>AU39*AU59</f>
        <v>-145.2341159738738</v>
      </c>
      <c r="AV41" s="471"/>
      <c r="AW41" s="471"/>
      <c r="AX41" s="471">
        <f>AX39*AX59</f>
        <v>-151.11743415794706</v>
      </c>
      <c r="AY41" s="471"/>
      <c r="AZ41" s="471"/>
      <c r="BA41" s="471">
        <f>BA39*BA59</f>
        <v>-157.24920235236377</v>
      </c>
      <c r="BB41" s="471"/>
      <c r="BC41" s="471"/>
      <c r="BD41" s="471">
        <f>BD39*BD59</f>
        <v>-163.64502342019551</v>
      </c>
      <c r="BE41" s="471"/>
      <c r="BF41" s="471"/>
      <c r="BG41" s="471">
        <f>BG39*BG59</f>
        <v>-170.31766057067901</v>
      </c>
      <c r="BH41" s="471"/>
      <c r="BI41" s="471"/>
      <c r="BJ41" s="471">
        <f>BJ39*BJ59</f>
        <v>-177.28039742507377</v>
      </c>
      <c r="BK41" s="498"/>
      <c r="BL41" s="498"/>
      <c r="BM41" s="498"/>
    </row>
    <row r="42" spans="2:65" s="123" customFormat="1">
      <c r="B42" s="123" t="s">
        <v>93</v>
      </c>
      <c r="C42" s="471">
        <v>0.6</v>
      </c>
      <c r="D42" s="471">
        <f>E42-C42</f>
        <v>0.70000000000000007</v>
      </c>
      <c r="E42" s="471">
        <v>1.3</v>
      </c>
      <c r="F42" s="471">
        <v>0.7</v>
      </c>
      <c r="G42" s="471">
        <f>H42-F42</f>
        <v>0.30000000000000004</v>
      </c>
      <c r="H42" s="471">
        <v>1</v>
      </c>
      <c r="I42" s="471">
        <v>0</v>
      </c>
      <c r="J42" s="471"/>
      <c r="K42" s="472">
        <v>-0.1</v>
      </c>
      <c r="L42" s="471">
        <v>0</v>
      </c>
      <c r="M42" s="471">
        <f t="shared" si="209"/>
        <v>0</v>
      </c>
      <c r="N42" s="471"/>
      <c r="O42" s="471">
        <v>0</v>
      </c>
      <c r="P42" s="471"/>
      <c r="Q42" s="471"/>
      <c r="R42" s="471"/>
      <c r="S42" s="471"/>
      <c r="T42" s="471"/>
      <c r="U42" s="471"/>
      <c r="V42" s="471"/>
      <c r="W42" s="471"/>
      <c r="X42" s="471"/>
      <c r="Y42" s="471"/>
      <c r="Z42" s="471"/>
      <c r="AA42" s="471"/>
      <c r="AB42" s="471"/>
      <c r="AC42" s="471"/>
      <c r="AD42" s="471"/>
      <c r="AE42" s="471"/>
      <c r="AF42" s="471"/>
      <c r="AG42" s="471"/>
      <c r="AH42" s="471"/>
      <c r="AI42" s="471"/>
      <c r="AJ42" s="471"/>
      <c r="AK42" s="471"/>
      <c r="AL42" s="471"/>
      <c r="AM42" s="471"/>
      <c r="AN42" s="471"/>
      <c r="AO42" s="471"/>
      <c r="AP42" s="471"/>
      <c r="AQ42" s="471"/>
      <c r="AR42" s="471"/>
      <c r="AS42" s="471"/>
      <c r="AT42" s="471"/>
      <c r="AU42" s="471"/>
      <c r="AV42" s="471"/>
      <c r="AW42" s="471"/>
      <c r="AX42" s="471"/>
      <c r="AY42" s="471"/>
      <c r="AZ42" s="471"/>
      <c r="BA42" s="471"/>
      <c r="BB42" s="471"/>
      <c r="BC42" s="471"/>
      <c r="BD42" s="471"/>
      <c r="BE42" s="471"/>
      <c r="BF42" s="471"/>
      <c r="BG42" s="471"/>
      <c r="BH42" s="471"/>
      <c r="BI42" s="471"/>
      <c r="BJ42" s="471"/>
    </row>
    <row r="43" spans="2:65" s="123" customFormat="1">
      <c r="B43" s="624" t="s">
        <v>161</v>
      </c>
      <c r="C43" s="625">
        <v>73.8</v>
      </c>
      <c r="D43" s="625">
        <f>E43-C43</f>
        <v>60.699999999999946</v>
      </c>
      <c r="E43" s="625">
        <v>134.49999999999994</v>
      </c>
      <c r="F43" s="625">
        <v>74.199999999999989</v>
      </c>
      <c r="G43" s="625">
        <f>H43-F43</f>
        <v>67.900000000000034</v>
      </c>
      <c r="H43" s="625">
        <v>142.10000000000002</v>
      </c>
      <c r="I43" s="625">
        <v>80.3</v>
      </c>
      <c r="J43" s="625">
        <f>K43-I43</f>
        <v>72.2</v>
      </c>
      <c r="K43" s="626">
        <v>152.5</v>
      </c>
      <c r="L43" s="625">
        <v>70.099999999999994</v>
      </c>
      <c r="M43" s="625">
        <f t="shared" si="209"/>
        <v>78.099999999999994</v>
      </c>
      <c r="N43" s="625">
        <v>148.19999999999999</v>
      </c>
      <c r="O43" s="625">
        <v>175.6</v>
      </c>
      <c r="P43" s="625">
        <f>Q43-O43</f>
        <v>131.20000000000002</v>
      </c>
      <c r="Q43" s="625">
        <v>306.8</v>
      </c>
      <c r="R43" s="625">
        <v>112.8</v>
      </c>
      <c r="S43" s="625">
        <f>T43-R43</f>
        <v>131.30000000000001</v>
      </c>
      <c r="T43" s="627">
        <v>244.1</v>
      </c>
      <c r="U43" s="627">
        <v>153.5</v>
      </c>
      <c r="V43" s="625">
        <f>W43-U43</f>
        <v>120</v>
      </c>
      <c r="W43" s="625">
        <f>W39+W41+W42</f>
        <v>273.5</v>
      </c>
      <c r="X43" s="627">
        <v>145.19999999999999</v>
      </c>
      <c r="Y43" s="625">
        <f>Z43-X43</f>
        <v>96.900000000000034</v>
      </c>
      <c r="Z43" s="625">
        <f t="shared" ref="Z43:AU43" si="210">Z39+Z41+Z42</f>
        <v>242.10000000000002</v>
      </c>
      <c r="AA43" s="625">
        <f>AA39+AA41+AA42</f>
        <v>130.79999999999998</v>
      </c>
      <c r="AB43" s="625">
        <f>AC43-AA43</f>
        <v>101.6</v>
      </c>
      <c r="AC43" s="625">
        <f t="shared" si="210"/>
        <v>232.39999999999998</v>
      </c>
      <c r="AD43" s="625">
        <f t="shared" ref="AD43" si="211">AD39+AD41+AD42</f>
        <v>131.05598632206411</v>
      </c>
      <c r="AE43" s="625">
        <f>AF43-AD43</f>
        <v>103.60155314977433</v>
      </c>
      <c r="AF43" s="625">
        <f t="shared" si="210"/>
        <v>234.65753947183845</v>
      </c>
      <c r="AG43" s="625">
        <f t="shared" si="210"/>
        <v>148.1305765022008</v>
      </c>
      <c r="AH43" s="625">
        <f>AI43-AG43</f>
        <v>127.39529762334749</v>
      </c>
      <c r="AI43" s="625">
        <f t="shared" si="210"/>
        <v>275.52587412554828</v>
      </c>
      <c r="AJ43" s="625"/>
      <c r="AK43" s="625"/>
      <c r="AL43" s="625">
        <f t="shared" si="210"/>
        <v>296.70899575194159</v>
      </c>
      <c r="AM43" s="625"/>
      <c r="AN43" s="625"/>
      <c r="AO43" s="625">
        <f t="shared" si="210"/>
        <v>315.99108489787534</v>
      </c>
      <c r="AP43" s="625"/>
      <c r="AQ43" s="625"/>
      <c r="AR43" s="625">
        <f t="shared" si="210"/>
        <v>332.4434696682639</v>
      </c>
      <c r="AS43" s="625"/>
      <c r="AT43" s="625"/>
      <c r="AU43" s="625">
        <f t="shared" si="210"/>
        <v>347.9629747662708</v>
      </c>
      <c r="AV43" s="625"/>
      <c r="AW43" s="625"/>
      <c r="AX43" s="625">
        <f t="shared" ref="AX43" si="212">AX39+AX41+AX42</f>
        <v>362.05867730213299</v>
      </c>
      <c r="AY43" s="625"/>
      <c r="AZ43" s="625"/>
      <c r="BA43" s="625">
        <f t="shared" ref="BA43:BD43" si="213">BA39+BA41+BA42</f>
        <v>376.74963532669415</v>
      </c>
      <c r="BB43" s="625"/>
      <c r="BC43" s="625"/>
      <c r="BD43" s="625">
        <f t="shared" si="213"/>
        <v>392.0732313696231</v>
      </c>
      <c r="BE43" s="625"/>
      <c r="BF43" s="625"/>
      <c r="BG43" s="625">
        <f t="shared" ref="BG43:BJ43" si="214">BG39+BG41+BG42</f>
        <v>408.06004450129694</v>
      </c>
      <c r="BH43" s="625"/>
      <c r="BI43" s="625"/>
      <c r="BJ43" s="625">
        <f t="shared" si="214"/>
        <v>424.74190063491898</v>
      </c>
      <c r="BL43" s="225"/>
    </row>
    <row r="44" spans="2:65">
      <c r="B44" s="133" t="s">
        <v>42</v>
      </c>
      <c r="C44" s="473"/>
      <c r="D44" s="473"/>
      <c r="E44" s="473"/>
      <c r="F44" s="473">
        <f t="shared" ref="F44:W44" si="215">F43/C43-1</f>
        <v>5.4200542005418129E-3</v>
      </c>
      <c r="G44" s="473">
        <f t="shared" si="215"/>
        <v>0.11861614497528983</v>
      </c>
      <c r="H44" s="473">
        <f t="shared" si="215"/>
        <v>5.6505576208178976E-2</v>
      </c>
      <c r="I44" s="473">
        <f t="shared" si="215"/>
        <v>8.2210242587601234E-2</v>
      </c>
      <c r="J44" s="473">
        <f t="shared" si="215"/>
        <v>6.3328424153165974E-2</v>
      </c>
      <c r="K44" s="560">
        <f t="shared" si="215"/>
        <v>7.3187895847994122E-2</v>
      </c>
      <c r="L44" s="473">
        <f t="shared" si="215"/>
        <v>-0.12702366127023668</v>
      </c>
      <c r="M44" s="473">
        <f t="shared" si="215"/>
        <v>8.1717451523545481E-2</v>
      </c>
      <c r="N44" s="473">
        <f t="shared" si="215"/>
        <v>-2.8196721311475437E-2</v>
      </c>
      <c r="O44" s="473">
        <f t="shared" si="215"/>
        <v>1.5049928673323825</v>
      </c>
      <c r="P44" s="473">
        <f t="shared" si="215"/>
        <v>0.67989756722151129</v>
      </c>
      <c r="Q44" s="473">
        <f t="shared" si="215"/>
        <v>1.0701754385964914</v>
      </c>
      <c r="R44" s="473">
        <f t="shared" si="215"/>
        <v>-0.35763097949886102</v>
      </c>
      <c r="S44" s="473">
        <f t="shared" si="215"/>
        <v>7.6219512195119243E-4</v>
      </c>
      <c r="T44" s="473">
        <f>T43/Q43-1</f>
        <v>-0.20436766623207303</v>
      </c>
      <c r="U44" s="473">
        <f t="shared" si="215"/>
        <v>0.36081560283687941</v>
      </c>
      <c r="V44" s="473">
        <f t="shared" si="215"/>
        <v>-8.6062452399086165E-2</v>
      </c>
      <c r="W44" s="473">
        <f t="shared" si="215"/>
        <v>0.12044244162228601</v>
      </c>
      <c r="X44" s="473">
        <f t="shared" ref="X44" si="216">X43/U43-1</f>
        <v>-5.4071661237785063E-2</v>
      </c>
      <c r="Y44" s="473">
        <f t="shared" ref="Y44" si="217">Y43/V43-1</f>
        <v>-0.19249999999999967</v>
      </c>
      <c r="Z44" s="473">
        <f>Z43/W43-1</f>
        <v>-0.11480804387568544</v>
      </c>
      <c r="AA44" s="473">
        <f t="shared" ref="AA44:AB44" si="218">AA43/X43-1</f>
        <v>-9.9173553719008267E-2</v>
      </c>
      <c r="AB44" s="473">
        <f t="shared" si="218"/>
        <v>4.8503611971103755E-2</v>
      </c>
      <c r="AC44" s="473">
        <f>AC43/Z43-1</f>
        <v>-4.0066088393226118E-2</v>
      </c>
      <c r="AD44" s="473">
        <f t="shared" ref="AD44" si="219">AD43/AA43-1</f>
        <v>1.9570819729672895E-3</v>
      </c>
      <c r="AE44" s="473">
        <f t="shared" ref="AE44" si="220">AE43/AB43-1</f>
        <v>1.9700326277306557E-2</v>
      </c>
      <c r="AF44" s="473">
        <f>AF43/AC43-1</f>
        <v>9.7140252660863347E-3</v>
      </c>
      <c r="AG44" s="473">
        <f t="shared" ref="AG44" si="221">AG43/AD43-1</f>
        <v>0.13028470243378765</v>
      </c>
      <c r="AH44" s="473">
        <f t="shared" ref="AH44" si="222">AH43/AE43-1</f>
        <v>0.22966590509676132</v>
      </c>
      <c r="AI44" s="473">
        <f>AI43/AF43-1</f>
        <v>0.17416160906525868</v>
      </c>
      <c r="AJ44" s="473"/>
      <c r="AK44" s="473"/>
      <c r="AL44" s="473">
        <f>AL43/AI43-1</f>
        <v>7.6882513098355476E-2</v>
      </c>
      <c r="AM44" s="473"/>
      <c r="AN44" s="473"/>
      <c r="AO44" s="473">
        <f>AO43/AL43-1</f>
        <v>6.4986533681149927E-2</v>
      </c>
      <c r="AP44" s="473"/>
      <c r="AQ44" s="473"/>
      <c r="AR44" s="473">
        <f>AR43/AO43-1</f>
        <v>5.2065977670559205E-2</v>
      </c>
      <c r="AS44" s="473"/>
      <c r="AT44" s="473"/>
      <c r="AU44" s="473">
        <f>AU43/AR43-1</f>
        <v>4.668314018468589E-2</v>
      </c>
      <c r="AV44" s="473"/>
      <c r="AW44" s="473"/>
      <c r="AX44" s="473">
        <f>AX43/AU43-1</f>
        <v>4.0509202294670477E-2</v>
      </c>
      <c r="AY44" s="473"/>
      <c r="AZ44" s="473"/>
      <c r="BA44" s="473">
        <f>BA43/AX43-1</f>
        <v>4.0576179899982856E-2</v>
      </c>
      <c r="BB44" s="473"/>
      <c r="BC44" s="473"/>
      <c r="BD44" s="473">
        <f>BD43/BA43-1</f>
        <v>4.0673154280935764E-2</v>
      </c>
      <c r="BE44" s="473"/>
      <c r="BF44" s="473"/>
      <c r="BG44" s="473">
        <f>BG43/BD43-1</f>
        <v>4.0775069177325207E-2</v>
      </c>
      <c r="BH44" s="473"/>
      <c r="BI44" s="473"/>
      <c r="BJ44" s="473">
        <f t="shared" ref="BJ44" si="223">BJ43/BG43-1</f>
        <v>4.08808859343468E-2</v>
      </c>
    </row>
    <row r="45" spans="2:65">
      <c r="B45" s="133" t="s">
        <v>689</v>
      </c>
      <c r="C45" s="473"/>
      <c r="D45" s="473"/>
      <c r="E45" s="473"/>
      <c r="F45" s="473"/>
      <c r="G45" s="473"/>
      <c r="H45" s="473">
        <f>H43/H6</f>
        <v>5.5283224400871467E-2</v>
      </c>
      <c r="I45" s="473"/>
      <c r="J45" s="473"/>
      <c r="K45" s="473">
        <f t="shared" ref="K45:AP45" si="224">K43/K6</f>
        <v>5.6206693203597231E-2</v>
      </c>
      <c r="L45" s="473">
        <f t="shared" si="224"/>
        <v>4.855915766140205E-2</v>
      </c>
      <c r="M45" s="473">
        <f t="shared" si="224"/>
        <v>5.6520480532638598E-2</v>
      </c>
      <c r="N45" s="473">
        <f t="shared" si="224"/>
        <v>5.2452750053089831E-2</v>
      </c>
      <c r="O45" s="473">
        <f t="shared" si="224"/>
        <v>9.8834918669443342E-2</v>
      </c>
      <c r="P45" s="473">
        <f t="shared" si="224"/>
        <v>7.826294440467671E-2</v>
      </c>
      <c r="Q45" s="473">
        <f t="shared" si="224"/>
        <v>8.8847702064811337E-2</v>
      </c>
      <c r="R45" s="473">
        <f t="shared" si="224"/>
        <v>6.615059817030261E-2</v>
      </c>
      <c r="S45" s="473">
        <f t="shared" si="224"/>
        <v>7.1134467439592591E-2</v>
      </c>
      <c r="T45" s="473">
        <f t="shared" si="224"/>
        <v>6.8741199662067015E-2</v>
      </c>
      <c r="U45" s="473">
        <f t="shared" si="224"/>
        <v>7.8380310457516339E-2</v>
      </c>
      <c r="V45" s="473">
        <f t="shared" si="224"/>
        <v>6.5061808718282363E-2</v>
      </c>
      <c r="W45" s="473">
        <f t="shared" si="224"/>
        <v>7.1920690017881553E-2</v>
      </c>
      <c r="X45" s="473">
        <f t="shared" si="224"/>
        <v>7.186695703821025E-2</v>
      </c>
      <c r="Y45" s="473">
        <f t="shared" si="224"/>
        <v>5.2029639175257741E-2</v>
      </c>
      <c r="Z45" s="473">
        <f t="shared" si="224"/>
        <v>6.2351910992067584E-2</v>
      </c>
      <c r="AA45" s="473">
        <f t="shared" si="224"/>
        <v>6.2072892938496584E-2</v>
      </c>
      <c r="AB45" s="473">
        <f t="shared" ref="AB45" si="225">AB43/AB6</f>
        <v>5.1633887279564965E-2</v>
      </c>
      <c r="AC45" s="473">
        <f t="shared" si="224"/>
        <v>5.7032074406733899E-2</v>
      </c>
      <c r="AD45" s="473">
        <f t="shared" si="224"/>
        <v>5.9676349315452973E-2</v>
      </c>
      <c r="AE45" s="473">
        <f t="shared" si="224"/>
        <v>4.9761915838400006E-2</v>
      </c>
      <c r="AF45" s="473">
        <f t="shared" si="224"/>
        <v>5.4851425267184631E-2</v>
      </c>
      <c r="AG45" s="473">
        <f t="shared" si="224"/>
        <v>6.442882438112936E-2</v>
      </c>
      <c r="AH45" s="473">
        <f t="shared" si="224"/>
        <v>5.7983806966684107E-2</v>
      </c>
      <c r="AI45" s="473">
        <f t="shared" si="224"/>
        <v>6.1279457266070522E-2</v>
      </c>
      <c r="AJ45" s="473" t="e">
        <f t="shared" si="224"/>
        <v>#DIV/0!</v>
      </c>
      <c r="AK45" s="473" t="e">
        <f t="shared" si="224"/>
        <v>#DIV/0!</v>
      </c>
      <c r="AL45" s="473">
        <f t="shared" si="224"/>
        <v>6.2984318005770992E-2</v>
      </c>
      <c r="AM45" s="473" t="e">
        <f t="shared" si="224"/>
        <v>#DIV/0!</v>
      </c>
      <c r="AN45" s="473" t="e">
        <f t="shared" si="224"/>
        <v>#DIV/0!</v>
      </c>
      <c r="AO45" s="473">
        <f t="shared" si="224"/>
        <v>6.4205324152934479E-2</v>
      </c>
      <c r="AP45" s="473" t="e">
        <f t="shared" si="224"/>
        <v>#DIV/0!</v>
      </c>
      <c r="AQ45" s="473" t="e">
        <f t="shared" ref="AQ45:BJ45" si="226">AQ43/AQ6</f>
        <v>#DIV/0!</v>
      </c>
      <c r="AR45" s="473">
        <f t="shared" si="226"/>
        <v>6.4880823324275139E-2</v>
      </c>
      <c r="AS45" s="473" t="e">
        <f t="shared" si="226"/>
        <v>#DIV/0!</v>
      </c>
      <c r="AT45" s="473" t="e">
        <f t="shared" si="226"/>
        <v>#DIV/0!</v>
      </c>
      <c r="AU45" s="473">
        <f t="shared" si="226"/>
        <v>6.547900033238703E-2</v>
      </c>
      <c r="AV45" s="473" t="e">
        <f t="shared" si="226"/>
        <v>#DIV/0!</v>
      </c>
      <c r="AW45" s="473" t="e">
        <f t="shared" si="226"/>
        <v>#DIV/0!</v>
      </c>
      <c r="AX45" s="473">
        <f t="shared" si="226"/>
        <v>6.5951805462827751E-2</v>
      </c>
      <c r="AY45" s="473" t="e">
        <f t="shared" si="226"/>
        <v>#DIV/0!</v>
      </c>
      <c r="AZ45" s="473" t="e">
        <f t="shared" si="226"/>
        <v>#DIV/0!</v>
      </c>
      <c r="BA45" s="473">
        <f t="shared" si="226"/>
        <v>6.6431306330559728E-2</v>
      </c>
      <c r="BB45" s="473" t="e">
        <f t="shared" si="226"/>
        <v>#DIV/0!</v>
      </c>
      <c r="BC45" s="473" t="e">
        <f t="shared" si="226"/>
        <v>#DIV/0!</v>
      </c>
      <c r="BD45" s="473">
        <f t="shared" si="226"/>
        <v>6.6919539453580368E-2</v>
      </c>
      <c r="BE45" s="473" t="e">
        <f t="shared" si="226"/>
        <v>#DIV/0!</v>
      </c>
      <c r="BF45" s="473" t="e">
        <f t="shared" si="226"/>
        <v>#DIV/0!</v>
      </c>
      <c r="BG45" s="473">
        <f t="shared" si="226"/>
        <v>6.741697703222034E-2</v>
      </c>
      <c r="BH45" s="473" t="e">
        <f t="shared" si="226"/>
        <v>#DIV/0!</v>
      </c>
      <c r="BI45" s="473" t="e">
        <f t="shared" si="226"/>
        <v>#DIV/0!</v>
      </c>
      <c r="BJ45" s="473">
        <f t="shared" si="226"/>
        <v>6.7924036492609585E-2</v>
      </c>
    </row>
    <row r="46" spans="2:65">
      <c r="B46" s="477"/>
      <c r="C46" s="474"/>
      <c r="D46" s="474"/>
      <c r="E46" s="504"/>
      <c r="F46" s="474"/>
      <c r="G46" s="474"/>
      <c r="H46" s="505"/>
      <c r="I46" s="474"/>
      <c r="J46" s="474"/>
      <c r="K46" s="506"/>
      <c r="L46" s="474"/>
      <c r="M46" s="474"/>
      <c r="N46" s="505"/>
      <c r="O46" s="474"/>
      <c r="P46" s="474"/>
      <c r="Q46" s="505"/>
      <c r="R46" s="474"/>
      <c r="S46" s="474"/>
      <c r="T46" s="507"/>
      <c r="U46" s="474"/>
      <c r="V46" s="474"/>
      <c r="W46" s="507"/>
      <c r="X46" s="474"/>
      <c r="Y46" s="474"/>
      <c r="Z46" s="507"/>
      <c r="AA46" s="474"/>
      <c r="AB46" s="474"/>
      <c r="AC46" s="507"/>
      <c r="AD46" s="505"/>
      <c r="AE46" s="505"/>
      <c r="AF46" s="505"/>
      <c r="AG46" s="505"/>
      <c r="AH46" s="505"/>
      <c r="AI46" s="507"/>
      <c r="AJ46" s="507"/>
      <c r="AK46" s="507"/>
      <c r="AL46" s="507"/>
      <c r="AM46" s="507"/>
      <c r="AN46" s="507"/>
      <c r="AO46" s="507"/>
      <c r="AP46" s="507"/>
      <c r="AQ46" s="507"/>
      <c r="AR46" s="507"/>
      <c r="AS46" s="507"/>
      <c r="AT46" s="507"/>
      <c r="AU46" s="507"/>
      <c r="AV46" s="507"/>
      <c r="AW46" s="507"/>
      <c r="AX46" s="507"/>
      <c r="AY46" s="507"/>
      <c r="AZ46" s="507"/>
      <c r="BA46" s="507"/>
      <c r="BB46" s="507"/>
      <c r="BC46" s="507"/>
      <c r="BD46" s="507"/>
      <c r="BE46" s="507"/>
      <c r="BF46" s="507"/>
      <c r="BG46" s="507"/>
      <c r="BH46" s="507"/>
      <c r="BI46" s="507"/>
      <c r="BJ46" s="507"/>
    </row>
    <row r="47" spans="2:65">
      <c r="B47" s="508" t="s">
        <v>236</v>
      </c>
      <c r="C47" s="474"/>
      <c r="D47" s="474"/>
      <c r="E47" s="504"/>
      <c r="F47" s="474"/>
      <c r="G47" s="474"/>
      <c r="H47" s="504"/>
      <c r="I47" s="474"/>
      <c r="J47" s="474"/>
      <c r="K47" s="478"/>
      <c r="L47" s="474"/>
      <c r="M47" s="474"/>
      <c r="N47" s="474"/>
      <c r="O47" s="474"/>
      <c r="P47" s="474"/>
      <c r="Q47" s="474"/>
      <c r="R47" s="474"/>
      <c r="S47" s="474"/>
      <c r="T47" s="474"/>
      <c r="U47" s="474"/>
      <c r="V47" s="474"/>
      <c r="W47" s="474"/>
      <c r="X47" s="474"/>
      <c r="Y47" s="474"/>
      <c r="Z47" s="474"/>
      <c r="AA47" s="474"/>
      <c r="AB47" s="474"/>
      <c r="AC47" s="474"/>
      <c r="AD47" s="474"/>
      <c r="AE47" s="474"/>
      <c r="AF47" s="474"/>
      <c r="AG47" s="474"/>
      <c r="AH47" s="474"/>
      <c r="AI47" s="474"/>
      <c r="AJ47" s="474"/>
      <c r="AK47" s="474"/>
      <c r="AL47" s="474"/>
      <c r="AM47" s="474"/>
      <c r="AN47" s="474"/>
      <c r="AO47" s="474"/>
      <c r="AP47" s="474"/>
      <c r="AQ47" s="474"/>
      <c r="AR47" s="474"/>
      <c r="AS47" s="474"/>
      <c r="AT47" s="474"/>
      <c r="AU47" s="474"/>
      <c r="AV47" s="474"/>
      <c r="AW47" s="474"/>
      <c r="AX47" s="474"/>
      <c r="AY47" s="474"/>
      <c r="AZ47" s="474"/>
      <c r="BA47" s="474"/>
      <c r="BB47" s="474"/>
      <c r="BC47" s="474"/>
      <c r="BD47" s="474"/>
      <c r="BE47" s="474"/>
      <c r="BF47" s="474"/>
      <c r="BG47" s="474"/>
      <c r="BH47" s="474"/>
      <c r="BI47" s="474"/>
      <c r="BJ47" s="474"/>
    </row>
    <row r="48" spans="2:65" s="123" customFormat="1">
      <c r="B48" s="123" t="s">
        <v>164</v>
      </c>
      <c r="C48" s="471">
        <v>0</v>
      </c>
      <c r="D48" s="471">
        <f t="shared" ref="D48:D51" si="227">E48-C48</f>
        <v>-48.5</v>
      </c>
      <c r="E48" s="471">
        <v>-48.5</v>
      </c>
      <c r="F48" s="471">
        <v>-3.8</v>
      </c>
      <c r="G48" s="471">
        <f t="shared" ref="G48:G50" si="228">H48-F48</f>
        <v>-18.8</v>
      </c>
      <c r="H48" s="471">
        <f>-24.8+2.2</f>
        <v>-22.6</v>
      </c>
      <c r="I48" s="471">
        <f>I50-I49</f>
        <v>-12</v>
      </c>
      <c r="J48" s="471">
        <f t="shared" ref="J48:J51" si="229">K48-I48</f>
        <v>-4.8000000000000007</v>
      </c>
      <c r="K48" s="472">
        <f>K50-K49</f>
        <v>-16.8</v>
      </c>
      <c r="L48" s="471">
        <f>L50-L49</f>
        <v>-18</v>
      </c>
      <c r="M48" s="471">
        <f t="shared" ref="M48:M51" si="230">N48-L48</f>
        <v>18</v>
      </c>
      <c r="N48" s="471"/>
      <c r="O48" s="471"/>
      <c r="P48" s="471"/>
      <c r="Q48" s="471"/>
      <c r="R48" s="471"/>
      <c r="S48" s="471"/>
      <c r="T48" s="471"/>
      <c r="U48" s="471"/>
      <c r="V48" s="471"/>
      <c r="W48" s="484">
        <v>-11.2</v>
      </c>
      <c r="X48" s="471"/>
      <c r="Y48" s="471"/>
      <c r="Z48" s="484">
        <v>-2.8</v>
      </c>
      <c r="AA48" s="471">
        <v>-1.4</v>
      </c>
      <c r="AB48" s="471"/>
      <c r="AC48" s="484">
        <f>-3.8-11.3</f>
        <v>-15.100000000000001</v>
      </c>
      <c r="AD48" s="471"/>
      <c r="AE48" s="471"/>
      <c r="AF48" s="471"/>
      <c r="AG48" s="471"/>
      <c r="AH48" s="471"/>
      <c r="AI48" s="471"/>
      <c r="AJ48" s="471"/>
      <c r="AK48" s="471"/>
      <c r="AL48" s="471"/>
      <c r="AM48" s="471"/>
      <c r="AN48" s="471"/>
      <c r="AO48" s="471"/>
      <c r="AP48" s="471"/>
      <c r="AQ48" s="471"/>
      <c r="AR48" s="471"/>
      <c r="AS48" s="471"/>
      <c r="AT48" s="471"/>
      <c r="AU48" s="471"/>
      <c r="AV48" s="471"/>
      <c r="AW48" s="471"/>
      <c r="AX48" s="471"/>
      <c r="AY48" s="471"/>
      <c r="AZ48" s="471"/>
      <c r="BA48" s="471"/>
      <c r="BB48" s="471"/>
      <c r="BC48" s="471"/>
      <c r="BD48" s="471"/>
      <c r="BE48" s="471"/>
      <c r="BF48" s="471"/>
      <c r="BG48" s="471"/>
      <c r="BH48" s="471"/>
      <c r="BI48" s="471"/>
      <c r="BJ48" s="471"/>
    </row>
    <row r="49" spans="2:65" s="123" customFormat="1">
      <c r="B49" s="123" t="s">
        <v>165</v>
      </c>
      <c r="C49" s="471">
        <v>0</v>
      </c>
      <c r="D49" s="471">
        <f t="shared" si="227"/>
        <v>14.5</v>
      </c>
      <c r="E49" s="471">
        <v>14.5</v>
      </c>
      <c r="F49" s="491">
        <v>1.1000000000000001</v>
      </c>
      <c r="G49" s="471">
        <f t="shared" si="228"/>
        <v>6.6999999999999993</v>
      </c>
      <c r="H49" s="471">
        <v>7.8</v>
      </c>
      <c r="I49" s="471">
        <v>3.4</v>
      </c>
      <c r="J49" s="471">
        <f t="shared" si="229"/>
        <v>0.20000000000000018</v>
      </c>
      <c r="K49" s="472">
        <v>3.6</v>
      </c>
      <c r="L49" s="471">
        <v>5.3</v>
      </c>
      <c r="M49" s="471">
        <f t="shared" si="230"/>
        <v>-5.3</v>
      </c>
      <c r="N49" s="471"/>
      <c r="O49" s="471"/>
      <c r="P49" s="471"/>
      <c r="Q49" s="471"/>
      <c r="R49" s="471"/>
      <c r="S49" s="471"/>
      <c r="T49" s="471"/>
      <c r="U49" s="471"/>
      <c r="V49" s="471"/>
      <c r="W49" s="471">
        <f>W50-W48</f>
        <v>0.69999999999999929</v>
      </c>
      <c r="X49" s="471"/>
      <c r="Y49" s="471"/>
      <c r="Z49" s="471">
        <f>Z50-Z48</f>
        <v>0.79999999999999982</v>
      </c>
      <c r="AA49" s="471">
        <v>0.4</v>
      </c>
      <c r="AB49" s="471"/>
      <c r="AC49" s="471">
        <f>AC50-AC48</f>
        <v>4.5000000000000018</v>
      </c>
      <c r="AD49" s="471"/>
      <c r="AE49" s="471"/>
      <c r="AF49" s="471"/>
      <c r="AG49" s="471"/>
      <c r="AH49" s="471"/>
      <c r="AI49" s="471"/>
      <c r="AJ49" s="471"/>
      <c r="AK49" s="471"/>
      <c r="AL49" s="471"/>
      <c r="AM49" s="471"/>
      <c r="AN49" s="471"/>
      <c r="AO49" s="471"/>
      <c r="AP49" s="471"/>
      <c r="AQ49" s="471"/>
      <c r="AR49" s="471"/>
      <c r="AS49" s="471"/>
      <c r="AT49" s="471"/>
      <c r="AU49" s="471"/>
      <c r="AV49" s="471"/>
      <c r="AW49" s="471"/>
      <c r="AX49" s="471"/>
      <c r="AY49" s="471"/>
      <c r="AZ49" s="471"/>
      <c r="BA49" s="471"/>
      <c r="BB49" s="471"/>
      <c r="BC49" s="471"/>
      <c r="BD49" s="471"/>
      <c r="BE49" s="471"/>
      <c r="BF49" s="471"/>
      <c r="BG49" s="471"/>
      <c r="BH49" s="471"/>
      <c r="BI49" s="471"/>
      <c r="BJ49" s="471"/>
    </row>
    <row r="50" spans="2:65" s="123" customFormat="1">
      <c r="B50" s="123" t="s">
        <v>162</v>
      </c>
      <c r="C50" s="471">
        <v>0</v>
      </c>
      <c r="D50" s="471">
        <f t="shared" si="227"/>
        <v>-34</v>
      </c>
      <c r="E50" s="471">
        <v>-34</v>
      </c>
      <c r="F50" s="471">
        <v>-2.6999999999999997</v>
      </c>
      <c r="G50" s="471">
        <f t="shared" si="228"/>
        <v>-12.100000000000001</v>
      </c>
      <c r="H50" s="471">
        <v>-14.8</v>
      </c>
      <c r="I50" s="471">
        <v>-8.6</v>
      </c>
      <c r="J50" s="471">
        <f t="shared" si="229"/>
        <v>-4.5999999999999996</v>
      </c>
      <c r="K50" s="472">
        <v>-13.2</v>
      </c>
      <c r="L50" s="471">
        <v>-12.7</v>
      </c>
      <c r="M50" s="471">
        <f t="shared" si="230"/>
        <v>-25.3</v>
      </c>
      <c r="N50" s="471">
        <v>-38</v>
      </c>
      <c r="O50" s="471">
        <v>-2.8</v>
      </c>
      <c r="P50" s="471">
        <f>Q50-O50</f>
        <v>-3</v>
      </c>
      <c r="Q50" s="471">
        <v>-5.8</v>
      </c>
      <c r="R50" s="471">
        <v>-2</v>
      </c>
      <c r="S50" s="471">
        <f>T50-R50</f>
        <v>-0.89999999999999991</v>
      </c>
      <c r="T50" s="471">
        <v>-2.9</v>
      </c>
      <c r="U50" s="484">
        <v>-9.3000000000000007</v>
      </c>
      <c r="V50" s="471">
        <f>W50-U50</f>
        <v>-1.1999999999999993</v>
      </c>
      <c r="W50" s="484">
        <v>-10.5</v>
      </c>
      <c r="X50" s="484">
        <v>-1.8</v>
      </c>
      <c r="Y50" s="471"/>
      <c r="Z50" s="484">
        <v>-2</v>
      </c>
      <c r="AA50" s="484">
        <f>SUM(AA48:AA49)</f>
        <v>-0.99999999999999989</v>
      </c>
      <c r="AB50" s="471"/>
      <c r="AC50" s="484">
        <v>-10.6</v>
      </c>
      <c r="AD50" s="471"/>
      <c r="AE50" s="471"/>
      <c r="AF50" s="471"/>
      <c r="AG50" s="471"/>
      <c r="AH50" s="471"/>
      <c r="AI50" s="471"/>
      <c r="AJ50" s="471"/>
      <c r="AK50" s="471"/>
      <c r="AL50" s="471"/>
      <c r="AM50" s="471"/>
      <c r="AN50" s="471"/>
      <c r="AO50" s="471"/>
      <c r="AP50" s="471"/>
      <c r="AQ50" s="471"/>
      <c r="AR50" s="471"/>
      <c r="AS50" s="471"/>
      <c r="AT50" s="471"/>
      <c r="AU50" s="471"/>
      <c r="AV50" s="471"/>
      <c r="AW50" s="471"/>
      <c r="AX50" s="471"/>
      <c r="AY50" s="471"/>
      <c r="AZ50" s="471"/>
      <c r="BA50" s="471"/>
      <c r="BB50" s="471"/>
      <c r="BC50" s="471"/>
      <c r="BD50" s="471"/>
      <c r="BE50" s="471"/>
      <c r="BF50" s="471"/>
      <c r="BG50" s="471"/>
      <c r="BH50" s="471"/>
      <c r="BI50" s="471"/>
      <c r="BJ50" s="471"/>
    </row>
    <row r="51" spans="2:65" s="123" customFormat="1">
      <c r="B51" s="126" t="s">
        <v>163</v>
      </c>
      <c r="C51" s="475">
        <f>C43+C50</f>
        <v>73.8</v>
      </c>
      <c r="D51" s="475">
        <f t="shared" si="227"/>
        <v>26.699999999999946</v>
      </c>
      <c r="E51" s="475">
        <f>E43+E50</f>
        <v>100.49999999999994</v>
      </c>
      <c r="F51" s="475">
        <f>F43+F50</f>
        <v>71.499999999999986</v>
      </c>
      <c r="G51" s="475">
        <f>G43+G50</f>
        <v>55.800000000000033</v>
      </c>
      <c r="H51" s="475">
        <f>H43+H50</f>
        <v>127.30000000000003</v>
      </c>
      <c r="I51" s="475">
        <f>I43+I50</f>
        <v>71.7</v>
      </c>
      <c r="J51" s="475">
        <f t="shared" si="229"/>
        <v>67.600000000000009</v>
      </c>
      <c r="K51" s="476">
        <f>K43+K50</f>
        <v>139.30000000000001</v>
      </c>
      <c r="L51" s="475">
        <f>L43+L50</f>
        <v>57.399999999999991</v>
      </c>
      <c r="M51" s="475">
        <f t="shared" si="230"/>
        <v>52.8</v>
      </c>
      <c r="N51" s="475">
        <f>N43+N50</f>
        <v>110.19999999999999</v>
      </c>
      <c r="O51" s="475">
        <f>O43+O50</f>
        <v>172.79999999999998</v>
      </c>
      <c r="P51" s="475">
        <f>P43+P50</f>
        <v>128.20000000000002</v>
      </c>
      <c r="Q51" s="475">
        <f>Q43+Q50</f>
        <v>301</v>
      </c>
      <c r="R51" s="475">
        <f>R43+R50</f>
        <v>110.8</v>
      </c>
      <c r="S51" s="475">
        <f>T51-R51</f>
        <v>130.39999999999998</v>
      </c>
      <c r="T51" s="475">
        <f>T43+T50</f>
        <v>241.2</v>
      </c>
      <c r="U51" s="475">
        <f>U43+U50</f>
        <v>144.19999999999999</v>
      </c>
      <c r="V51" s="475">
        <f>V43+V50</f>
        <v>118.8</v>
      </c>
      <c r="W51" s="475">
        <f>W43+W50</f>
        <v>263</v>
      </c>
      <c r="X51" s="475">
        <f>X43+X50</f>
        <v>143.39999999999998</v>
      </c>
      <c r="Y51" s="475">
        <f>Z51-X51</f>
        <v>96.700000000000045</v>
      </c>
      <c r="Z51" s="475">
        <f t="shared" ref="Z51:BJ51" si="231">Z43+Z50</f>
        <v>240.10000000000002</v>
      </c>
      <c r="AA51" s="475">
        <f t="shared" si="231"/>
        <v>129.79999999999998</v>
      </c>
      <c r="AB51" s="475">
        <f>AC51-AA51</f>
        <v>92</v>
      </c>
      <c r="AC51" s="475">
        <f t="shared" si="231"/>
        <v>221.79999999999998</v>
      </c>
      <c r="AD51" s="475">
        <f t="shared" si="231"/>
        <v>131.05598632206411</v>
      </c>
      <c r="AE51" s="475">
        <f t="shared" si="231"/>
        <v>103.60155314977433</v>
      </c>
      <c r="AF51" s="475">
        <f t="shared" si="231"/>
        <v>234.65753947183845</v>
      </c>
      <c r="AG51" s="475">
        <f t="shared" si="231"/>
        <v>148.1305765022008</v>
      </c>
      <c r="AH51" s="475">
        <f t="shared" si="231"/>
        <v>127.39529762334749</v>
      </c>
      <c r="AI51" s="475">
        <f t="shared" si="231"/>
        <v>275.52587412554828</v>
      </c>
      <c r="AJ51" s="475"/>
      <c r="AK51" s="475"/>
      <c r="AL51" s="475">
        <f t="shared" si="231"/>
        <v>296.70899575194159</v>
      </c>
      <c r="AM51" s="475"/>
      <c r="AN51" s="475"/>
      <c r="AO51" s="475">
        <f t="shared" si="231"/>
        <v>315.99108489787534</v>
      </c>
      <c r="AP51" s="475"/>
      <c r="AQ51" s="475"/>
      <c r="AR51" s="475">
        <f t="shared" si="231"/>
        <v>332.4434696682639</v>
      </c>
      <c r="AS51" s="475"/>
      <c r="AT51" s="475"/>
      <c r="AU51" s="475">
        <f t="shared" si="231"/>
        <v>347.9629747662708</v>
      </c>
      <c r="AV51" s="475"/>
      <c r="AW51" s="475"/>
      <c r="AX51" s="475">
        <f t="shared" si="231"/>
        <v>362.05867730213299</v>
      </c>
      <c r="AY51" s="475"/>
      <c r="AZ51" s="475"/>
      <c r="BA51" s="475">
        <f t="shared" si="231"/>
        <v>376.74963532669415</v>
      </c>
      <c r="BB51" s="475"/>
      <c r="BC51" s="475"/>
      <c r="BD51" s="475">
        <f t="shared" si="231"/>
        <v>392.0732313696231</v>
      </c>
      <c r="BE51" s="475"/>
      <c r="BF51" s="475"/>
      <c r="BG51" s="475">
        <f t="shared" si="231"/>
        <v>408.06004450129694</v>
      </c>
      <c r="BH51" s="475"/>
      <c r="BI51" s="475"/>
      <c r="BJ51" s="475">
        <f t="shared" si="231"/>
        <v>424.74190063491898</v>
      </c>
      <c r="BM51" s="498"/>
    </row>
    <row r="52" spans="2:65" s="123" customFormat="1">
      <c r="B52" s="126"/>
      <c r="C52" s="475"/>
      <c r="D52" s="475"/>
      <c r="E52" s="475"/>
      <c r="F52" s="475"/>
      <c r="G52" s="475"/>
      <c r="H52" s="475"/>
      <c r="I52" s="475"/>
      <c r="J52" s="475"/>
      <c r="K52" s="476"/>
      <c r="L52" s="475"/>
      <c r="M52" s="475"/>
      <c r="N52" s="475"/>
      <c r="O52" s="475"/>
      <c r="P52" s="475"/>
      <c r="Q52" s="475"/>
      <c r="R52" s="475"/>
      <c r="S52" s="475"/>
      <c r="T52" s="475"/>
      <c r="U52" s="475"/>
      <c r="V52" s="475"/>
      <c r="W52" s="475"/>
      <c r="X52" s="475"/>
      <c r="Y52" s="475"/>
      <c r="Z52" s="475"/>
      <c r="AA52" s="475"/>
      <c r="AB52" s="475"/>
      <c r="AC52" s="475"/>
      <c r="AD52" s="475"/>
      <c r="AE52" s="475"/>
      <c r="AF52" s="475"/>
      <c r="AG52" s="475"/>
      <c r="AH52" s="475"/>
      <c r="AI52" s="475"/>
      <c r="AJ52" s="475"/>
      <c r="AK52" s="475"/>
      <c r="AL52" s="475"/>
      <c r="AM52" s="475"/>
      <c r="AN52" s="475"/>
      <c r="AO52" s="475"/>
      <c r="AP52" s="475"/>
      <c r="AQ52" s="475"/>
      <c r="AR52" s="475"/>
      <c r="AS52" s="475"/>
      <c r="AT52" s="475"/>
      <c r="AU52" s="475"/>
      <c r="AV52" s="475"/>
      <c r="AW52" s="475"/>
      <c r="AX52" s="475"/>
      <c r="AY52" s="475"/>
      <c r="AZ52" s="475"/>
      <c r="BA52" s="475"/>
      <c r="BB52" s="475"/>
      <c r="BC52" s="475"/>
      <c r="BD52" s="475"/>
      <c r="BE52" s="475"/>
      <c r="BF52" s="475"/>
      <c r="BG52" s="475"/>
      <c r="BH52" s="475"/>
      <c r="BI52" s="475"/>
      <c r="BJ52" s="475"/>
      <c r="BM52" s="498"/>
    </row>
    <row r="53" spans="2:65" s="123" customFormat="1">
      <c r="B53" s="216" t="s">
        <v>1064</v>
      </c>
      <c r="C53" s="1318"/>
      <c r="D53" s="1318"/>
      <c r="E53" s="1318"/>
      <c r="F53" s="1318"/>
      <c r="G53" s="1318"/>
      <c r="H53" s="1318"/>
      <c r="I53" s="1318"/>
      <c r="J53" s="1318"/>
      <c r="K53" s="1319"/>
      <c r="L53" s="1318"/>
      <c r="M53" s="1318"/>
      <c r="N53" s="1318"/>
      <c r="O53" s="1318"/>
      <c r="P53" s="1318"/>
      <c r="Q53" s="1318"/>
      <c r="R53" s="1318"/>
      <c r="S53" s="1318"/>
      <c r="T53" s="1318"/>
      <c r="U53" s="1318"/>
      <c r="V53" s="1318"/>
      <c r="W53" s="1318"/>
      <c r="X53" s="1318"/>
      <c r="Y53" s="1318"/>
      <c r="Z53" s="1318"/>
      <c r="AA53" s="1318"/>
      <c r="AB53" s="1318"/>
      <c r="AC53" s="1318"/>
      <c r="AD53" s="1318"/>
      <c r="AE53" s="1318"/>
      <c r="AF53" s="1318"/>
      <c r="AG53" s="1318"/>
      <c r="AH53" s="1318"/>
      <c r="AI53" s="1318"/>
      <c r="AJ53" s="1318"/>
      <c r="AK53" s="1318"/>
      <c r="AL53" s="1318"/>
      <c r="AM53" s="1318"/>
      <c r="AN53" s="1318"/>
      <c r="AO53" s="1318"/>
      <c r="AP53" s="1318"/>
      <c r="AQ53" s="1318"/>
      <c r="AR53" s="1318"/>
      <c r="AS53" s="1318"/>
      <c r="AT53" s="1318"/>
      <c r="AU53" s="1318"/>
      <c r="AV53" s="1318"/>
      <c r="AW53" s="1318"/>
      <c r="AX53" s="1318"/>
      <c r="AY53" s="1318"/>
      <c r="AZ53" s="1318"/>
      <c r="BA53" s="1318"/>
      <c r="BB53" s="1318"/>
      <c r="BC53" s="1318"/>
      <c r="BD53" s="1318"/>
      <c r="BE53" s="1318"/>
      <c r="BF53" s="1318"/>
      <c r="BG53" s="1318"/>
      <c r="BH53" s="1318"/>
      <c r="BI53" s="1318"/>
      <c r="BJ53" s="1318"/>
      <c r="BM53" s="498"/>
    </row>
    <row r="54" spans="2:65">
      <c r="B54" s="122" t="s">
        <v>99</v>
      </c>
      <c r="C54" s="530">
        <v>0.57486631016042777</v>
      </c>
      <c r="D54" s="530"/>
      <c r="E54" s="530">
        <f t="shared" ref="E54:AA54" si="232">E55/E43</f>
        <v>0.68559891791821592</v>
      </c>
      <c r="F54" s="530">
        <f t="shared" si="232"/>
        <v>0.57151757816711601</v>
      </c>
      <c r="G54" s="530">
        <f t="shared" si="232"/>
        <v>0.80601794072164912</v>
      </c>
      <c r="H54" s="530">
        <f t="shared" si="232"/>
        <v>0.68625226551724128</v>
      </c>
      <c r="I54" s="530">
        <f t="shared" si="232"/>
        <v>0.53304209013075976</v>
      </c>
      <c r="J54" s="530">
        <f t="shared" si="232"/>
        <v>0.78615491842105256</v>
      </c>
      <c r="K54" s="531">
        <f t="shared" si="232"/>
        <v>0.65298113442622951</v>
      </c>
      <c r="L54" s="530">
        <f t="shared" si="232"/>
        <v>0</v>
      </c>
      <c r="M54" s="530">
        <f t="shared" si="232"/>
        <v>0.54854100979513454</v>
      </c>
      <c r="N54" s="530">
        <f t="shared" si="232"/>
        <v>0.26220268157894733</v>
      </c>
      <c r="O54" s="530">
        <f t="shared" si="232"/>
        <v>0.42780354703872442</v>
      </c>
      <c r="P54" s="530">
        <f t="shared" si="232"/>
        <v>0.95568984466463391</v>
      </c>
      <c r="Q54" s="530">
        <f t="shared" si="232"/>
        <v>0.65354892594524117</v>
      </c>
      <c r="R54" s="530">
        <f t="shared" si="232"/>
        <v>0.54538784281914898</v>
      </c>
      <c r="S54" s="530">
        <f t="shared" si="232"/>
        <v>0.74638032467631366</v>
      </c>
      <c r="T54" s="530">
        <f t="shared" si="232"/>
        <v>0.65350055428103226</v>
      </c>
      <c r="U54" s="530">
        <f t="shared" si="232"/>
        <v>0.50476151700325733</v>
      </c>
      <c r="V54" s="530">
        <f t="shared" si="232"/>
        <v>1.3100696361666668</v>
      </c>
      <c r="W54" s="530">
        <f t="shared" si="232"/>
        <v>0.85809597513711156</v>
      </c>
      <c r="X54" s="530">
        <f t="shared" si="232"/>
        <v>0.50215678236914607</v>
      </c>
      <c r="Y54" s="530">
        <f t="shared" si="232"/>
        <v>2.0439035589267274</v>
      </c>
      <c r="Z54" s="530">
        <f t="shared" si="232"/>
        <v>1.1192375863692687</v>
      </c>
      <c r="AA54" s="530">
        <f t="shared" si="232"/>
        <v>0.55707330642201847</v>
      </c>
      <c r="AB54" s="530">
        <f t="shared" ref="AB54" si="233">AB55/AB43</f>
        <v>1.4334949039370082</v>
      </c>
      <c r="AC54" s="530">
        <f>AC55/AC43</f>
        <v>0.9402249170395871</v>
      </c>
      <c r="AD54" s="532">
        <v>0.65</v>
      </c>
      <c r="AE54" s="532">
        <v>0.65</v>
      </c>
      <c r="AF54" s="532">
        <v>0.65</v>
      </c>
      <c r="AG54" s="532">
        <v>0.65</v>
      </c>
      <c r="AH54" s="532">
        <v>0.65</v>
      </c>
      <c r="AI54" s="532">
        <v>0.65</v>
      </c>
      <c r="AJ54" s="532"/>
      <c r="AK54" s="532"/>
      <c r="AL54" s="532">
        <v>0.65</v>
      </c>
      <c r="AM54" s="532"/>
      <c r="AN54" s="532"/>
      <c r="AO54" s="532">
        <v>0.65</v>
      </c>
      <c r="AP54" s="532"/>
      <c r="AQ54" s="532"/>
      <c r="AR54" s="532">
        <v>0.65</v>
      </c>
      <c r="AS54" s="532"/>
      <c r="AT54" s="532"/>
      <c r="AU54" s="532">
        <v>0.65</v>
      </c>
      <c r="AV54" s="532"/>
      <c r="AW54" s="532"/>
      <c r="AX54" s="532">
        <v>0.65</v>
      </c>
      <c r="AY54" s="532"/>
      <c r="AZ54" s="532"/>
      <c r="BA54" s="532">
        <v>0.65</v>
      </c>
      <c r="BB54" s="532"/>
      <c r="BC54" s="532"/>
      <c r="BD54" s="532">
        <v>0.65</v>
      </c>
      <c r="BE54" s="532"/>
      <c r="BF54" s="532"/>
      <c r="BG54" s="532">
        <v>0.65</v>
      </c>
      <c r="BH54" s="532"/>
      <c r="BI54" s="532"/>
      <c r="BJ54" s="532">
        <v>0.65</v>
      </c>
    </row>
    <row r="55" spans="2:65">
      <c r="B55" s="122" t="s">
        <v>98</v>
      </c>
      <c r="C55" s="471">
        <v>42.425133689839569</v>
      </c>
      <c r="D55" s="471"/>
      <c r="E55" s="471">
        <f>(E91+E92)*MODEL!E88/100</f>
        <v>92.213054460000009</v>
      </c>
      <c r="F55" s="471">
        <f>(F91+F92)*MODEL!F88/100</f>
        <v>42.406604299999998</v>
      </c>
      <c r="G55" s="471">
        <f>(G91+G92)*MODEL!G88/100</f>
        <v>54.728618175000001</v>
      </c>
      <c r="H55" s="471">
        <f>(H91+H92)*MODEL!H88/100</f>
        <v>97.516446930000001</v>
      </c>
      <c r="I55" s="471">
        <f>(I91+I92)*MODEL!I88/100</f>
        <v>42.803279837500007</v>
      </c>
      <c r="J55" s="471">
        <f>(J91+J92)*MODEL!J88/100</f>
        <v>56.760385109999994</v>
      </c>
      <c r="K55" s="472">
        <f>(K91+K92)*MODEL!K88/100</f>
        <v>99.579622999999998</v>
      </c>
      <c r="L55" s="471">
        <f>(L91+L92)*MODEL!L88/100</f>
        <v>0</v>
      </c>
      <c r="M55" s="471">
        <f>(M91+M92)*MODEL!M86/100</f>
        <v>42.841052865000002</v>
      </c>
      <c r="N55" s="471">
        <f>(N91+N92)*MODEL!N88/100</f>
        <v>38.858437409999993</v>
      </c>
      <c r="O55" s="471">
        <f>(O91+O92)*MODEL!O88/100</f>
        <v>75.122302860000005</v>
      </c>
      <c r="P55" s="471">
        <f>Q55-O55</f>
        <v>125.38650761999999</v>
      </c>
      <c r="Q55" s="471">
        <f>(Q91+Q92)*MODEL!Q88/100</f>
        <v>200.50881047999999</v>
      </c>
      <c r="R55" s="471">
        <f>(R91+R92)*MODEL!R88/100</f>
        <v>61.519748669999998</v>
      </c>
      <c r="S55" s="471">
        <f>T55-R55</f>
        <v>97.999736629999987</v>
      </c>
      <c r="T55" s="471">
        <f>(T91+T92)*MODEL!T88/100</f>
        <v>159.51948529999999</v>
      </c>
      <c r="U55" s="471">
        <f>(U91+U92)*MODEL!U88/100</f>
        <v>77.480892859999997</v>
      </c>
      <c r="V55" s="471">
        <f>W55-U55</f>
        <v>157.20835634000002</v>
      </c>
      <c r="W55" s="471">
        <f>(W91+W92)*MODEL!W88/100</f>
        <v>234.68924920000001</v>
      </c>
      <c r="X55" s="471">
        <f>(X91+X92)*MODEL!X88/100</f>
        <v>72.913164800000004</v>
      </c>
      <c r="Y55" s="471">
        <f>Z55-X55</f>
        <v>198.05425485999996</v>
      </c>
      <c r="Z55" s="471">
        <f>(Z91+Z92)*MODEL!Z88/100</f>
        <v>270.96741965999996</v>
      </c>
      <c r="AA55" s="471">
        <f>(AA91+AA92)*MODEL!AA88/100</f>
        <v>72.86518848</v>
      </c>
      <c r="AB55" s="471">
        <f>AC55-AA55</f>
        <v>145.64308224000001</v>
      </c>
      <c r="AC55" s="471">
        <f>(AC91+AC92)*MODEL!AC88/100</f>
        <v>218.50827072000001</v>
      </c>
      <c r="AD55" s="471">
        <f>AD54*AD51</f>
        <v>85.186391109341685</v>
      </c>
      <c r="AE55" s="471">
        <f>AF55-AD55</f>
        <v>67.341009547353309</v>
      </c>
      <c r="AF55" s="471">
        <f>AF54*AF51</f>
        <v>152.52740065669499</v>
      </c>
      <c r="AG55" s="471">
        <f>AG54*AG51</f>
        <v>96.284874726430516</v>
      </c>
      <c r="AH55" s="471">
        <f>AI55-AG55</f>
        <v>82.806943455175869</v>
      </c>
      <c r="AI55" s="471">
        <f>AI54*AI51</f>
        <v>179.09181818160638</v>
      </c>
      <c r="AJ55" s="471"/>
      <c r="AK55" s="471"/>
      <c r="AL55" s="471">
        <f>AL54*AL51</f>
        <v>192.86084723876203</v>
      </c>
      <c r="AM55" s="471"/>
      <c r="AN55" s="471"/>
      <c r="AO55" s="471">
        <f>AO54*AO51</f>
        <v>205.39420518361896</v>
      </c>
      <c r="AP55" s="471"/>
      <c r="AQ55" s="471"/>
      <c r="AR55" s="471">
        <f>AR54*AR51</f>
        <v>216.08825528437154</v>
      </c>
      <c r="AS55" s="471"/>
      <c r="AT55" s="471"/>
      <c r="AU55" s="471">
        <f>AU54*AU51</f>
        <v>226.17593359807603</v>
      </c>
      <c r="AV55" s="471"/>
      <c r="AW55" s="471"/>
      <c r="AX55" s="471">
        <f>AX54*AX51</f>
        <v>235.33814024638644</v>
      </c>
      <c r="AY55" s="471"/>
      <c r="AZ55" s="471"/>
      <c r="BA55" s="471">
        <f>BA54*BA51</f>
        <v>244.8872629623512</v>
      </c>
      <c r="BB55" s="471"/>
      <c r="BC55" s="471"/>
      <c r="BD55" s="471">
        <f>BD54*BD51</f>
        <v>254.84760039025502</v>
      </c>
      <c r="BE55" s="471"/>
      <c r="BF55" s="471"/>
      <c r="BG55" s="471">
        <f>BG54*BG51</f>
        <v>265.239028925843</v>
      </c>
      <c r="BH55" s="471"/>
      <c r="BI55" s="471"/>
      <c r="BJ55" s="471">
        <f>BJ54*BJ51</f>
        <v>276.08223541269734</v>
      </c>
    </row>
    <row r="56" spans="2:65">
      <c r="B56" s="122" t="s">
        <v>124</v>
      </c>
      <c r="C56" s="480">
        <v>21.5</v>
      </c>
      <c r="D56" s="480">
        <v>25</v>
      </c>
      <c r="E56" s="480">
        <f>MODEL!E91+MODEL!E92</f>
        <v>46.5</v>
      </c>
      <c r="F56" s="480">
        <f>MODEL!F91+MODEL!F92</f>
        <v>21.5</v>
      </c>
      <c r="G56" s="480">
        <f>MODEL!G92</f>
        <v>27.5</v>
      </c>
      <c r="H56" s="480">
        <f>MODEL!H91+MODEL!H92</f>
        <v>49</v>
      </c>
      <c r="I56" s="480">
        <f>MODEL!I91+MODEL!I92</f>
        <v>21.5</v>
      </c>
      <c r="J56" s="480">
        <f>MODEL!J92</f>
        <v>28.5</v>
      </c>
      <c r="K56" s="481">
        <f>MODEL!K91+MODEL!K92</f>
        <v>50</v>
      </c>
      <c r="L56" s="480">
        <f>MODEL!L91+MODEL!L92</f>
        <v>0</v>
      </c>
      <c r="M56" s="480">
        <f>MODEL!M92</f>
        <v>19.5</v>
      </c>
      <c r="N56" s="480">
        <f>MODEL!N91+MODEL!N92</f>
        <v>19.5</v>
      </c>
      <c r="O56" s="480">
        <f>MODEL!O91+MODEL!O92</f>
        <v>33</v>
      </c>
      <c r="P56" s="480">
        <f>MODEL!P92</f>
        <v>55</v>
      </c>
      <c r="Q56" s="480">
        <f>MODEL!Q91+MODEL!Q92</f>
        <v>88</v>
      </c>
      <c r="R56" s="480">
        <f>MODEL!R91+MODEL!R92</f>
        <v>27</v>
      </c>
      <c r="S56" s="480">
        <f>MODEL!S92</f>
        <v>43</v>
      </c>
      <c r="T56" s="480">
        <f>MODEL!T91+MODEL!T92</f>
        <v>70</v>
      </c>
      <c r="U56" s="480">
        <f>MODEL!U91+MODEL!U92</f>
        <v>34</v>
      </c>
      <c r="V56" s="480">
        <f>MODEL!V92</f>
        <v>69</v>
      </c>
      <c r="W56" s="480">
        <f>MODEL!W91+MODEL!W92</f>
        <v>103</v>
      </c>
      <c r="X56" s="480">
        <f>MODEL!X91+MODEL!X92</f>
        <v>32</v>
      </c>
      <c r="Y56" s="480">
        <f>MODEL!Y92</f>
        <v>87</v>
      </c>
      <c r="Z56" s="480">
        <f>MODEL!Z91+MODEL!Z92</f>
        <v>119</v>
      </c>
      <c r="AA56" s="480">
        <f>MODEL!AA91+MODEL!AA92</f>
        <v>32</v>
      </c>
      <c r="AB56" s="480">
        <f>MODEL!AB92</f>
        <v>64</v>
      </c>
      <c r="AC56" s="480">
        <f>MODEL!AC91+MODEL!AC92</f>
        <v>96</v>
      </c>
      <c r="AD56" s="480">
        <f>MODEL!AD91+MODEL!AD92</f>
        <v>37.426013759342254</v>
      </c>
      <c r="AE56" s="480">
        <f>MODEL!AE92</f>
        <v>45.01179051389785</v>
      </c>
      <c r="AF56" s="480">
        <f>MODEL!AF91+MODEL!AF92</f>
        <v>67.01179051389785</v>
      </c>
      <c r="AG56" s="480">
        <f>MODEL!AG91+MODEL!AG92</f>
        <v>42.302050825260991</v>
      </c>
      <c r="AH56" s="480">
        <f>MODEL!AH92</f>
        <v>52.682671776142328</v>
      </c>
      <c r="AI56" s="480">
        <f>MODEL!AI91+MODEL!AI92</f>
        <v>78.682671776142328</v>
      </c>
      <c r="AJ56" s="480"/>
      <c r="AK56" s="480"/>
      <c r="AL56" s="480">
        <f>MODEL!AL91+MODEL!AL92</f>
        <v>84.7319933195852</v>
      </c>
      <c r="AM56" s="480"/>
      <c r="AN56" s="480"/>
      <c r="AO56" s="480">
        <f>MODEL!AO91+MODEL!AO92</f>
        <v>90.238431857319398</v>
      </c>
      <c r="AP56" s="480"/>
      <c r="AQ56" s="480"/>
      <c r="AR56" s="480">
        <f>MODEL!AR91+MODEL!AR92</f>
        <v>94.936784035428872</v>
      </c>
      <c r="AS56" s="480"/>
      <c r="AT56" s="480"/>
      <c r="AU56" s="480">
        <f>MODEL!AU91+MODEL!AU92</f>
        <v>99.368731233238037</v>
      </c>
      <c r="AV56" s="480"/>
      <c r="AW56" s="480"/>
      <c r="AX56" s="480">
        <f>MODEL!AX91+MODEL!AX92</f>
        <v>103.39407926853002</v>
      </c>
      <c r="AY56" s="480"/>
      <c r="AZ56" s="480"/>
      <c r="BA56" s="480">
        <f>MODEL!BA91+MODEL!BA92</f>
        <v>107.58941602952299</v>
      </c>
      <c r="BB56" s="480"/>
      <c r="BC56" s="480"/>
      <c r="BD56" s="480">
        <f>MODEL!BD91+MODEL!BD92</f>
        <v>111.96541694668755</v>
      </c>
      <c r="BE56" s="480"/>
      <c r="BF56" s="480"/>
      <c r="BG56" s="480">
        <f>MODEL!BG91+MODEL!BG92</f>
        <v>116.53081456815681</v>
      </c>
      <c r="BH56" s="480"/>
      <c r="BI56" s="480"/>
      <c r="BJ56" s="480">
        <f>MODEL!BJ91+MODEL!BJ92</f>
        <v>121.29469750635415</v>
      </c>
    </row>
    <row r="57" spans="2:65">
      <c r="B57" s="122" t="s">
        <v>125</v>
      </c>
      <c r="C57" s="533">
        <v>1</v>
      </c>
      <c r="D57" s="533">
        <v>1</v>
      </c>
      <c r="E57" s="544">
        <v>1</v>
      </c>
      <c r="F57" s="533">
        <v>1</v>
      </c>
      <c r="G57" s="533">
        <v>1</v>
      </c>
      <c r="H57" s="544">
        <v>1</v>
      </c>
      <c r="I57" s="533">
        <v>1</v>
      </c>
      <c r="J57" s="533">
        <v>1</v>
      </c>
      <c r="K57" s="545">
        <v>1</v>
      </c>
      <c r="L57" s="533">
        <v>1</v>
      </c>
      <c r="M57" s="533">
        <v>1</v>
      </c>
      <c r="N57" s="544">
        <v>1</v>
      </c>
      <c r="O57" s="533">
        <v>1</v>
      </c>
      <c r="P57" s="533">
        <v>1</v>
      </c>
      <c r="Q57" s="544">
        <v>1</v>
      </c>
      <c r="R57" s="533">
        <v>1</v>
      </c>
      <c r="S57" s="533">
        <v>1</v>
      </c>
      <c r="T57" s="544">
        <v>1</v>
      </c>
      <c r="U57" s="533">
        <v>1</v>
      </c>
      <c r="V57" s="533">
        <v>1</v>
      </c>
      <c r="W57" s="544">
        <v>1</v>
      </c>
      <c r="X57" s="544">
        <v>1</v>
      </c>
      <c r="Y57" s="544">
        <v>1</v>
      </c>
      <c r="Z57" s="544">
        <v>1</v>
      </c>
      <c r="AA57" s="544">
        <v>1</v>
      </c>
      <c r="AB57" s="544">
        <v>1</v>
      </c>
      <c r="AC57" s="544">
        <v>1</v>
      </c>
      <c r="AD57" s="1315">
        <v>1</v>
      </c>
      <c r="AE57" s="1315">
        <v>1</v>
      </c>
      <c r="AF57" s="1314">
        <f>AC57</f>
        <v>1</v>
      </c>
      <c r="AG57" s="1315">
        <v>1</v>
      </c>
      <c r="AH57" s="1315">
        <v>1</v>
      </c>
      <c r="AI57" s="1314">
        <f>AF57</f>
        <v>1</v>
      </c>
      <c r="AJ57" s="1314"/>
      <c r="AK57" s="1314"/>
      <c r="AL57" s="1314">
        <f>AI57</f>
        <v>1</v>
      </c>
      <c r="AM57" s="1314"/>
      <c r="AN57" s="1314"/>
      <c r="AO57" s="1314">
        <f>AL57</f>
        <v>1</v>
      </c>
      <c r="AP57" s="1314"/>
      <c r="AQ57" s="1314"/>
      <c r="AR57" s="1314">
        <f>AO57</f>
        <v>1</v>
      </c>
      <c r="AS57" s="1314"/>
      <c r="AT57" s="1314"/>
      <c r="AU57" s="1314">
        <f>AR57</f>
        <v>1</v>
      </c>
      <c r="AV57" s="1314"/>
      <c r="AW57" s="1314"/>
      <c r="AX57" s="1314">
        <f>AU57</f>
        <v>1</v>
      </c>
      <c r="AY57" s="1314"/>
      <c r="AZ57" s="1314"/>
      <c r="BA57" s="1314">
        <f>AX57</f>
        <v>1</v>
      </c>
      <c r="BB57" s="1314"/>
      <c r="BC57" s="1314"/>
      <c r="BD57" s="1314">
        <f>BA57</f>
        <v>1</v>
      </c>
      <c r="BE57" s="1314"/>
      <c r="BF57" s="1314"/>
      <c r="BG57" s="1314">
        <f>BD57</f>
        <v>1</v>
      </c>
      <c r="BH57" s="1314"/>
      <c r="BI57" s="1314"/>
      <c r="BJ57" s="1314">
        <f t="shared" ref="BJ57" si="234">BG57</f>
        <v>1</v>
      </c>
    </row>
    <row r="58" spans="2:65">
      <c r="C58" s="519"/>
      <c r="D58" s="519"/>
      <c r="E58" s="519"/>
      <c r="F58" s="519"/>
      <c r="G58" s="519"/>
      <c r="H58" s="519"/>
      <c r="I58" s="519"/>
      <c r="J58" s="519"/>
      <c r="K58" s="520"/>
      <c r="L58" s="519"/>
      <c r="M58" s="519"/>
      <c r="N58" s="517"/>
      <c r="O58" s="519"/>
      <c r="P58" s="473"/>
      <c r="Q58" s="517"/>
      <c r="R58" s="519"/>
      <c r="S58" s="519"/>
      <c r="T58" s="517"/>
      <c r="U58" s="519"/>
      <c r="V58" s="519"/>
      <c r="W58" s="517"/>
      <c r="X58" s="519"/>
      <c r="Y58" s="519"/>
      <c r="Z58" s="517"/>
      <c r="AA58" s="519"/>
      <c r="AB58" s="519"/>
      <c r="AC58" s="517"/>
      <c r="AD58" s="519"/>
      <c r="AE58" s="519"/>
      <c r="AF58" s="517"/>
      <c r="AG58" s="519"/>
      <c r="AH58" s="519"/>
      <c r="AI58" s="517"/>
      <c r="AJ58" s="517"/>
      <c r="AK58" s="517"/>
      <c r="AL58" s="517"/>
      <c r="AM58" s="517"/>
      <c r="AN58" s="517"/>
      <c r="AO58" s="517"/>
      <c r="AP58" s="517"/>
      <c r="AQ58" s="517"/>
      <c r="AR58" s="517"/>
      <c r="AS58" s="517"/>
      <c r="AT58" s="517"/>
      <c r="AU58" s="517"/>
      <c r="AV58" s="517"/>
      <c r="AW58" s="517"/>
      <c r="AX58" s="517"/>
      <c r="AY58" s="517"/>
      <c r="AZ58" s="517"/>
      <c r="BA58" s="517"/>
      <c r="BB58" s="517"/>
      <c r="BC58" s="517"/>
      <c r="BD58" s="517"/>
      <c r="BE58" s="517"/>
      <c r="BF58" s="517"/>
      <c r="BG58" s="517"/>
      <c r="BH58" s="517"/>
      <c r="BI58" s="517"/>
      <c r="BJ58" s="517"/>
    </row>
    <row r="59" spans="2:65">
      <c r="B59" s="122" t="s">
        <v>101</v>
      </c>
      <c r="C59" s="534">
        <f t="shared" ref="C59:T59" si="235">C41/C39</f>
        <v>-0.31008482563619222</v>
      </c>
      <c r="D59" s="534">
        <f t="shared" si="235"/>
        <v>-0.28909952606635136</v>
      </c>
      <c r="E59" s="534">
        <f t="shared" si="235"/>
        <v>-0.30078740157480338</v>
      </c>
      <c r="F59" s="534">
        <f t="shared" si="235"/>
        <v>-0.3013307984790875</v>
      </c>
      <c r="G59" s="534">
        <f t="shared" si="235"/>
        <v>-0.2846560846560845</v>
      </c>
      <c r="H59" s="534">
        <f t="shared" si="235"/>
        <v>-0.29344016024036051</v>
      </c>
      <c r="I59" s="534">
        <f t="shared" si="235"/>
        <v>-0.28367528991971452</v>
      </c>
      <c r="J59" s="534">
        <f t="shared" si="235"/>
        <v>-0.21498371335504884</v>
      </c>
      <c r="K59" s="535">
        <f t="shared" si="235"/>
        <v>-0.25269343780607245</v>
      </c>
      <c r="L59" s="534">
        <f t="shared" si="235"/>
        <v>-0.30039920159680639</v>
      </c>
      <c r="M59" s="534">
        <f t="shared" si="235"/>
        <v>-0.28805834092980875</v>
      </c>
      <c r="N59" s="534">
        <f t="shared" si="235"/>
        <v>-0.29394949976179141</v>
      </c>
      <c r="O59" s="534">
        <f t="shared" si="235"/>
        <v>-0.29984051036682613</v>
      </c>
      <c r="P59" s="534">
        <f t="shared" si="235"/>
        <v>-0.29081081081081084</v>
      </c>
      <c r="Q59" s="534">
        <f t="shared" si="235"/>
        <v>-0.29600734281780633</v>
      </c>
      <c r="R59" s="534">
        <f t="shared" si="235"/>
        <v>-0.29937888198757767</v>
      </c>
      <c r="S59" s="534">
        <f t="shared" si="235"/>
        <v>-0.30381760339342534</v>
      </c>
      <c r="T59" s="534">
        <f t="shared" si="235"/>
        <v>-0.30177345537757444</v>
      </c>
      <c r="U59" s="534">
        <f>T59</f>
        <v>-0.30177345537757444</v>
      </c>
      <c r="V59" s="534">
        <f>U59</f>
        <v>-0.30177345537757444</v>
      </c>
      <c r="W59" s="534">
        <f>W41/W39</f>
        <v>-0.29979518689196105</v>
      </c>
      <c r="X59" s="534">
        <f>X41/X39</f>
        <v>-0.29641379181387156</v>
      </c>
      <c r="Y59" s="534">
        <f>X59</f>
        <v>-0.29641379181387156</v>
      </c>
      <c r="Z59" s="534">
        <f>Z41/Z39</f>
        <v>-0.29334500875656738</v>
      </c>
      <c r="AA59" s="534">
        <f>AA41/AA39</f>
        <v>-0.29601722282023685</v>
      </c>
      <c r="AB59" s="534">
        <f>AB41/AB39</f>
        <v>-0.29247910863509752</v>
      </c>
      <c r="AC59" s="534">
        <f>AC41/AC39</f>
        <v>-0.29447480267152398</v>
      </c>
      <c r="AD59" s="802">
        <f>AC59</f>
        <v>-0.29447480267152398</v>
      </c>
      <c r="AE59" s="802">
        <f>AD59</f>
        <v>-0.29447480267152398</v>
      </c>
      <c r="AF59" s="802">
        <f>AC59</f>
        <v>-0.29447480267152398</v>
      </c>
      <c r="AG59" s="802">
        <f>AF59</f>
        <v>-0.29447480267152398</v>
      </c>
      <c r="AH59" s="802">
        <f>AG59</f>
        <v>-0.29447480267152398</v>
      </c>
      <c r="AI59" s="802">
        <f>AF59</f>
        <v>-0.29447480267152398</v>
      </c>
      <c r="AJ59" s="802"/>
      <c r="AK59" s="802"/>
      <c r="AL59" s="802">
        <f>AI59</f>
        <v>-0.29447480267152398</v>
      </c>
      <c r="AM59" s="802"/>
      <c r="AN59" s="802"/>
      <c r="AO59" s="802">
        <f>AL59</f>
        <v>-0.29447480267152398</v>
      </c>
      <c r="AP59" s="802"/>
      <c r="AQ59" s="802"/>
      <c r="AR59" s="802">
        <f>AO59</f>
        <v>-0.29447480267152398</v>
      </c>
      <c r="AS59" s="802"/>
      <c r="AT59" s="802"/>
      <c r="AU59" s="802">
        <f>AR59</f>
        <v>-0.29447480267152398</v>
      </c>
      <c r="AV59" s="802"/>
      <c r="AW59" s="802"/>
      <c r="AX59" s="802">
        <f>AU59</f>
        <v>-0.29447480267152398</v>
      </c>
      <c r="AY59" s="802"/>
      <c r="AZ59" s="802"/>
      <c r="BA59" s="802">
        <f>AX59</f>
        <v>-0.29447480267152398</v>
      </c>
      <c r="BB59" s="802"/>
      <c r="BC59" s="802"/>
      <c r="BD59" s="802">
        <f>BA59</f>
        <v>-0.29447480267152398</v>
      </c>
      <c r="BE59" s="802"/>
      <c r="BF59" s="802"/>
      <c r="BG59" s="802">
        <f>BD59</f>
        <v>-0.29447480267152398</v>
      </c>
      <c r="BH59" s="802"/>
      <c r="BI59" s="802"/>
      <c r="BJ59" s="802">
        <f t="shared" ref="BJ59" si="236">BG59</f>
        <v>-0.29447480267152398</v>
      </c>
    </row>
    <row r="60" spans="2:65">
      <c r="B60" s="125"/>
      <c r="C60" s="536"/>
      <c r="D60" s="536"/>
      <c r="E60" s="537"/>
      <c r="F60" s="536"/>
      <c r="G60" s="536"/>
      <c r="H60" s="537"/>
      <c r="I60" s="536"/>
      <c r="J60" s="536"/>
      <c r="K60" s="538"/>
      <c r="L60" s="536"/>
      <c r="M60" s="536"/>
      <c r="N60" s="537"/>
      <c r="O60" s="536"/>
      <c r="P60" s="536"/>
      <c r="Q60" s="537"/>
      <c r="R60" s="536"/>
      <c r="S60" s="536"/>
      <c r="T60" s="482"/>
      <c r="U60" s="482"/>
      <c r="V60" s="482"/>
      <c r="W60" s="482"/>
      <c r="X60" s="482"/>
      <c r="Y60" s="482"/>
      <c r="Z60" s="482"/>
      <c r="AA60" s="482"/>
      <c r="AB60" s="482"/>
      <c r="AC60" s="482"/>
      <c r="AD60" s="482"/>
      <c r="AE60" s="482"/>
      <c r="AF60" s="537"/>
      <c r="AG60" s="482"/>
      <c r="AH60" s="482"/>
      <c r="AI60" s="537"/>
      <c r="AJ60" s="537"/>
      <c r="AK60" s="537"/>
      <c r="AL60" s="537"/>
      <c r="AM60" s="537"/>
      <c r="AN60" s="537"/>
      <c r="AO60" s="537"/>
      <c r="AP60" s="537"/>
      <c r="AQ60" s="537"/>
      <c r="AR60" s="537"/>
      <c r="AS60" s="537"/>
      <c r="AT60" s="537"/>
      <c r="AU60" s="537"/>
      <c r="AV60" s="537"/>
      <c r="AW60" s="537"/>
      <c r="AX60" s="537"/>
      <c r="AY60" s="537"/>
      <c r="AZ60" s="537"/>
      <c r="BA60" s="537"/>
      <c r="BB60" s="537"/>
      <c r="BC60" s="537"/>
      <c r="BD60" s="537"/>
      <c r="BE60" s="537"/>
      <c r="BF60" s="537"/>
      <c r="BG60" s="537"/>
      <c r="BH60" s="537"/>
      <c r="BI60" s="537"/>
      <c r="BJ60" s="537"/>
    </row>
    <row r="61" spans="2:65" s="461" customFormat="1">
      <c r="B61" s="461" t="s">
        <v>870</v>
      </c>
      <c r="C61" s="539">
        <f t="shared" ref="C61:R61" si="237">(C10-C25)/C6</f>
        <v>0.32744114241605554</v>
      </c>
      <c r="D61" s="539">
        <f t="shared" si="237"/>
        <v>0.34046463603863641</v>
      </c>
      <c r="E61" s="539">
        <f t="shared" si="237"/>
        <v>0.33362076718065237</v>
      </c>
      <c r="F61" s="539">
        <f t="shared" si="237"/>
        <v>0.3339589726822545</v>
      </c>
      <c r="G61" s="539">
        <f t="shared" si="237"/>
        <v>0.33587789615282332</v>
      </c>
      <c r="H61" s="539">
        <f t="shared" si="237"/>
        <v>0.33488951136009959</v>
      </c>
      <c r="I61" s="539">
        <f t="shared" si="237"/>
        <v>0.33119749394845499</v>
      </c>
      <c r="J61" s="539">
        <f t="shared" si="237"/>
        <v>0.3401344948800244</v>
      </c>
      <c r="K61" s="540">
        <f t="shared" si="237"/>
        <v>0.33550788736547243</v>
      </c>
      <c r="L61" s="539">
        <f t="shared" si="237"/>
        <v>0.27036575228595172</v>
      </c>
      <c r="M61" s="539">
        <f t="shared" si="237"/>
        <v>0.25097698653929645</v>
      </c>
      <c r="N61" s="539">
        <f t="shared" si="237"/>
        <v>0.26088341473773619</v>
      </c>
      <c r="O61" s="539">
        <f t="shared" si="237"/>
        <v>0.24145888444869701</v>
      </c>
      <c r="P61" s="539">
        <f t="shared" si="237"/>
        <v>0.26884991648771167</v>
      </c>
      <c r="Q61" s="539">
        <f t="shared" si="237"/>
        <v>0.25475659552286345</v>
      </c>
      <c r="R61" s="539">
        <f t="shared" si="237"/>
        <v>0.27281257330518405</v>
      </c>
      <c r="S61" s="539"/>
      <c r="T61" s="539">
        <f>(T10-T25)/T6</f>
        <v>0.27003660940580121</v>
      </c>
      <c r="U61" s="539">
        <f>(U10-U31)/U6</f>
        <v>0.33874591503267981</v>
      </c>
      <c r="V61" s="539">
        <f>(V10-V31)/V6</f>
        <v>0.35821947516807628</v>
      </c>
      <c r="W61" s="539">
        <f>(W10-W31)/W6</f>
        <v>0.34819080677395603</v>
      </c>
      <c r="X61" s="539">
        <f>(X10-X31)/X6</f>
        <v>0.35176202732132245</v>
      </c>
      <c r="Y61" s="539"/>
      <c r="Z61" s="539">
        <f t="shared" ref="Z61:AI61" si="238">(Z10-Z31)/Z6</f>
        <v>0.36213557226743587</v>
      </c>
      <c r="AA61" s="539">
        <f t="shared" si="238"/>
        <v>0.35388192862566431</v>
      </c>
      <c r="AB61" s="539"/>
      <c r="AC61" s="539">
        <f t="shared" si="238"/>
        <v>0.35971434881837594</v>
      </c>
      <c r="AD61" s="539">
        <f t="shared" si="238"/>
        <v>0.35973871073341634</v>
      </c>
      <c r="AE61" s="539">
        <f t="shared" si="238"/>
        <v>0.36820005252858384</v>
      </c>
      <c r="AF61" s="539">
        <f>(AF10-AF31)/AF6</f>
        <v>0.3638564781885727</v>
      </c>
      <c r="AG61" s="539">
        <f t="shared" si="238"/>
        <v>0.35349139272299696</v>
      </c>
      <c r="AH61" s="539">
        <f t="shared" si="238"/>
        <v>0.3591793302016944</v>
      </c>
      <c r="AI61" s="539">
        <f t="shared" si="238"/>
        <v>0.35627081162848689</v>
      </c>
      <c r="AJ61" s="539"/>
      <c r="AK61" s="539"/>
      <c r="AL61" s="539">
        <f>(AL10-AL31)/AL6</f>
        <v>0.3549679537598241</v>
      </c>
      <c r="AM61" s="539"/>
      <c r="AN61" s="539"/>
      <c r="AO61" s="539">
        <f>(AO10-AO31)/AO6</f>
        <v>0.35457681374673578</v>
      </c>
      <c r="AP61" s="539"/>
      <c r="AQ61" s="539"/>
      <c r="AR61" s="539">
        <f>(AR10-AR31)/AR6</f>
        <v>0.35438125662191944</v>
      </c>
      <c r="AS61" s="539"/>
      <c r="AT61" s="539"/>
      <c r="AU61" s="539">
        <f>(AU10-AU31)/AU6</f>
        <v>0.3541904695648635</v>
      </c>
      <c r="AV61" s="539"/>
      <c r="AW61" s="539"/>
      <c r="AX61" s="539">
        <f>(AX10-AX31)/AX6</f>
        <v>0.35394848261198691</v>
      </c>
      <c r="AY61" s="539"/>
      <c r="AZ61" s="539"/>
      <c r="BA61" s="539">
        <f>(BA10-BA31)/BA6</f>
        <v>0.35370887026599568</v>
      </c>
      <c r="BB61" s="539"/>
      <c r="BC61" s="539"/>
      <c r="BD61" s="539">
        <f>(BD10-BD31)/BD6</f>
        <v>0.35347166198920027</v>
      </c>
      <c r="BE61" s="539"/>
      <c r="BF61" s="539"/>
      <c r="BG61" s="539">
        <f>(BG10-BG31)/BG6</f>
        <v>0.35323688782862755</v>
      </c>
      <c r="BH61" s="539"/>
      <c r="BI61" s="539"/>
      <c r="BJ61" s="539">
        <f>(BJ10-BJ31)/BJ6</f>
        <v>0.35300457841336519</v>
      </c>
      <c r="BK61" s="450"/>
      <c r="BL61" s="450"/>
    </row>
    <row r="62" spans="2:65" s="461" customFormat="1">
      <c r="B62" s="461" t="s">
        <v>863</v>
      </c>
      <c r="C62" s="539">
        <f t="shared" ref="C62:R62" si="239">C14/C$6</f>
        <v>-0.12566576611346972</v>
      </c>
      <c r="D62" s="539">
        <f t="shared" si="239"/>
        <v>-0.12293089479927945</v>
      </c>
      <c r="E62" s="539">
        <f t="shared" si="239"/>
        <v>-0.12436807449623327</v>
      </c>
      <c r="F62" s="539">
        <f t="shared" si="239"/>
        <v>-0.12795117943709014</v>
      </c>
      <c r="G62" s="539">
        <f t="shared" si="239"/>
        <v>-0.11488558259351983</v>
      </c>
      <c r="H62" s="539">
        <f t="shared" si="239"/>
        <v>-0.12161531279178338</v>
      </c>
      <c r="I62" s="539">
        <f t="shared" si="239"/>
        <v>-0.13370354549337893</v>
      </c>
      <c r="J62" s="539">
        <f t="shared" si="239"/>
        <v>-0.1222680727495033</v>
      </c>
      <c r="K62" s="540">
        <f t="shared" si="239"/>
        <v>-0.12818811735220406</v>
      </c>
      <c r="L62" s="539">
        <f t="shared" si="239"/>
        <v>-0.13390135771681907</v>
      </c>
      <c r="M62" s="539">
        <f t="shared" si="239"/>
        <v>-0.12874511506730352</v>
      </c>
      <c r="N62" s="539">
        <f t="shared" si="239"/>
        <v>-0.13137962766333972</v>
      </c>
      <c r="O62" s="539">
        <f t="shared" si="239"/>
        <v>-0.12089829459109586</v>
      </c>
      <c r="P62" s="539">
        <f t="shared" si="239"/>
        <v>-0.1335600095442615</v>
      </c>
      <c r="Q62" s="539">
        <f t="shared" si="239"/>
        <v>-0.1270452636761171</v>
      </c>
      <c r="R62" s="539">
        <f t="shared" si="239"/>
        <v>-0.12919305653295804</v>
      </c>
      <c r="S62" s="539"/>
      <c r="T62" s="539">
        <f>T14/T$6</f>
        <v>-0.12934384680371727</v>
      </c>
      <c r="U62" s="539">
        <f>U14/U$6</f>
        <v>-0.12285539215686274</v>
      </c>
      <c r="V62" s="539">
        <f>V14/V$6</f>
        <v>-0.12979830839297332</v>
      </c>
      <c r="W62" s="539">
        <f>W14/W$6</f>
        <v>-0.12622278321236982</v>
      </c>
      <c r="X62" s="539">
        <f>X14/X$6</f>
        <v>-0.12601465056424471</v>
      </c>
      <c r="Y62" s="539"/>
      <c r="Z62" s="539">
        <f>Z14/Z$6</f>
        <v>-0.1317605851447409</v>
      </c>
      <c r="AA62" s="539">
        <f>AA14/AA$6</f>
        <v>-0.13078967350037968</v>
      </c>
      <c r="AB62" s="539"/>
      <c r="AC62" s="539">
        <f>AC14/AC$6</f>
        <v>-0.13308302044221942</v>
      </c>
      <c r="AD62" s="1311">
        <f>AA62</f>
        <v>-0.13078967350037968</v>
      </c>
      <c r="AE62" s="1312">
        <f>AE14/AE$6</f>
        <v>-0.13961180255836056</v>
      </c>
      <c r="AF62" s="1311">
        <f>AC62-0.2%</f>
        <v>-0.13508302044221943</v>
      </c>
      <c r="AG62" s="1311">
        <f>AD62</f>
        <v>-0.13078967350037968</v>
      </c>
      <c r="AH62" s="1312">
        <f>AH14/AH$6</f>
        <v>-0.13978043148869629</v>
      </c>
      <c r="AI62" s="1311">
        <f>AF62-0.01%</f>
        <v>-0.13518302044221941</v>
      </c>
      <c r="AJ62" s="1311"/>
      <c r="AK62" s="1311"/>
      <c r="AL62" s="1311">
        <f>AI62</f>
        <v>-0.13518302044221941</v>
      </c>
      <c r="AM62" s="1311"/>
      <c r="AN62" s="1311"/>
      <c r="AO62" s="1311">
        <f>AL62</f>
        <v>-0.13518302044221941</v>
      </c>
      <c r="AP62" s="1311"/>
      <c r="AQ62" s="1311"/>
      <c r="AR62" s="1311">
        <f>AO62</f>
        <v>-0.13518302044221941</v>
      </c>
      <c r="AS62" s="1311"/>
      <c r="AT62" s="1311"/>
      <c r="AU62" s="1311">
        <f>AR62</f>
        <v>-0.13518302044221941</v>
      </c>
      <c r="AV62" s="1311"/>
      <c r="AW62" s="1311"/>
      <c r="AX62" s="1311">
        <f>AU62</f>
        <v>-0.13518302044221941</v>
      </c>
      <c r="AY62" s="1311"/>
      <c r="AZ62" s="1311"/>
      <c r="BA62" s="1311">
        <f>AX62</f>
        <v>-0.13518302044221941</v>
      </c>
      <c r="BB62" s="1311"/>
      <c r="BC62" s="1311"/>
      <c r="BD62" s="1311">
        <f>BA62</f>
        <v>-0.13518302044221941</v>
      </c>
      <c r="BE62" s="1311"/>
      <c r="BF62" s="1311"/>
      <c r="BG62" s="1311">
        <f>BD62</f>
        <v>-0.13518302044221941</v>
      </c>
      <c r="BH62" s="1311"/>
      <c r="BI62" s="1311"/>
      <c r="BJ62" s="1311">
        <f t="shared" ref="BJ62" si="240">BG62</f>
        <v>-0.13518302044221941</v>
      </c>
      <c r="BK62" s="450"/>
      <c r="BL62" s="450"/>
    </row>
    <row r="63" spans="2:65" s="461" customFormat="1">
      <c r="B63" s="461" t="s">
        <v>865</v>
      </c>
      <c r="K63" s="541"/>
      <c r="AD63" s="1323"/>
      <c r="AE63" s="1323"/>
      <c r="AF63" s="1323"/>
      <c r="AG63" s="1323"/>
      <c r="AH63" s="1323"/>
      <c r="AI63" s="1323"/>
      <c r="AJ63" s="1323"/>
      <c r="AK63" s="1323"/>
      <c r="AL63" s="1323"/>
      <c r="AM63" s="1323"/>
      <c r="AN63" s="1323"/>
      <c r="AO63" s="1323"/>
      <c r="AP63" s="1323"/>
      <c r="AQ63" s="1323"/>
      <c r="AR63" s="1323"/>
      <c r="AS63" s="1323"/>
      <c r="AT63" s="1323"/>
      <c r="AU63" s="1323"/>
      <c r="AV63" s="1323"/>
      <c r="AW63" s="1323"/>
      <c r="AX63" s="1323"/>
      <c r="AY63" s="1323"/>
      <c r="AZ63" s="1323"/>
      <c r="BA63" s="1323"/>
      <c r="BB63" s="1323"/>
      <c r="BC63" s="1323"/>
      <c r="BD63" s="1323"/>
      <c r="BE63" s="1323"/>
      <c r="BF63" s="1323"/>
      <c r="BG63" s="1323"/>
      <c r="BH63" s="1323"/>
      <c r="BI63" s="1323"/>
      <c r="BJ63" s="1323"/>
      <c r="BK63" s="450"/>
      <c r="BL63" s="450"/>
    </row>
    <row r="64" spans="2:65" s="461" customFormat="1">
      <c r="B64" s="461" t="s">
        <v>864</v>
      </c>
      <c r="C64" s="539">
        <f t="shared" ref="C64:R64" si="241">C16/C$6</f>
        <v>-4.0138942493245851E-2</v>
      </c>
      <c r="D64" s="539">
        <f t="shared" si="241"/>
        <v>-2.30816005534113E-2</v>
      </c>
      <c r="E64" s="539">
        <f t="shared" si="241"/>
        <v>-3.2045263813445621E-2</v>
      </c>
      <c r="F64" s="539">
        <f t="shared" si="241"/>
        <v>-4.0107483046691185E-2</v>
      </c>
      <c r="G64" s="539">
        <f t="shared" si="241"/>
        <v>-2.0297522623017122E-2</v>
      </c>
      <c r="H64" s="539">
        <f t="shared" si="241"/>
        <v>-3.0501089324618737E-2</v>
      </c>
      <c r="I64" s="539">
        <f t="shared" si="241"/>
        <v>-3.6807632066068637E-2</v>
      </c>
      <c r="J64" s="539">
        <f t="shared" si="241"/>
        <v>-2.3078098731468748E-2</v>
      </c>
      <c r="K64" s="540">
        <f t="shared" si="241"/>
        <v>-3.0185758513931894E-2</v>
      </c>
      <c r="L64" s="539">
        <f t="shared" si="241"/>
        <v>-3.5466888334718762E-2</v>
      </c>
      <c r="M64" s="539">
        <f t="shared" si="241"/>
        <v>-2.0191055145462437E-2</v>
      </c>
      <c r="N64" s="539">
        <f t="shared" si="241"/>
        <v>-2.7996035959510158E-2</v>
      </c>
      <c r="O64" s="539">
        <f t="shared" si="241"/>
        <v>-3.1519108459503571E-2</v>
      </c>
      <c r="P64" s="539">
        <f t="shared" si="241"/>
        <v>-2.773801002147459E-2</v>
      </c>
      <c r="Q64" s="539">
        <f t="shared" si="241"/>
        <v>-2.9683472821522689E-2</v>
      </c>
      <c r="R64" s="539">
        <f t="shared" si="241"/>
        <v>-3.4482758620689655E-2</v>
      </c>
      <c r="S64" s="539"/>
      <c r="T64" s="539">
        <f>T16/T$6</f>
        <v>-2.78231484088989E-2</v>
      </c>
      <c r="U64" s="539">
        <f>U16/U$6</f>
        <v>-3.0228758169934641E-2</v>
      </c>
      <c r="V64" s="539">
        <f>V16/V$6</f>
        <v>-2.4235523747560182E-2</v>
      </c>
      <c r="W64" s="539">
        <f>W16/W$6</f>
        <v>-2.732197328284422E-2</v>
      </c>
      <c r="X64" s="539">
        <f>X16/X$6</f>
        <v>-3.2171847158978424E-2</v>
      </c>
      <c r="Y64" s="539"/>
      <c r="Z64" s="539">
        <f>Z16/Z$6</f>
        <v>-2.7557432780467704E-2</v>
      </c>
      <c r="AA64" s="539">
        <f>AA16/AA$6</f>
        <v>-2.9138192862566442E-2</v>
      </c>
      <c r="AB64" s="539"/>
      <c r="AC64" s="539">
        <f>AC16/AC$6</f>
        <v>-2.5227612947556995E-2</v>
      </c>
      <c r="AD64" s="1311">
        <f>AA64</f>
        <v>-2.9138192862566442E-2</v>
      </c>
      <c r="AE64" s="1312">
        <f>AE16/AE$6</f>
        <v>-2.1102587734652446E-2</v>
      </c>
      <c r="AF64" s="1311">
        <f>AC64</f>
        <v>-2.5227612947556995E-2</v>
      </c>
      <c r="AG64" s="1311">
        <f>AD64</f>
        <v>-2.9138192862566442E-2</v>
      </c>
      <c r="AH64" s="1312">
        <f>AH16/AH$6</f>
        <v>-2.0112168483218312E-2</v>
      </c>
      <c r="AI64" s="1311">
        <f>AF64+0.05%</f>
        <v>-2.4727612947556994E-2</v>
      </c>
      <c r="AJ64" s="1311"/>
      <c r="AK64" s="1311"/>
      <c r="AL64" s="1311">
        <f>AI64+0.05%</f>
        <v>-2.4227612947556994E-2</v>
      </c>
      <c r="AM64" s="1311"/>
      <c r="AN64" s="1311"/>
      <c r="AO64" s="1311">
        <f>AL64</f>
        <v>-2.4227612947556994E-2</v>
      </c>
      <c r="AP64" s="1311"/>
      <c r="AQ64" s="1311"/>
      <c r="AR64" s="1311">
        <f>AO64+0.05%</f>
        <v>-2.3727612947556993E-2</v>
      </c>
      <c r="AS64" s="1311"/>
      <c r="AT64" s="1311"/>
      <c r="AU64" s="1311">
        <f>AR64+0.05%</f>
        <v>-2.3227612947556993E-2</v>
      </c>
      <c r="AV64" s="1311"/>
      <c r="AW64" s="1311"/>
      <c r="AX64" s="1311">
        <f>AU64+0.05%</f>
        <v>-2.2727612947556992E-2</v>
      </c>
      <c r="AY64" s="1311"/>
      <c r="AZ64" s="1311"/>
      <c r="BA64" s="1311">
        <f>AX64+0.05%</f>
        <v>-2.2227612947556992E-2</v>
      </c>
      <c r="BB64" s="1311"/>
      <c r="BC64" s="1311"/>
      <c r="BD64" s="1311">
        <f>BA64+0.05%</f>
        <v>-2.1727612947556992E-2</v>
      </c>
      <c r="BE64" s="1311"/>
      <c r="BF64" s="1311"/>
      <c r="BG64" s="1311">
        <f>BD64+0.05%</f>
        <v>-2.1227612947556991E-2</v>
      </c>
      <c r="BH64" s="1311"/>
      <c r="BI64" s="1311"/>
      <c r="BJ64" s="1311">
        <f t="shared" ref="BJ64" si="242">BG64+0.05%</f>
        <v>-2.0727612947556991E-2</v>
      </c>
      <c r="BK64" s="450"/>
      <c r="BL64" s="450"/>
    </row>
    <row r="65" spans="2:70" s="461" customFormat="1">
      <c r="B65" s="461" t="s">
        <v>866</v>
      </c>
      <c r="C65" s="539">
        <f t="shared" ref="C65:R65" si="243">C18/C$6</f>
        <v>-7.4257043612504833E-2</v>
      </c>
      <c r="D65" s="539">
        <f t="shared" si="243"/>
        <v>-7.7109643330285152E-2</v>
      </c>
      <c r="E65" s="539">
        <f t="shared" si="243"/>
        <v>-7.5610597149699546E-2</v>
      </c>
      <c r="F65" s="539">
        <f t="shared" si="243"/>
        <v>-7.8553262464329254E-2</v>
      </c>
      <c r="G65" s="539">
        <f t="shared" si="243"/>
        <v>-7.9023951714118024E-2</v>
      </c>
      <c r="H65" s="539">
        <f t="shared" si="243"/>
        <v>-7.8781512605042014E-2</v>
      </c>
      <c r="I65" s="539">
        <f t="shared" si="243"/>
        <v>-7.3971237362950318E-2</v>
      </c>
      <c r="J65" s="539">
        <f t="shared" si="243"/>
        <v>-8.528198074277854E-2</v>
      </c>
      <c r="K65" s="540">
        <f t="shared" si="243"/>
        <v>-7.9426507445083297E-2</v>
      </c>
      <c r="L65" s="539">
        <f t="shared" si="243"/>
        <v>-7.065669160432253E-2</v>
      </c>
      <c r="M65" s="539">
        <f t="shared" si="243"/>
        <v>-7.4468085106383003E-2</v>
      </c>
      <c r="N65" s="539">
        <f t="shared" si="243"/>
        <v>-7.2520705032915703E-2</v>
      </c>
      <c r="O65" s="539">
        <f t="shared" si="243"/>
        <v>-5.8366634772330728E-2</v>
      </c>
      <c r="P65" s="539">
        <f t="shared" si="243"/>
        <v>-6.5378191362443341E-2</v>
      </c>
      <c r="Q65" s="539">
        <f t="shared" si="243"/>
        <v>-6.1770582954446734E-2</v>
      </c>
      <c r="R65" s="539">
        <f t="shared" si="243"/>
        <v>-6.5916021581046216E-2</v>
      </c>
      <c r="S65" s="539"/>
      <c r="T65" s="539">
        <f>T18/T$6</f>
        <v>-6.7051534778935509E-2</v>
      </c>
      <c r="U65" s="539">
        <f>U18/U$6</f>
        <v>-5.9742647058823525E-2</v>
      </c>
      <c r="V65" s="539">
        <f>V18/V$6</f>
        <v>-6.4573845152895243E-2</v>
      </c>
      <c r="W65" s="539">
        <f>W18/W$6</f>
        <v>-6.2085831492584405E-2</v>
      </c>
      <c r="X65" s="539">
        <f>X18/X$6</f>
        <v>-6.3007325282122356E-2</v>
      </c>
      <c r="Y65" s="539"/>
      <c r="Z65" s="539">
        <f>Z18/Z$6</f>
        <v>-6.6240857113423299E-2</v>
      </c>
      <c r="AA65" s="539">
        <f>AA18/AA$6</f>
        <v>-7.5170842824601375E-2</v>
      </c>
      <c r="AB65" s="539"/>
      <c r="AC65" s="539">
        <f>AC18/AC$6</f>
        <v>-7.8455913028540575E-2</v>
      </c>
      <c r="AD65" s="1311">
        <f>AA65-0.1%</f>
        <v>-7.6170842824601376E-2</v>
      </c>
      <c r="AE65" s="1312">
        <f>AE18/AE$6</f>
        <v>-8.4975964533554382E-2</v>
      </c>
      <c r="AF65" s="1311">
        <f>AC65-0.2%</f>
        <v>-8.0455913028540577E-2</v>
      </c>
      <c r="AG65" s="1311">
        <f>AD65</f>
        <v>-7.6170842824601376E-2</v>
      </c>
      <c r="AH65" s="1312">
        <f>AH18/AH$6</f>
        <v>-8.2893569613366941E-2</v>
      </c>
      <c r="AI65" s="1311">
        <f>AF65+0.1%</f>
        <v>-7.9455913028540576E-2</v>
      </c>
      <c r="AJ65" s="1311"/>
      <c r="AK65" s="1311"/>
      <c r="AL65" s="1311">
        <f>AI65</f>
        <v>-7.9455913028540576E-2</v>
      </c>
      <c r="AM65" s="1311"/>
      <c r="AN65" s="1311"/>
      <c r="AO65" s="1311">
        <f>AL65</f>
        <v>-7.9455913028540576E-2</v>
      </c>
      <c r="AP65" s="1311"/>
      <c r="AQ65" s="1311"/>
      <c r="AR65" s="1311">
        <f>AO65</f>
        <v>-7.9455913028540576E-2</v>
      </c>
      <c r="AS65" s="1311"/>
      <c r="AT65" s="1311"/>
      <c r="AU65" s="1311">
        <f>AR65</f>
        <v>-7.9455913028540576E-2</v>
      </c>
      <c r="AV65" s="1311"/>
      <c r="AW65" s="1311"/>
      <c r="AX65" s="1311">
        <f>AU65</f>
        <v>-7.9455913028540576E-2</v>
      </c>
      <c r="AY65" s="1311"/>
      <c r="AZ65" s="1311"/>
      <c r="BA65" s="1311">
        <f>AX65</f>
        <v>-7.9455913028540576E-2</v>
      </c>
      <c r="BB65" s="1311"/>
      <c r="BC65" s="1311"/>
      <c r="BD65" s="1311">
        <f>BA65</f>
        <v>-7.9455913028540576E-2</v>
      </c>
      <c r="BE65" s="1311"/>
      <c r="BF65" s="1311"/>
      <c r="BG65" s="1311">
        <f>BD65</f>
        <v>-7.9455913028540576E-2</v>
      </c>
      <c r="BH65" s="1311"/>
      <c r="BI65" s="1311"/>
      <c r="BJ65" s="1311">
        <f t="shared" ref="BJ65" si="244">BG65</f>
        <v>-7.9455913028540576E-2</v>
      </c>
      <c r="BK65" s="450"/>
      <c r="BL65" s="450"/>
    </row>
    <row r="66" spans="2:70" s="461" customFormat="1">
      <c r="B66" s="461" t="s">
        <v>40</v>
      </c>
      <c r="K66" s="541"/>
      <c r="AD66" s="1323"/>
      <c r="AE66" s="1323"/>
      <c r="AF66" s="1323"/>
      <c r="AG66" s="1323"/>
      <c r="AH66" s="1323"/>
      <c r="AI66" s="1323"/>
      <c r="AJ66" s="1323"/>
      <c r="AK66" s="1323"/>
      <c r="AL66" s="1323"/>
      <c r="AM66" s="1323"/>
      <c r="AN66" s="1323"/>
      <c r="AO66" s="1323"/>
      <c r="AP66" s="1323"/>
      <c r="AQ66" s="1323"/>
      <c r="AR66" s="1323"/>
      <c r="AS66" s="1323"/>
      <c r="AT66" s="1323"/>
      <c r="AU66" s="1323"/>
      <c r="AV66" s="1323"/>
      <c r="AW66" s="1323"/>
      <c r="AX66" s="1323"/>
      <c r="AY66" s="1323"/>
      <c r="AZ66" s="1323"/>
      <c r="BA66" s="1323"/>
      <c r="BB66" s="1323"/>
      <c r="BC66" s="1323"/>
      <c r="BD66" s="1323"/>
      <c r="BE66" s="1323"/>
      <c r="BF66" s="1323"/>
      <c r="BG66" s="1323"/>
      <c r="BH66" s="1323"/>
      <c r="BI66" s="1323"/>
      <c r="BJ66" s="1323"/>
      <c r="BK66" s="450"/>
      <c r="BL66" s="450"/>
    </row>
    <row r="67" spans="2:70" s="461" customFormat="1">
      <c r="B67" s="461" t="s">
        <v>867</v>
      </c>
      <c r="C67" s="539">
        <f t="shared" ref="C67:R67" si="245">C20/C$6</f>
        <v>-0.11617136240833655</v>
      </c>
      <c r="D67" s="539">
        <f t="shared" si="245"/>
        <v>-0.14250751156495051</v>
      </c>
      <c r="E67" s="539">
        <f t="shared" si="245"/>
        <v>-0.1286678187547462</v>
      </c>
      <c r="F67" s="539">
        <f t="shared" si="245"/>
        <v>-0.11782989369649387</v>
      </c>
      <c r="G67" s="539">
        <f t="shared" si="245"/>
        <v>-0.11897717806298178</v>
      </c>
      <c r="H67" s="539">
        <f t="shared" si="245"/>
        <v>-0.11838624338624339</v>
      </c>
      <c r="I67" s="539">
        <f t="shared" si="245"/>
        <v>-0.12494660401537805</v>
      </c>
      <c r="J67" s="539">
        <f t="shared" si="245"/>
        <v>-0.14588109429925111</v>
      </c>
      <c r="K67" s="540">
        <f t="shared" si="245"/>
        <v>-0.13504349108064279</v>
      </c>
      <c r="L67" s="539">
        <f t="shared" si="245"/>
        <v>-0.13334718758658909</v>
      </c>
      <c r="M67" s="539">
        <f t="shared" si="245"/>
        <v>-0.15277174699667107</v>
      </c>
      <c r="N67" s="539">
        <f t="shared" si="245"/>
        <v>-0.1428470305089545</v>
      </c>
      <c r="O67" s="539">
        <f t="shared" si="245"/>
        <v>-0.11515731412168627</v>
      </c>
      <c r="P67" s="539">
        <f t="shared" si="245"/>
        <v>-0.1362443330947268</v>
      </c>
      <c r="Q67" s="539">
        <f t="shared" si="245"/>
        <v>-0.12539457299238366</v>
      </c>
      <c r="R67" s="539">
        <f t="shared" si="245"/>
        <v>-0.13083509265775276</v>
      </c>
      <c r="S67" s="539"/>
      <c r="T67" s="539">
        <f>T20/T$6</f>
        <v>-0.13275133765136582</v>
      </c>
      <c r="U67" s="539">
        <f>U20/U$6</f>
        <v>-0.13077001633986929</v>
      </c>
      <c r="V67" s="539">
        <f>V20/V$6</f>
        <v>-0.14053350683148988</v>
      </c>
      <c r="W67" s="539">
        <f>W20/W$6</f>
        <v>-0.13550541706111285</v>
      </c>
      <c r="X67" s="539">
        <f>X20/X$6</f>
        <v>-0.13180558305286083</v>
      </c>
      <c r="Y67" s="539"/>
      <c r="Z67" s="539">
        <f>Z20/Z$6</f>
        <v>-0.13729782631090964</v>
      </c>
      <c r="AA67" s="539">
        <f>AA20/AA$6</f>
        <v>-0.11949506454062264</v>
      </c>
      <c r="AB67" s="539"/>
      <c r="AC67" s="539">
        <f>AC20/AC$6</f>
        <v>-0.12665341480772535</v>
      </c>
      <c r="AD67" s="1311">
        <f>AA67-0.8%</f>
        <v>-0.12749506454062265</v>
      </c>
      <c r="AE67" s="1311">
        <v>-0.12</v>
      </c>
      <c r="AF67" s="1311">
        <f>AC67+0.02%</f>
        <v>-0.12645341480772535</v>
      </c>
      <c r="AG67" s="1311">
        <v>-0.13</v>
      </c>
      <c r="AH67" s="1311">
        <v>-0.12</v>
      </c>
      <c r="AI67" s="1311">
        <f>AF67+0.03%</f>
        <v>-0.12615341480772535</v>
      </c>
      <c r="AJ67" s="1311"/>
      <c r="AK67" s="1311"/>
      <c r="AL67" s="1311">
        <f>AI67+0.03%</f>
        <v>-0.12585341480772536</v>
      </c>
      <c r="AM67" s="1311"/>
      <c r="AN67" s="1311"/>
      <c r="AO67" s="1311">
        <f>AL67+0.03%</f>
        <v>-0.12555341480772536</v>
      </c>
      <c r="AP67" s="1311"/>
      <c r="AQ67" s="1311"/>
      <c r="AR67" s="1311">
        <f t="shared" ref="AR67" si="246">AO67+0.03%</f>
        <v>-0.12525341480772537</v>
      </c>
      <c r="AS67" s="1311"/>
      <c r="AT67" s="1311"/>
      <c r="AU67" s="1311">
        <f>AR67+0.01%</f>
        <v>-0.12515341480772538</v>
      </c>
      <c r="AV67" s="1311"/>
      <c r="AW67" s="1311"/>
      <c r="AX67" s="1311">
        <f>AU67+0.01%</f>
        <v>-0.12505341480772539</v>
      </c>
      <c r="AY67" s="1311"/>
      <c r="AZ67" s="1311"/>
      <c r="BA67" s="1311">
        <f>AX67+0.01%</f>
        <v>-0.12495341480772539</v>
      </c>
      <c r="BB67" s="1311"/>
      <c r="BC67" s="1311"/>
      <c r="BD67" s="1311">
        <f>BA67+0.01%</f>
        <v>-0.12485341480772538</v>
      </c>
      <c r="BE67" s="1311"/>
      <c r="BF67" s="1311"/>
      <c r="BG67" s="1311">
        <f>BD67+0.01%</f>
        <v>-0.12475341480772538</v>
      </c>
      <c r="BH67" s="1311"/>
      <c r="BI67" s="1311"/>
      <c r="BJ67" s="1311">
        <f t="shared" ref="BJ67" si="247">BG67+0.01%</f>
        <v>-0.12465341480772538</v>
      </c>
      <c r="BK67" s="450"/>
      <c r="BL67" s="450"/>
    </row>
    <row r="68" spans="2:70" s="461" customFormat="1">
      <c r="B68" s="461" t="s">
        <v>868</v>
      </c>
      <c r="C68" s="539">
        <f t="shared" ref="C68:R68" si="248">C22/C$6</f>
        <v>1.3122346584330286E-3</v>
      </c>
      <c r="D68" s="539">
        <f t="shared" si="248"/>
        <v>-4.8410665101446841E-3</v>
      </c>
      <c r="E68" s="539">
        <f t="shared" si="248"/>
        <v>-1.6074958983075336E-3</v>
      </c>
      <c r="F68" s="539">
        <f t="shared" si="248"/>
        <v>3.4100868395596576E-3</v>
      </c>
      <c r="G68" s="539">
        <f t="shared" si="248"/>
        <v>-3.3786234626700461E-2</v>
      </c>
      <c r="H68" s="539">
        <f t="shared" si="248"/>
        <v>-1.4627430721083646E-2</v>
      </c>
      <c r="I68" s="539">
        <f t="shared" si="248"/>
        <v>8.4854821534869063E-3</v>
      </c>
      <c r="J68" s="539">
        <f t="shared" si="248"/>
        <v>1.9561725603506001E-3</v>
      </c>
      <c r="K68" s="540">
        <f t="shared" si="248"/>
        <v>5.336339247111346E-3</v>
      </c>
      <c r="L68" s="539">
        <f t="shared" si="248"/>
        <v>1.2121551343277271E-2</v>
      </c>
      <c r="M68" s="539">
        <f t="shared" si="248"/>
        <v>2.6065584313261361E-2</v>
      </c>
      <c r="N68" s="539">
        <f t="shared" si="248"/>
        <v>1.8941068848028462E-2</v>
      </c>
      <c r="O68" s="539">
        <f t="shared" si="248"/>
        <v>2.0703310969056757E-3</v>
      </c>
      <c r="P68" s="539">
        <f t="shared" si="248"/>
        <v>2.0935631965840187E-3</v>
      </c>
      <c r="Q68" s="539">
        <f t="shared" si="248"/>
        <v>2.282393690954009E-3</v>
      </c>
      <c r="R68" s="539">
        <f t="shared" si="248"/>
        <v>1.5484980837580558E-3</v>
      </c>
      <c r="S68" s="539"/>
      <c r="T68" s="539">
        <f>T22/T$6</f>
        <v>9.4983736297021381E-4</v>
      </c>
      <c r="U68" s="539">
        <f>U22/U$6</f>
        <v>4.7794755615977978E-3</v>
      </c>
      <c r="V68" s="539">
        <f>V22/V$6</f>
        <v>9.4967841918558709E-4</v>
      </c>
      <c r="W68" s="539">
        <f>W22/W$6</f>
        <v>2.9219816493581108E-3</v>
      </c>
      <c r="X68" s="539">
        <f>X22/X$6</f>
        <v>1.1165140444064521E-3</v>
      </c>
      <c r="Y68" s="539"/>
      <c r="Z68" s="539">
        <f t="shared" ref="Z68:AI68" si="249">Z22/Z$6</f>
        <v>6.734731055043706E-4</v>
      </c>
      <c r="AA68" s="539">
        <f t="shared" si="249"/>
        <v>5.8304740809538111E-4</v>
      </c>
      <c r="AB68" s="539"/>
      <c r="AC68" s="539">
        <f t="shared" si="249"/>
        <v>3.6408851659255081E-3</v>
      </c>
      <c r="AD68" s="539">
        <f t="shared" si="249"/>
        <v>3.8550629947538195E-3</v>
      </c>
      <c r="AE68" s="539">
        <f t="shared" si="249"/>
        <v>2.8449462060976187E-3</v>
      </c>
      <c r="AF68" s="539">
        <f t="shared" si="249"/>
        <v>3.3634830374696307E-3</v>
      </c>
      <c r="AG68" s="539">
        <f t="shared" si="249"/>
        <v>1.2607316464550513E-2</v>
      </c>
      <c r="AH68" s="539">
        <f t="shared" si="249"/>
        <v>5.7350011238248514E-3</v>
      </c>
      <c r="AI68" s="539">
        <f t="shared" si="249"/>
        <v>9.2491495975554217E-3</v>
      </c>
      <c r="AJ68" s="539"/>
      <c r="AK68" s="539"/>
      <c r="AL68" s="539">
        <f>AL22/AL$6</f>
        <v>9.7520074662182064E-3</v>
      </c>
      <c r="AM68" s="539"/>
      <c r="AN68" s="539"/>
      <c r="AO68" s="539">
        <f>AO22/AO$6</f>
        <v>9.8431474793065805E-3</v>
      </c>
      <c r="AP68" s="539"/>
      <c r="AQ68" s="539"/>
      <c r="AR68" s="539">
        <f>AR22/AR$6</f>
        <v>9.2387046041229031E-3</v>
      </c>
      <c r="AS68" s="539"/>
      <c r="AT68" s="539"/>
      <c r="AU68" s="539">
        <f>AU22/AU$6</f>
        <v>8.8294916611788548E-3</v>
      </c>
      <c r="AV68" s="539"/>
      <c r="AW68" s="539"/>
      <c r="AX68" s="539">
        <f>AX22/AX$6</f>
        <v>8.4714786140554204E-3</v>
      </c>
      <c r="AY68" s="539"/>
      <c r="AZ68" s="539"/>
      <c r="BA68" s="539">
        <f>BA22/BA$6</f>
        <v>8.1110909600466616E-3</v>
      </c>
      <c r="BB68" s="539"/>
      <c r="BC68" s="539"/>
      <c r="BD68" s="539">
        <f>BD22/BD$6</f>
        <v>7.7482992368421372E-3</v>
      </c>
      <c r="BE68" s="539"/>
      <c r="BF68" s="539"/>
      <c r="BG68" s="539">
        <f>BG22/BG$6</f>
        <v>7.3830733974148532E-3</v>
      </c>
      <c r="BH68" s="539"/>
      <c r="BI68" s="539"/>
      <c r="BJ68" s="539">
        <f>BJ22/BJ$6</f>
        <v>7.0153828126771779E-3</v>
      </c>
      <c r="BK68" s="450"/>
      <c r="BL68" s="450"/>
    </row>
    <row r="69" spans="2:70" s="461" customFormat="1">
      <c r="B69" s="461" t="s">
        <v>129</v>
      </c>
      <c r="C69" s="539">
        <f t="shared" ref="C69:R69" si="250">C29/C6</f>
        <v>-2.7479737553068331E-2</v>
      </c>
      <c r="D69" s="539">
        <f t="shared" si="250"/>
        <v>-3.0006080719434683E-2</v>
      </c>
      <c r="E69" s="539">
        <f t="shared" si="250"/>
        <v>-2.8678482931779822E-2</v>
      </c>
      <c r="F69" s="539">
        <f t="shared" si="250"/>
        <v>-2.6964917980543804E-2</v>
      </c>
      <c r="G69" s="539">
        <f t="shared" si="250"/>
        <v>-3.1128216512769345E-2</v>
      </c>
      <c r="H69" s="539">
        <f t="shared" si="250"/>
        <v>-2.898381574852164E-2</v>
      </c>
      <c r="I69" s="539">
        <f t="shared" si="250"/>
        <v>-2.9688167449807769E-2</v>
      </c>
      <c r="J69" s="539">
        <f t="shared" si="250"/>
        <v>-3.4311477915329368E-2</v>
      </c>
      <c r="K69" s="540">
        <f t="shared" si="250"/>
        <v>-3.1918030370042753E-2</v>
      </c>
      <c r="L69" s="539">
        <f t="shared" si="250"/>
        <v>-9.0883901357716831E-2</v>
      </c>
      <c r="M69" s="539">
        <f t="shared" si="250"/>
        <v>-9.9146041395281562E-2</v>
      </c>
      <c r="N69" s="539">
        <f t="shared" si="250"/>
        <v>-9.4924612444255707E-2</v>
      </c>
      <c r="O69" s="539">
        <f t="shared" si="250"/>
        <v>-8.2287386728204001E-2</v>
      </c>
      <c r="P69" s="539">
        <f t="shared" si="250"/>
        <v>-9.1386303984729189E-2</v>
      </c>
      <c r="Q69" s="539">
        <f t="shared" si="250"/>
        <v>-8.6704700124525802E-2</v>
      </c>
      <c r="R69" s="539">
        <f t="shared" si="250"/>
        <v>-8.5972319962467736E-2</v>
      </c>
      <c r="S69" s="539"/>
      <c r="T69" s="539">
        <f>T29/T6</f>
        <v>-8.59476203886229E-2</v>
      </c>
      <c r="U69" s="539">
        <f>U29/U6</f>
        <v>-8.35375816993464E-2</v>
      </c>
      <c r="V69" s="539">
        <f>V29/V6</f>
        <v>-9.0002168726957252E-2</v>
      </c>
      <c r="W69" s="539">
        <f>W29/W6</f>
        <v>-8.6672977805827278E-2</v>
      </c>
      <c r="X69" s="539">
        <f>X29/X6</f>
        <v>-8.5280142546030488E-2</v>
      </c>
      <c r="Y69" s="539"/>
      <c r="Z69" s="539">
        <f t="shared" ref="Z69:AI69" si="251">Z29/Z6</f>
        <v>-8.7102091274338114E-2</v>
      </c>
      <c r="AA69" s="539">
        <f t="shared" si="251"/>
        <v>-8.30960516324981E-2</v>
      </c>
      <c r="AB69" s="539"/>
      <c r="AC69" s="539">
        <f t="shared" si="251"/>
        <v>-8.7928538123634936E-2</v>
      </c>
      <c r="AD69" s="539">
        <f t="shared" si="251"/>
        <v>-8.5023001869018941E-2</v>
      </c>
      <c r="AE69" s="539">
        <f t="shared" si="251"/>
        <v>-8.9685426205050753E-2</v>
      </c>
      <c r="AF69" s="539">
        <f t="shared" si="251"/>
        <v>-8.7292001237890424E-2</v>
      </c>
      <c r="AG69" s="539">
        <f t="shared" si="251"/>
        <v>-8.5042467988322656E-2</v>
      </c>
      <c r="AH69" s="539">
        <f t="shared" si="251"/>
        <v>-8.8992557820950988E-2</v>
      </c>
      <c r="AI69" s="539">
        <f t="shared" si="251"/>
        <v>-8.6972685118927376E-2</v>
      </c>
      <c r="AJ69" s="539"/>
      <c r="AK69" s="539"/>
      <c r="AL69" s="539">
        <f>AL29/AL6</f>
        <v>-8.6894383402150235E-2</v>
      </c>
      <c r="AM69" s="539"/>
      <c r="AN69" s="539"/>
      <c r="AO69" s="539">
        <f>AO29/AO6</f>
        <v>-8.6816911605572658E-2</v>
      </c>
      <c r="AP69" s="539"/>
      <c r="AQ69" s="539"/>
      <c r="AR69" s="539">
        <f>AR29/AR6</f>
        <v>-8.676705716055437E-2</v>
      </c>
      <c r="AS69" s="539"/>
      <c r="AT69" s="539"/>
      <c r="AU69" s="539">
        <f>AU29/AU6</f>
        <v>-8.6748102352883216E-2</v>
      </c>
      <c r="AV69" s="539"/>
      <c r="AW69" s="539"/>
      <c r="AX69" s="539">
        <f>AX29/AX6</f>
        <v>-8.677440648717466E-2</v>
      </c>
      <c r="AY69" s="539"/>
      <c r="AZ69" s="539"/>
      <c r="BA69" s="539">
        <f>BA29/BA6</f>
        <v>-8.6800989384172911E-2</v>
      </c>
      <c r="BB69" s="539"/>
      <c r="BC69" s="539"/>
      <c r="BD69" s="539">
        <f>BD29/BD6</f>
        <v>-8.6827840079502103E-2</v>
      </c>
      <c r="BE69" s="539"/>
      <c r="BF69" s="539"/>
      <c r="BG69" s="539">
        <f>BG29/BG6</f>
        <v>-8.6854947790255099E-2</v>
      </c>
      <c r="BH69" s="539"/>
      <c r="BI69" s="539"/>
      <c r="BJ69" s="539">
        <f>BJ29/BJ6</f>
        <v>-8.688230191324306E-2</v>
      </c>
      <c r="BK69" s="450"/>
      <c r="BL69" s="450"/>
    </row>
    <row r="70" spans="2:70" s="461" customFormat="1">
      <c r="C70" s="539"/>
      <c r="D70" s="539"/>
      <c r="E70" s="539"/>
      <c r="F70" s="539"/>
      <c r="G70" s="539"/>
      <c r="H70" s="539"/>
      <c r="I70" s="539"/>
      <c r="J70" s="539"/>
      <c r="K70" s="540"/>
      <c r="L70" s="539"/>
      <c r="M70" s="539"/>
      <c r="N70" s="539"/>
      <c r="O70" s="539"/>
      <c r="P70" s="539"/>
      <c r="Q70" s="539"/>
      <c r="R70" s="539"/>
      <c r="S70" s="539"/>
      <c r="T70" s="539"/>
      <c r="U70" s="539"/>
      <c r="V70" s="539"/>
      <c r="W70" s="539"/>
      <c r="X70" s="539"/>
      <c r="Y70" s="539"/>
      <c r="Z70" s="539"/>
      <c r="AA70" s="539"/>
      <c r="AB70" s="539"/>
      <c r="AC70" s="539"/>
      <c r="AD70" s="539"/>
      <c r="AE70" s="539"/>
      <c r="AF70" s="539"/>
      <c r="AG70" s="539"/>
      <c r="AH70" s="539"/>
      <c r="AI70" s="539"/>
      <c r="AJ70" s="539"/>
      <c r="AK70" s="539"/>
      <c r="AL70" s="539"/>
      <c r="AM70" s="539"/>
      <c r="AN70" s="539"/>
      <c r="AO70" s="539"/>
      <c r="AP70" s="539"/>
      <c r="AQ70" s="539"/>
      <c r="AR70" s="539"/>
      <c r="AS70" s="539"/>
      <c r="AT70" s="539"/>
      <c r="AU70" s="539"/>
      <c r="AV70" s="539"/>
      <c r="AW70" s="539"/>
      <c r="AX70" s="539"/>
      <c r="AY70" s="539"/>
      <c r="AZ70" s="539"/>
      <c r="BA70" s="539"/>
      <c r="BB70" s="539"/>
      <c r="BC70" s="539"/>
      <c r="BD70" s="539"/>
      <c r="BE70" s="539"/>
      <c r="BF70" s="539"/>
      <c r="BG70" s="539"/>
      <c r="BH70" s="539"/>
      <c r="BI70" s="539"/>
      <c r="BJ70" s="539"/>
      <c r="BK70" s="450"/>
      <c r="BL70" s="450"/>
    </row>
    <row r="71" spans="2:70" s="542" customFormat="1">
      <c r="B71" s="1320" t="s">
        <v>927</v>
      </c>
      <c r="C71" s="1321"/>
      <c r="D71" s="1321"/>
      <c r="E71" s="1322">
        <v>484.2</v>
      </c>
      <c r="F71" s="1321"/>
      <c r="G71" s="1321"/>
      <c r="H71" s="1322">
        <v>510.8</v>
      </c>
      <c r="I71" s="1321"/>
      <c r="J71" s="1321"/>
      <c r="K71" s="1335">
        <v>540.20000000000005</v>
      </c>
      <c r="L71" s="1321"/>
      <c r="M71" s="1321"/>
      <c r="N71" s="1322">
        <v>583.70000000000005</v>
      </c>
      <c r="O71" s="1321"/>
      <c r="P71" s="1321"/>
      <c r="Q71" s="1322">
        <v>647</v>
      </c>
      <c r="R71" s="1321"/>
      <c r="S71" s="1321"/>
      <c r="T71" s="1322">
        <v>706.6</v>
      </c>
      <c r="U71" s="1322">
        <v>373.4</v>
      </c>
      <c r="V71" s="1321"/>
      <c r="W71" s="1322">
        <v>746.6</v>
      </c>
      <c r="X71" s="1322">
        <v>397.8</v>
      </c>
      <c r="Y71" s="1321">
        <f>Z71-X71</f>
        <v>403.49999999999994</v>
      </c>
      <c r="Z71" s="1322">
        <v>801.3</v>
      </c>
      <c r="AA71" s="1322">
        <v>427.5</v>
      </c>
      <c r="AB71" s="1321">
        <f>AC71-AA71</f>
        <v>419.29999999999995</v>
      </c>
      <c r="AC71" s="1322">
        <v>846.8</v>
      </c>
      <c r="AD71" s="1321">
        <f t="shared" ref="AD71:BJ71" si="252">AA71*(1+AD73)</f>
        <v>444.6</v>
      </c>
      <c r="AE71" s="1321">
        <f t="shared" si="252"/>
        <v>436.07199999999995</v>
      </c>
      <c r="AF71" s="1321">
        <f t="shared" si="252"/>
        <v>880.67200000000003</v>
      </c>
      <c r="AG71" s="1321">
        <f t="shared" si="252"/>
        <v>462.38400000000001</v>
      </c>
      <c r="AH71" s="1321">
        <f t="shared" si="252"/>
        <v>453.51487999999995</v>
      </c>
      <c r="AI71" s="1321">
        <f t="shared" si="252"/>
        <v>915.89888000000008</v>
      </c>
      <c r="AJ71" s="1321">
        <f t="shared" si="252"/>
        <v>480.87936000000002</v>
      </c>
      <c r="AK71" s="1321">
        <f t="shared" si="252"/>
        <v>471.65547519999996</v>
      </c>
      <c r="AL71" s="1321">
        <f t="shared" si="252"/>
        <v>952.53483520000009</v>
      </c>
      <c r="AM71" s="1321">
        <f t="shared" si="252"/>
        <v>500.11453440000003</v>
      </c>
      <c r="AN71" s="1321">
        <f t="shared" si="252"/>
        <v>490.52169420799999</v>
      </c>
      <c r="AO71" s="1321">
        <f t="shared" si="252"/>
        <v>990.63622860800012</v>
      </c>
      <c r="AP71" s="1321">
        <f t="shared" si="252"/>
        <v>520.11911577600006</v>
      </c>
      <c r="AQ71" s="1321">
        <f t="shared" si="252"/>
        <v>510.14256197632</v>
      </c>
      <c r="AR71" s="1321">
        <f t="shared" si="252"/>
        <v>1030.2616777523201</v>
      </c>
      <c r="AS71" s="1321">
        <f t="shared" si="252"/>
        <v>540.92388040704009</v>
      </c>
      <c r="AT71" s="1321">
        <f t="shared" si="252"/>
        <v>530.54826445537276</v>
      </c>
      <c r="AU71" s="1321">
        <f t="shared" si="252"/>
        <v>1071.472144862413</v>
      </c>
      <c r="AV71" s="1321">
        <f t="shared" si="252"/>
        <v>562.56083562332174</v>
      </c>
      <c r="AW71" s="1321">
        <f t="shared" si="252"/>
        <v>551.7701950335877</v>
      </c>
      <c r="AX71" s="1321">
        <f t="shared" si="252"/>
        <v>1114.3310306569094</v>
      </c>
      <c r="AY71" s="1321">
        <f t="shared" si="252"/>
        <v>585.0632690482546</v>
      </c>
      <c r="AZ71" s="1321">
        <f t="shared" si="252"/>
        <v>573.84100283493126</v>
      </c>
      <c r="BA71" s="1321">
        <f t="shared" si="252"/>
        <v>1158.9042718831859</v>
      </c>
      <c r="BB71" s="1321">
        <f t="shared" si="252"/>
        <v>608.46579981018476</v>
      </c>
      <c r="BC71" s="1321">
        <f t="shared" si="252"/>
        <v>596.79464294832849</v>
      </c>
      <c r="BD71" s="1321">
        <f t="shared" si="252"/>
        <v>1205.2604427585134</v>
      </c>
      <c r="BE71" s="1321">
        <f t="shared" si="252"/>
        <v>632.80443180259215</v>
      </c>
      <c r="BF71" s="1321">
        <f t="shared" si="252"/>
        <v>620.6664286662616</v>
      </c>
      <c r="BG71" s="1321">
        <f t="shared" si="252"/>
        <v>1253.470860468854</v>
      </c>
      <c r="BH71" s="1321">
        <f t="shared" si="252"/>
        <v>658.11660907469582</v>
      </c>
      <c r="BI71" s="1321">
        <f t="shared" si="252"/>
        <v>645.49308581291211</v>
      </c>
      <c r="BJ71" s="1321">
        <f t="shared" si="252"/>
        <v>1303.6096948876082</v>
      </c>
      <c r="BK71" s="639"/>
      <c r="BL71" s="639"/>
    </row>
    <row r="72" spans="2:70" s="461" customFormat="1">
      <c r="B72" s="461" t="s">
        <v>928</v>
      </c>
      <c r="C72" s="539"/>
      <c r="D72" s="539"/>
      <c r="E72" s="539">
        <f>E71/E6</f>
        <v>0.19640907263886542</v>
      </c>
      <c r="F72" s="539"/>
      <c r="G72" s="539"/>
      <c r="H72" s="539">
        <f>H71/H6</f>
        <v>0.19872393401805166</v>
      </c>
      <c r="I72" s="539"/>
      <c r="J72" s="539"/>
      <c r="K72" s="539">
        <f>K71/K6</f>
        <v>0.19910069290874247</v>
      </c>
      <c r="L72" s="539"/>
      <c r="M72" s="539"/>
      <c r="N72" s="539">
        <f>N71/N6</f>
        <v>0.20659021731436261</v>
      </c>
      <c r="O72" s="539"/>
      <c r="P72" s="539"/>
      <c r="Q72" s="539">
        <f>Q71/Q6</f>
        <v>0.18736787234658714</v>
      </c>
      <c r="R72" s="539"/>
      <c r="S72" s="539"/>
      <c r="T72" s="539">
        <f t="shared" ref="T72:AI72" si="253">T71/T6</f>
        <v>0.1989862010701211</v>
      </c>
      <c r="U72" s="539">
        <f t="shared" si="253"/>
        <v>0.1906658496732026</v>
      </c>
      <c r="V72" s="539">
        <f t="shared" si="253"/>
        <v>0</v>
      </c>
      <c r="W72" s="539">
        <f t="shared" si="253"/>
        <v>0.19632902072157357</v>
      </c>
      <c r="X72" s="539">
        <f t="shared" si="253"/>
        <v>0.19689170461294794</v>
      </c>
      <c r="Y72" s="539">
        <f t="shared" si="253"/>
        <v>0.21665592783505147</v>
      </c>
      <c r="Z72" s="539">
        <f t="shared" si="253"/>
        <v>0.20637169053260532</v>
      </c>
      <c r="AA72" s="539">
        <f t="shared" si="253"/>
        <v>0.20287585421412302</v>
      </c>
      <c r="AB72" s="539">
        <f t="shared" ref="AB72" si="254">AB71/AB6</f>
        <v>0.21309142653859831</v>
      </c>
      <c r="AC72" s="539">
        <f t="shared" si="253"/>
        <v>0.20780878058357258</v>
      </c>
      <c r="AD72" s="539">
        <f t="shared" si="253"/>
        <v>0.20244863016366879</v>
      </c>
      <c r="AE72" s="539">
        <f t="shared" si="253"/>
        <v>0.20945417808661521</v>
      </c>
      <c r="AF72" s="539">
        <f t="shared" si="253"/>
        <v>0.20585792598707151</v>
      </c>
      <c r="AG72" s="539">
        <f t="shared" si="253"/>
        <v>0.2011121419769909</v>
      </c>
      <c r="AH72" s="539">
        <f t="shared" si="253"/>
        <v>0.20641671826998104</v>
      </c>
      <c r="AI72" s="539">
        <f t="shared" si="253"/>
        <v>0.20370423088260359</v>
      </c>
      <c r="AJ72" s="539"/>
      <c r="AK72" s="539"/>
      <c r="AL72" s="539">
        <f>AL71/AL6</f>
        <v>0.20220066742421602</v>
      </c>
      <c r="AM72" s="539"/>
      <c r="AN72" s="539"/>
      <c r="AO72" s="539">
        <f>AO71/AO6</f>
        <v>0.20128454002420121</v>
      </c>
      <c r="AP72" s="539"/>
      <c r="AQ72" s="539"/>
      <c r="AR72" s="539">
        <f>AR71/AR6</f>
        <v>0.20106945087151679</v>
      </c>
      <c r="AS72" s="539"/>
      <c r="AT72" s="539"/>
      <c r="AU72" s="539">
        <f>AU71/AU6</f>
        <v>0.20162755815246039</v>
      </c>
      <c r="AV72" s="539"/>
      <c r="AW72" s="539"/>
      <c r="AX72" s="539">
        <f>AX71/AX6</f>
        <v>0.20298406850155026</v>
      </c>
      <c r="AY72" s="539"/>
      <c r="AZ72" s="539"/>
      <c r="BA72" s="539">
        <f>BA71/BA6</f>
        <v>0.2043466468826369</v>
      </c>
      <c r="BB72" s="539"/>
      <c r="BC72" s="539"/>
      <c r="BD72" s="539">
        <f>BD71/BD6</f>
        <v>0.20571532891767594</v>
      </c>
      <c r="BE72" s="539"/>
      <c r="BF72" s="539"/>
      <c r="BG72" s="539">
        <f>BG71/BG6</f>
        <v>0.20709015094595379</v>
      </c>
      <c r="BH72" s="539"/>
      <c r="BI72" s="539"/>
      <c r="BJ72" s="539">
        <f>BJ71/BJ6</f>
        <v>0.20847115002146774</v>
      </c>
      <c r="BK72" s="450"/>
      <c r="BL72" s="450"/>
    </row>
    <row r="73" spans="2:70" s="461" customFormat="1">
      <c r="B73" s="461" t="s">
        <v>1065</v>
      </c>
      <c r="C73" s="539"/>
      <c r="D73" s="539"/>
      <c r="E73" s="539"/>
      <c r="F73" s="539"/>
      <c r="G73" s="539"/>
      <c r="H73" s="539">
        <f>H71/E71-1</f>
        <v>5.4935976869062486E-2</v>
      </c>
      <c r="I73" s="539" t="e">
        <f t="shared" ref="I73:AC73" si="255">I71/F71-1</f>
        <v>#DIV/0!</v>
      </c>
      <c r="J73" s="539" t="e">
        <f t="shared" si="255"/>
        <v>#DIV/0!</v>
      </c>
      <c r="K73" s="539">
        <f t="shared" si="255"/>
        <v>5.7556773688332008E-2</v>
      </c>
      <c r="L73" s="539" t="e">
        <f t="shared" si="255"/>
        <v>#DIV/0!</v>
      </c>
      <c r="M73" s="539" t="e">
        <f t="shared" si="255"/>
        <v>#DIV/0!</v>
      </c>
      <c r="N73" s="539">
        <f t="shared" si="255"/>
        <v>8.0525731210662643E-2</v>
      </c>
      <c r="O73" s="539" t="e">
        <f t="shared" si="255"/>
        <v>#DIV/0!</v>
      </c>
      <c r="P73" s="539" t="e">
        <f t="shared" si="255"/>
        <v>#DIV/0!</v>
      </c>
      <c r="Q73" s="539">
        <f t="shared" si="255"/>
        <v>0.10844611958197703</v>
      </c>
      <c r="R73" s="539" t="e">
        <f t="shared" si="255"/>
        <v>#DIV/0!</v>
      </c>
      <c r="S73" s="539" t="e">
        <f t="shared" si="255"/>
        <v>#DIV/0!</v>
      </c>
      <c r="T73" s="539">
        <f t="shared" si="255"/>
        <v>9.2117465224111239E-2</v>
      </c>
      <c r="U73" s="539" t="e">
        <f t="shared" si="255"/>
        <v>#DIV/0!</v>
      </c>
      <c r="V73" s="539" t="e">
        <f t="shared" si="255"/>
        <v>#DIV/0!</v>
      </c>
      <c r="W73" s="539">
        <f t="shared" si="255"/>
        <v>5.6609114067364796E-2</v>
      </c>
      <c r="X73" s="539">
        <f t="shared" si="255"/>
        <v>6.5345474022496131E-2</v>
      </c>
      <c r="Y73" s="539" t="e">
        <f t="shared" si="255"/>
        <v>#DIV/0!</v>
      </c>
      <c r="Z73" s="539">
        <f t="shared" si="255"/>
        <v>7.3265470131261612E-2</v>
      </c>
      <c r="AA73" s="539">
        <f t="shared" si="255"/>
        <v>7.4660633484162853E-2</v>
      </c>
      <c r="AB73" s="539">
        <f t="shared" si="255"/>
        <v>3.9157372986369232E-2</v>
      </c>
      <c r="AC73" s="539">
        <f t="shared" si="255"/>
        <v>5.678272806689133E-2</v>
      </c>
      <c r="AD73" s="1311">
        <v>0.04</v>
      </c>
      <c r="AE73" s="1311">
        <v>0.04</v>
      </c>
      <c r="AF73" s="1311">
        <v>0.04</v>
      </c>
      <c r="AG73" s="1311">
        <v>0.04</v>
      </c>
      <c r="AH73" s="1311">
        <v>0.04</v>
      </c>
      <c r="AI73" s="1311">
        <v>0.04</v>
      </c>
      <c r="AJ73" s="1311">
        <v>0.04</v>
      </c>
      <c r="AK73" s="1311">
        <v>0.04</v>
      </c>
      <c r="AL73" s="1311">
        <v>0.04</v>
      </c>
      <c r="AM73" s="1311">
        <v>0.04</v>
      </c>
      <c r="AN73" s="1311">
        <v>0.04</v>
      </c>
      <c r="AO73" s="1311">
        <v>0.04</v>
      </c>
      <c r="AP73" s="1311">
        <v>0.04</v>
      </c>
      <c r="AQ73" s="1311">
        <v>0.04</v>
      </c>
      <c r="AR73" s="1311">
        <v>0.04</v>
      </c>
      <c r="AS73" s="1311">
        <v>0.04</v>
      </c>
      <c r="AT73" s="1311">
        <v>0.04</v>
      </c>
      <c r="AU73" s="1311">
        <v>0.04</v>
      </c>
      <c r="AV73" s="1311">
        <v>0.04</v>
      </c>
      <c r="AW73" s="1311">
        <v>0.04</v>
      </c>
      <c r="AX73" s="1311">
        <v>0.04</v>
      </c>
      <c r="AY73" s="1311">
        <v>0.04</v>
      </c>
      <c r="AZ73" s="1311">
        <v>0.04</v>
      </c>
      <c r="BA73" s="1311">
        <v>0.04</v>
      </c>
      <c r="BB73" s="1311">
        <v>0.04</v>
      </c>
      <c r="BC73" s="1311">
        <v>0.04</v>
      </c>
      <c r="BD73" s="1311">
        <v>0.04</v>
      </c>
      <c r="BE73" s="1311">
        <v>0.04</v>
      </c>
      <c r="BF73" s="1311">
        <v>0.04</v>
      </c>
      <c r="BG73" s="1311">
        <v>0.04</v>
      </c>
      <c r="BH73" s="1311">
        <v>0.04</v>
      </c>
      <c r="BI73" s="1311">
        <v>0.04</v>
      </c>
      <c r="BJ73" s="1311">
        <v>0.04</v>
      </c>
      <c r="BK73" s="450"/>
      <c r="BL73" s="450"/>
    </row>
    <row r="74" spans="2:70" s="123" customFormat="1">
      <c r="B74" s="126"/>
      <c r="C74" s="475"/>
      <c r="D74" s="475"/>
      <c r="E74" s="475"/>
      <c r="F74" s="475"/>
      <c r="G74" s="475"/>
      <c r="H74" s="475"/>
      <c r="I74" s="475"/>
      <c r="J74" s="475"/>
      <c r="K74" s="476"/>
      <c r="L74" s="475"/>
      <c r="M74" s="475"/>
      <c r="N74" s="475"/>
      <c r="O74" s="475"/>
      <c r="P74" s="475"/>
      <c r="Q74" s="475"/>
      <c r="R74" s="475"/>
      <c r="S74" s="475"/>
      <c r="T74" s="475"/>
      <c r="U74" s="475"/>
      <c r="V74" s="475"/>
      <c r="W74" s="475"/>
      <c r="X74" s="475"/>
      <c r="Y74" s="475"/>
      <c r="Z74" s="475"/>
      <c r="AA74" s="475"/>
      <c r="AB74" s="475"/>
      <c r="AC74" s="475"/>
      <c r="AD74" s="475"/>
      <c r="AE74" s="475"/>
      <c r="AF74" s="475"/>
      <c r="AG74" s="475"/>
      <c r="AH74" s="475"/>
      <c r="AI74" s="475"/>
      <c r="AJ74" s="475"/>
      <c r="AK74" s="475"/>
      <c r="AL74" s="475"/>
      <c r="AM74" s="475"/>
      <c r="AN74" s="475"/>
      <c r="AO74" s="475"/>
      <c r="AP74" s="475"/>
      <c r="AQ74" s="475"/>
      <c r="AR74" s="475"/>
      <c r="AS74" s="475"/>
      <c r="AT74" s="475"/>
      <c r="AU74" s="475"/>
      <c r="AV74" s="475"/>
      <c r="AW74" s="475"/>
      <c r="AX74" s="475"/>
      <c r="AY74" s="475"/>
      <c r="AZ74" s="475"/>
      <c r="BA74" s="475"/>
      <c r="BB74" s="475"/>
      <c r="BC74" s="475"/>
      <c r="BD74" s="475"/>
      <c r="BE74" s="475"/>
      <c r="BF74" s="475"/>
      <c r="BG74" s="475"/>
      <c r="BH74" s="475"/>
      <c r="BI74" s="475"/>
      <c r="BJ74" s="475"/>
      <c r="BM74" s="498"/>
    </row>
    <row r="75" spans="2:70" s="123" customFormat="1">
      <c r="B75" s="216" t="s">
        <v>1063</v>
      </c>
      <c r="C75" s="1318"/>
      <c r="D75" s="1318"/>
      <c r="E75" s="1318"/>
      <c r="F75" s="1318"/>
      <c r="G75" s="1318"/>
      <c r="H75" s="1318"/>
      <c r="I75" s="1318"/>
      <c r="J75" s="1318"/>
      <c r="K75" s="1319"/>
      <c r="L75" s="1318"/>
      <c r="M75" s="1318"/>
      <c r="N75" s="1318"/>
      <c r="O75" s="1318"/>
      <c r="P75" s="1318"/>
      <c r="Q75" s="1318"/>
      <c r="R75" s="1318"/>
      <c r="S75" s="1318"/>
      <c r="T75" s="1318"/>
      <c r="U75" s="1318"/>
      <c r="V75" s="1318"/>
      <c r="W75" s="1318"/>
      <c r="X75" s="1318"/>
      <c r="Y75" s="1318"/>
      <c r="Z75" s="1318"/>
      <c r="AA75" s="1318"/>
      <c r="AB75" s="1318"/>
      <c r="AC75" s="1318"/>
      <c r="AD75" s="1318"/>
      <c r="AE75" s="1318"/>
      <c r="AF75" s="1318"/>
      <c r="AG75" s="1318"/>
      <c r="AH75" s="1318"/>
      <c r="AI75" s="1318"/>
      <c r="AJ75" s="1318"/>
      <c r="AK75" s="1318"/>
      <c r="AL75" s="1318"/>
      <c r="AM75" s="1318"/>
      <c r="AN75" s="1318"/>
      <c r="AO75" s="1318"/>
      <c r="AP75" s="1318"/>
      <c r="AQ75" s="1318"/>
      <c r="AR75" s="1318"/>
      <c r="AS75" s="1318"/>
      <c r="AT75" s="1318"/>
      <c r="AU75" s="1318"/>
      <c r="AV75" s="1318"/>
      <c r="AW75" s="1318"/>
      <c r="AX75" s="1318"/>
      <c r="AY75" s="1318"/>
      <c r="AZ75" s="1318"/>
      <c r="BA75" s="1318"/>
      <c r="BB75" s="1318"/>
      <c r="BC75" s="1318"/>
      <c r="BD75" s="1318"/>
      <c r="BE75" s="1318"/>
      <c r="BF75" s="1318"/>
      <c r="BG75" s="1318"/>
      <c r="BH75" s="1318"/>
      <c r="BI75" s="1318"/>
      <c r="BJ75" s="1318"/>
      <c r="BM75" s="498"/>
    </row>
    <row r="76" spans="2:70">
      <c r="C76" s="509"/>
      <c r="D76" s="509"/>
      <c r="E76" s="509"/>
      <c r="F76" s="509"/>
      <c r="G76" s="509"/>
      <c r="H76" s="510"/>
      <c r="I76" s="509"/>
      <c r="J76" s="509"/>
      <c r="K76" s="511"/>
      <c r="L76" s="509"/>
      <c r="M76" s="509"/>
      <c r="N76" s="509"/>
      <c r="O76" s="509"/>
      <c r="P76" s="509"/>
      <c r="Q76" s="509"/>
      <c r="R76" s="509"/>
      <c r="S76" s="509"/>
      <c r="T76" s="509"/>
      <c r="U76" s="509"/>
      <c r="V76" s="509"/>
      <c r="W76" s="509"/>
      <c r="X76" s="509"/>
      <c r="Y76" s="509"/>
      <c r="Z76" s="509"/>
      <c r="AA76" s="509"/>
      <c r="AB76" s="509"/>
      <c r="AC76" s="509"/>
      <c r="AD76" s="509"/>
      <c r="AE76" s="509"/>
      <c r="AF76" s="509"/>
      <c r="AG76" s="509"/>
      <c r="AH76" s="509"/>
      <c r="AI76" s="509"/>
      <c r="AJ76" s="509"/>
      <c r="AK76" s="509"/>
      <c r="AL76" s="509"/>
      <c r="AM76" s="509"/>
      <c r="AN76" s="509"/>
      <c r="AO76" s="509"/>
      <c r="AP76" s="509"/>
      <c r="AQ76" s="509"/>
      <c r="AR76" s="509"/>
      <c r="AS76" s="509"/>
      <c r="AT76" s="509"/>
      <c r="AU76" s="509"/>
      <c r="AV76" s="509"/>
      <c r="AW76" s="509"/>
      <c r="AX76" s="509"/>
      <c r="AY76" s="509"/>
      <c r="AZ76" s="509"/>
      <c r="BA76" s="509"/>
      <c r="BB76" s="509"/>
      <c r="BC76" s="509"/>
      <c r="BD76" s="509"/>
      <c r="BE76" s="509"/>
      <c r="BF76" s="509"/>
      <c r="BG76" s="509"/>
      <c r="BH76" s="509"/>
      <c r="BI76" s="509"/>
      <c r="BJ76" s="509"/>
    </row>
    <row r="77" spans="2:70">
      <c r="B77" s="512" t="s">
        <v>41</v>
      </c>
      <c r="C77" s="513">
        <f t="shared" ref="C77:AI77" si="256">C43/C88*100</f>
        <v>37.4</v>
      </c>
      <c r="D77" s="513">
        <f t="shared" si="256"/>
        <v>30.60900668054931</v>
      </c>
      <c r="E77" s="513">
        <f t="shared" si="256"/>
        <v>67.823911013737785</v>
      </c>
      <c r="F77" s="513">
        <f t="shared" si="256"/>
        <v>37.619140375264607</v>
      </c>
      <c r="G77" s="513">
        <f t="shared" si="256"/>
        <v>34.118347260829616</v>
      </c>
      <c r="H77" s="513">
        <f t="shared" si="256"/>
        <v>71.402314370602156</v>
      </c>
      <c r="I77" s="513">
        <f t="shared" si="256"/>
        <v>40.334525918442701</v>
      </c>
      <c r="J77" s="513">
        <f t="shared" si="256"/>
        <v>36.252396737834609</v>
      </c>
      <c r="K77" s="514">
        <f t="shared" si="256"/>
        <v>76.571890616617424</v>
      </c>
      <c r="L77" s="513">
        <f t="shared" si="256"/>
        <v>35.176445779646201</v>
      </c>
      <c r="M77" s="513">
        <f t="shared" si="256"/>
        <v>39.192260458936452</v>
      </c>
      <c r="N77" s="513">
        <f t="shared" si="256"/>
        <v>74.369948783794911</v>
      </c>
      <c r="O77" s="513">
        <f t="shared" si="256"/>
        <v>77.138210350118641</v>
      </c>
      <c r="P77" s="513">
        <f t="shared" si="256"/>
        <v>57.581509622249904</v>
      </c>
      <c r="Q77" s="513">
        <f t="shared" si="256"/>
        <v>134.64944475690751</v>
      </c>
      <c r="R77" s="513">
        <f t="shared" si="256"/>
        <v>49.506054004495333</v>
      </c>
      <c r="S77" s="513">
        <f t="shared" si="256"/>
        <v>57.616785703106835</v>
      </c>
      <c r="T77" s="513">
        <f t="shared" si="256"/>
        <v>107.11544089968299</v>
      </c>
      <c r="U77" s="513">
        <f t="shared" si="256"/>
        <v>67.358542310943633</v>
      </c>
      <c r="V77" s="513">
        <f t="shared" si="256"/>
        <v>52.665386429639661</v>
      </c>
      <c r="W77" s="513">
        <f t="shared" si="256"/>
        <v>120.0331932375537</v>
      </c>
      <c r="X77" s="513">
        <f t="shared" si="256"/>
        <v>63.725117579863976</v>
      </c>
      <c r="Y77" s="513">
        <f t="shared" si="256"/>
        <v>42.555300613146798</v>
      </c>
      <c r="Z77" s="513">
        <f t="shared" si="256"/>
        <v>106.32237645451845</v>
      </c>
      <c r="AA77" s="513">
        <f t="shared" si="256"/>
        <v>57.443068319913301</v>
      </c>
      <c r="AB77" s="513">
        <f t="shared" ref="AB77" si="257">AB43/AB88*100</f>
        <v>44.637211982233929</v>
      </c>
      <c r="AC77" s="513">
        <f t="shared" si="256"/>
        <v>102.10322898298389</v>
      </c>
      <c r="AD77" s="513">
        <f t="shared" si="256"/>
        <v>57.578482706680376</v>
      </c>
      <c r="AE77" s="513">
        <f t="shared" si="256"/>
        <v>45.51657962239323</v>
      </c>
      <c r="AF77" s="513">
        <f t="shared" si="256"/>
        <v>103.09506232907361</v>
      </c>
      <c r="AG77" s="513">
        <f t="shared" si="256"/>
        <v>65.080078192709223</v>
      </c>
      <c r="AH77" s="513">
        <f t="shared" si="256"/>
        <v>55.970186078278985</v>
      </c>
      <c r="AI77" s="513">
        <f t="shared" si="256"/>
        <v>121.05026427098819</v>
      </c>
      <c r="AJ77" s="513"/>
      <c r="AK77" s="513"/>
      <c r="AL77" s="513">
        <f>AL43/AL88*100</f>
        <v>130.35691279936182</v>
      </c>
      <c r="AM77" s="513"/>
      <c r="AN77" s="513"/>
      <c r="AO77" s="513">
        <f>AO43/AO88*100</f>
        <v>138.82835670356829</v>
      </c>
      <c r="AP77" s="513"/>
      <c r="AQ77" s="513"/>
      <c r="AR77" s="513">
        <f>AR43/AR88*100</f>
        <v>146.05659082373671</v>
      </c>
      <c r="AS77" s="513"/>
      <c r="AT77" s="513"/>
      <c r="AU77" s="513">
        <f>AU43/AU88*100</f>
        <v>152.87497112805852</v>
      </c>
      <c r="AV77" s="513"/>
      <c r="AW77" s="513"/>
      <c r="AX77" s="513">
        <f>AX43/AX88*100</f>
        <v>159.06781425927696</v>
      </c>
      <c r="AY77" s="513"/>
      <c r="AZ77" s="513"/>
      <c r="BA77" s="513">
        <f>BA43/BA88*100</f>
        <v>165.52217850695843</v>
      </c>
      <c r="BB77" s="513"/>
      <c r="BC77" s="513"/>
      <c r="BD77" s="513">
        <f>BD43/BD88*100</f>
        <v>172.25448761028855</v>
      </c>
      <c r="BE77" s="513"/>
      <c r="BF77" s="513"/>
      <c r="BG77" s="513">
        <f>BG43/BG88*100</f>
        <v>179.27817625870279</v>
      </c>
      <c r="BH77" s="513"/>
      <c r="BI77" s="513"/>
      <c r="BJ77" s="513">
        <f>BJ43/BJ88*100</f>
        <v>186.60722693285254</v>
      </c>
    </row>
    <row r="78" spans="2:70">
      <c r="B78" s="124" t="s">
        <v>42</v>
      </c>
      <c r="C78" s="473"/>
      <c r="D78" s="473"/>
      <c r="E78" s="473"/>
      <c r="F78" s="473">
        <f>F77/C77-1</f>
        <v>5.8593683225831583E-3</v>
      </c>
      <c r="G78" s="473">
        <f t="shared" ref="G78:O78" si="258">G77/D77-1</f>
        <v>0.11465058689769037</v>
      </c>
      <c r="H78" s="473">
        <f t="shared" si="258"/>
        <v>5.2760203641744718E-2</v>
      </c>
      <c r="I78" s="473">
        <f t="shared" si="258"/>
        <v>7.2180956717541545E-2</v>
      </c>
      <c r="J78" s="473">
        <f t="shared" si="258"/>
        <v>6.2548442358315581E-2</v>
      </c>
      <c r="K78" s="560">
        <f t="shared" si="258"/>
        <v>7.2400681848818316E-2</v>
      </c>
      <c r="L78" s="473">
        <f t="shared" si="258"/>
        <v>-0.12788250317423466</v>
      </c>
      <c r="M78" s="473">
        <f t="shared" si="258"/>
        <v>8.1094327151994161E-2</v>
      </c>
      <c r="N78" s="473">
        <f t="shared" si="258"/>
        <v>-2.8756529518740304E-2</v>
      </c>
      <c r="O78" s="473">
        <f t="shared" si="258"/>
        <v>1.192893814040541</v>
      </c>
      <c r="P78" s="473">
        <f t="shared" ref="P78:W78" si="259">P77/M77-1</f>
        <v>0.46920613784399401</v>
      </c>
      <c r="Q78" s="473">
        <f t="shared" si="259"/>
        <v>0.8105356660706402</v>
      </c>
      <c r="R78" s="473">
        <f t="shared" si="259"/>
        <v>-0.35821619687837114</v>
      </c>
      <c r="S78" s="473">
        <f t="shared" si="259"/>
        <v>6.126286213812282E-4</v>
      </c>
      <c r="T78" s="473">
        <f t="shared" si="259"/>
        <v>-0.20448657554387739</v>
      </c>
      <c r="U78" s="473">
        <f t="shared" si="259"/>
        <v>0.36061222542251548</v>
      </c>
      <c r="V78" s="473">
        <f t="shared" si="259"/>
        <v>-8.5936749387256817E-2</v>
      </c>
      <c r="W78" s="473">
        <f t="shared" si="259"/>
        <v>0.12059654732662306</v>
      </c>
      <c r="X78" s="473">
        <f t="shared" ref="X78" si="260">X77/U77-1</f>
        <v>-5.3941558211085927E-2</v>
      </c>
      <c r="Y78" s="473">
        <f t="shared" ref="Y78" si="261">Y77/V77-1</f>
        <v>-0.19196832116668927</v>
      </c>
      <c r="Z78" s="473">
        <f>Z77/W77-1</f>
        <v>-0.11422521065402824</v>
      </c>
      <c r="AA78" s="473">
        <f t="shared" ref="AA78:AB78" si="262">AA77/X77-1</f>
        <v>-9.8580426345665773E-2</v>
      </c>
      <c r="AB78" s="473">
        <f t="shared" si="262"/>
        <v>4.8922492359129377E-2</v>
      </c>
      <c r="AC78" s="473">
        <f>AC77/Z77-1</f>
        <v>-3.9682591870389361E-2</v>
      </c>
      <c r="AD78" s="473">
        <f t="shared" ref="AD78" si="263">AD77/AA77-1</f>
        <v>2.3573668804202086E-3</v>
      </c>
      <c r="AE78" s="473">
        <f t="shared" ref="AE78" si="264">AE77/AB77-1</f>
        <v>1.9700326277306557E-2</v>
      </c>
      <c r="AF78" s="473">
        <f>AF77/AC77-1</f>
        <v>9.7140252660865567E-3</v>
      </c>
      <c r="AG78" s="473">
        <f t="shared" ref="AG78" si="265">AG77/AD77-1</f>
        <v>0.13028470243378787</v>
      </c>
      <c r="AH78" s="473">
        <f t="shared" ref="AH78" si="266">AH77/AE77-1</f>
        <v>0.22966590509676155</v>
      </c>
      <c r="AI78" s="473">
        <f>AI77/AF77-1</f>
        <v>0.17416160906525846</v>
      </c>
      <c r="AJ78" s="473"/>
      <c r="AK78" s="473"/>
      <c r="AL78" s="473">
        <f>AL77/AI77-1</f>
        <v>7.6882513098355476E-2</v>
      </c>
      <c r="AM78" s="473"/>
      <c r="AN78" s="473"/>
      <c r="AO78" s="473">
        <f>AO77/AL77-1</f>
        <v>6.4986533681150149E-2</v>
      </c>
      <c r="AP78" s="473"/>
      <c r="AQ78" s="473"/>
      <c r="AR78" s="473">
        <f>AR77/AO77-1</f>
        <v>5.2065977670559205E-2</v>
      </c>
      <c r="AS78" s="473"/>
      <c r="AT78" s="473"/>
      <c r="AU78" s="473">
        <f>AU77/AR77-1</f>
        <v>4.668314018468589E-2</v>
      </c>
      <c r="AV78" s="473"/>
      <c r="AW78" s="473"/>
      <c r="AX78" s="473">
        <f>AX77/AU77-1</f>
        <v>4.0509202294670477E-2</v>
      </c>
      <c r="AY78" s="473"/>
      <c r="AZ78" s="473"/>
      <c r="BA78" s="473">
        <f>BA77/AX77-1</f>
        <v>4.0576179899982856E-2</v>
      </c>
      <c r="BB78" s="473"/>
      <c r="BC78" s="473"/>
      <c r="BD78" s="473">
        <f>BD77/BA77-1</f>
        <v>4.0673154280935764E-2</v>
      </c>
      <c r="BE78" s="473"/>
      <c r="BF78" s="473"/>
      <c r="BG78" s="473">
        <f>BG77/BD77-1</f>
        <v>4.0775069177325207E-2</v>
      </c>
      <c r="BH78" s="473"/>
      <c r="BI78" s="473"/>
      <c r="BJ78" s="473">
        <f t="shared" ref="BJ78" si="267">BJ77/BG77-1</f>
        <v>4.08808859343468E-2</v>
      </c>
    </row>
    <row r="79" spans="2:70">
      <c r="B79" s="477"/>
      <c r="C79" s="474"/>
      <c r="D79" s="474"/>
      <c r="E79" s="515"/>
      <c r="F79" s="474"/>
      <c r="G79" s="474"/>
      <c r="H79" s="505"/>
      <c r="I79" s="474"/>
      <c r="J79" s="474"/>
      <c r="K79" s="506"/>
      <c r="L79" s="474"/>
      <c r="M79" s="474"/>
      <c r="O79" s="474"/>
      <c r="P79" s="474"/>
      <c r="Q79" s="505"/>
      <c r="R79" s="474"/>
      <c r="S79" s="474"/>
      <c r="T79" s="505"/>
      <c r="U79" s="474"/>
      <c r="V79" s="474"/>
      <c r="W79" s="505"/>
      <c r="X79" s="474"/>
      <c r="Y79" s="474"/>
      <c r="Z79" s="505"/>
      <c r="AA79" s="474"/>
      <c r="AB79" s="474"/>
      <c r="AC79" s="505"/>
      <c r="AD79" s="474"/>
      <c r="AE79" s="474"/>
      <c r="AF79" s="474"/>
      <c r="AG79" s="474"/>
      <c r="AH79" s="474"/>
      <c r="AI79" s="474"/>
      <c r="AJ79" s="474"/>
      <c r="AK79" s="474"/>
      <c r="AL79" s="474"/>
      <c r="AM79" s="474"/>
      <c r="AN79" s="474"/>
      <c r="AO79" s="474"/>
      <c r="AP79" s="474"/>
      <c r="AQ79" s="474"/>
      <c r="AR79" s="474"/>
      <c r="AS79" s="474"/>
      <c r="AT79" s="474"/>
      <c r="AU79" s="474"/>
      <c r="AV79" s="474"/>
      <c r="AW79" s="474"/>
      <c r="AX79" s="474"/>
      <c r="AY79" s="474"/>
      <c r="AZ79" s="474"/>
      <c r="BA79" s="474"/>
      <c r="BB79" s="474"/>
      <c r="BC79" s="474"/>
      <c r="BD79" s="474"/>
      <c r="BE79" s="474"/>
      <c r="BF79" s="474"/>
      <c r="BG79" s="474"/>
      <c r="BH79" s="474"/>
      <c r="BI79" s="474"/>
      <c r="BJ79" s="474"/>
    </row>
    <row r="80" spans="2:70" outlineLevel="1">
      <c r="B80" s="122" t="s">
        <v>911</v>
      </c>
      <c r="C80" s="226">
        <f t="shared" ref="C80:AI80" si="268">C51/C88*100</f>
        <v>37.4</v>
      </c>
      <c r="D80" s="480">
        <f t="shared" si="268"/>
        <v>13.463928803470605</v>
      </c>
      <c r="E80" s="480">
        <f t="shared" si="268"/>
        <v>50.678833136659087</v>
      </c>
      <c r="F80" s="480">
        <f t="shared" si="268"/>
        <v>36.250249822525873</v>
      </c>
      <c r="G80" s="480">
        <f t="shared" si="268"/>
        <v>28.038347233494733</v>
      </c>
      <c r="H80" s="480">
        <f t="shared" si="268"/>
        <v>63.965620122291725</v>
      </c>
      <c r="I80" s="480">
        <f t="shared" si="268"/>
        <v>36.014763491311861</v>
      </c>
      <c r="J80" s="480">
        <f t="shared" si="268"/>
        <v>33.942687250382548</v>
      </c>
      <c r="K80" s="481">
        <f t="shared" si="268"/>
        <v>69.944028609146287</v>
      </c>
      <c r="L80" s="480">
        <f t="shared" si="268"/>
        <v>28.803537628412151</v>
      </c>
      <c r="M80" s="480">
        <f t="shared" si="268"/>
        <v>26.496176084914786</v>
      </c>
      <c r="N80" s="480">
        <f t="shared" si="268"/>
        <v>55.30073114692442</v>
      </c>
      <c r="O80" s="480">
        <f t="shared" si="268"/>
        <v>75.908216107633834</v>
      </c>
      <c r="P80" s="480">
        <f t="shared" si="268"/>
        <v>56.264859249789922</v>
      </c>
      <c r="Q80" s="480">
        <f t="shared" si="268"/>
        <v>132.1039207034849</v>
      </c>
      <c r="R80" s="480">
        <f t="shared" si="268"/>
        <v>48.628287089522011</v>
      </c>
      <c r="S80" s="480">
        <f t="shared" si="268"/>
        <v>57.221849624410737</v>
      </c>
      <c r="T80" s="480">
        <f t="shared" si="268"/>
        <v>105.84286909055116</v>
      </c>
      <c r="U80" s="480">
        <f t="shared" si="268"/>
        <v>63.277536164417405</v>
      </c>
      <c r="V80" s="480">
        <f t="shared" si="268"/>
        <v>52.138732565343261</v>
      </c>
      <c r="W80" s="480">
        <f t="shared" si="268"/>
        <v>115.42497192496025</v>
      </c>
      <c r="X80" s="480">
        <f t="shared" si="268"/>
        <v>62.935136783419374</v>
      </c>
      <c r="Y80" s="480">
        <f t="shared" si="268"/>
        <v>42.467467175348773</v>
      </c>
      <c r="Z80" s="480">
        <f t="shared" si="268"/>
        <v>105.44404207653812</v>
      </c>
      <c r="AA80" s="480">
        <f t="shared" si="268"/>
        <v>57.00390113092314</v>
      </c>
      <c r="AB80" s="480">
        <f t="shared" ref="AB80" si="269">AB51/AB88*100</f>
        <v>40.41952266107797</v>
      </c>
      <c r="AC80" s="480">
        <f t="shared" si="268"/>
        <v>97.446197024207521</v>
      </c>
      <c r="AD80" s="480">
        <f t="shared" si="268"/>
        <v>57.578482706680376</v>
      </c>
      <c r="AE80" s="480">
        <f t="shared" si="268"/>
        <v>45.51657962239323</v>
      </c>
      <c r="AF80" s="480">
        <f t="shared" si="268"/>
        <v>103.09506232907361</v>
      </c>
      <c r="AG80" s="480">
        <f t="shared" si="268"/>
        <v>65.080078192709223</v>
      </c>
      <c r="AH80" s="480">
        <f t="shared" si="268"/>
        <v>55.970186078278985</v>
      </c>
      <c r="AI80" s="480">
        <f t="shared" si="268"/>
        <v>121.05026427098819</v>
      </c>
      <c r="AJ80" s="480"/>
      <c r="AK80" s="480"/>
      <c r="AL80" s="480">
        <f>AL51/AL88*100</f>
        <v>130.35691279936182</v>
      </c>
      <c r="AM80" s="480"/>
      <c r="AN80" s="480"/>
      <c r="AO80" s="480">
        <f>AO51/AO88*100</f>
        <v>138.82835670356829</v>
      </c>
      <c r="AP80" s="480"/>
      <c r="AQ80" s="480"/>
      <c r="AR80" s="480">
        <f>AR51/AR88*100</f>
        <v>146.05659082373671</v>
      </c>
      <c r="AS80" s="480"/>
      <c r="AT80" s="480"/>
      <c r="AU80" s="480">
        <f>AU51/AU88*100</f>
        <v>152.87497112805852</v>
      </c>
      <c r="AV80" s="480"/>
      <c r="AW80" s="480"/>
      <c r="AX80" s="480">
        <f>AX51/AX88*100</f>
        <v>159.06781425927696</v>
      </c>
      <c r="AY80" s="480"/>
      <c r="AZ80" s="480"/>
      <c r="BA80" s="480">
        <f>BA51/BA88*100</f>
        <v>165.52217850695843</v>
      </c>
      <c r="BB80" s="480"/>
      <c r="BC80" s="480"/>
      <c r="BD80" s="480">
        <f>BD51/BD88*100</f>
        <v>172.25448761028855</v>
      </c>
      <c r="BE80" s="480"/>
      <c r="BF80" s="480"/>
      <c r="BG80" s="480">
        <f>BG51/BG88*100</f>
        <v>179.27817625870279</v>
      </c>
      <c r="BH80" s="480"/>
      <c r="BI80" s="480"/>
      <c r="BJ80" s="480">
        <f>BJ51/BJ88*100</f>
        <v>186.60722693285254</v>
      </c>
      <c r="BN80" s="225"/>
      <c r="BO80" s="225"/>
      <c r="BP80" s="225"/>
      <c r="BR80" s="516"/>
    </row>
    <row r="81" spans="2:70" outlineLevel="1">
      <c r="B81" s="122" t="s">
        <v>897</v>
      </c>
      <c r="D81" s="517"/>
      <c r="E81" s="517"/>
      <c r="F81" s="517">
        <f t="shared" ref="F81:G81" si="270">F80/C80-1</f>
        <v>-3.0741983354923175E-2</v>
      </c>
      <c r="G81" s="517">
        <f t="shared" si="270"/>
        <v>1.0824788694862431</v>
      </c>
      <c r="H81" s="1316">
        <f>H80/E80-1</f>
        <v>0.26217626103986791</v>
      </c>
      <c r="I81" s="1316">
        <f t="shared" ref="I81:AB81" si="271">I80/F80-1</f>
        <v>-6.4961298850878535E-3</v>
      </c>
      <c r="J81" s="1316">
        <f t="shared" si="271"/>
        <v>0.21058088651653706</v>
      </c>
      <c r="K81" s="1317">
        <f t="shared" si="271"/>
        <v>9.3462839497605588E-2</v>
      </c>
      <c r="L81" s="1316">
        <f t="shared" si="271"/>
        <v>-0.20022971592300842</v>
      </c>
      <c r="M81" s="1316">
        <f t="shared" si="271"/>
        <v>-0.21938484453330476</v>
      </c>
      <c r="N81" s="1316">
        <f t="shared" si="271"/>
        <v>-0.20935736407249239</v>
      </c>
      <c r="O81" s="1316">
        <f t="shared" si="271"/>
        <v>1.6353782332888538</v>
      </c>
      <c r="P81" s="1316">
        <f t="shared" si="271"/>
        <v>1.1235086553422895</v>
      </c>
      <c r="Q81" s="1316">
        <f t="shared" si="271"/>
        <v>1.3888277417618182</v>
      </c>
      <c r="R81" s="1316">
        <f t="shared" si="271"/>
        <v>-0.35938045203737001</v>
      </c>
      <c r="S81" s="1316">
        <f t="shared" si="271"/>
        <v>1.7008669129913168E-2</v>
      </c>
      <c r="T81" s="1316">
        <f t="shared" si="271"/>
        <v>-0.19879085702443478</v>
      </c>
      <c r="U81" s="1316">
        <f t="shared" si="271"/>
        <v>0.30124953914019081</v>
      </c>
      <c r="V81" s="1316">
        <f t="shared" si="271"/>
        <v>-8.8831750326697323E-2</v>
      </c>
      <c r="W81" s="1316">
        <f t="shared" si="271"/>
        <v>9.0531397313232009E-2</v>
      </c>
      <c r="X81" s="1316">
        <f t="shared" si="271"/>
        <v>-5.4110732141712248E-3</v>
      </c>
      <c r="Y81" s="1316">
        <f t="shared" si="271"/>
        <v>-0.18549099516130163</v>
      </c>
      <c r="Z81" s="1316">
        <f t="shared" si="271"/>
        <v>-8.6471148157704514E-2</v>
      </c>
      <c r="AA81" s="1372">
        <f t="shared" si="271"/>
        <v>-9.4243628529919299E-2</v>
      </c>
      <c r="AB81" s="1316">
        <f t="shared" si="271"/>
        <v>-4.8223844050195197E-2</v>
      </c>
      <c r="AC81" s="1316">
        <f>AC80/Z80-1</f>
        <v>-7.5849188771853537E-2</v>
      </c>
      <c r="AD81" s="1316">
        <f t="shared" ref="AD81:BJ81" si="272">AD80/AA80-1</f>
        <v>1.0079688659159869E-2</v>
      </c>
      <c r="AE81" s="1316">
        <f t="shared" si="272"/>
        <v>0.12610383858450347</v>
      </c>
      <c r="AF81" s="1316">
        <f t="shared" si="272"/>
        <v>5.7969068854095918E-2</v>
      </c>
      <c r="AG81" s="1316">
        <f t="shared" si="272"/>
        <v>0.13028470243378787</v>
      </c>
      <c r="AH81" s="1316">
        <f t="shared" si="272"/>
        <v>0.22966590509676155</v>
      </c>
      <c r="AI81" s="1316">
        <f t="shared" si="272"/>
        <v>0.17416160906525846</v>
      </c>
      <c r="AJ81" s="1316">
        <f t="shared" si="272"/>
        <v>-1</v>
      </c>
      <c r="AK81" s="1316">
        <f t="shared" si="272"/>
        <v>-1</v>
      </c>
      <c r="AL81" s="1316">
        <f t="shared" si="272"/>
        <v>7.6882513098355476E-2</v>
      </c>
      <c r="AM81" s="1316" t="e">
        <f t="shared" si="272"/>
        <v>#DIV/0!</v>
      </c>
      <c r="AN81" s="1316" t="e">
        <f t="shared" si="272"/>
        <v>#DIV/0!</v>
      </c>
      <c r="AO81" s="1316">
        <f t="shared" si="272"/>
        <v>6.4986533681150149E-2</v>
      </c>
      <c r="AP81" s="1316" t="e">
        <f t="shared" si="272"/>
        <v>#DIV/0!</v>
      </c>
      <c r="AQ81" s="1316" t="e">
        <f t="shared" si="272"/>
        <v>#DIV/0!</v>
      </c>
      <c r="AR81" s="1316">
        <f t="shared" si="272"/>
        <v>5.2065977670559205E-2</v>
      </c>
      <c r="AS81" s="1316" t="e">
        <f t="shared" si="272"/>
        <v>#DIV/0!</v>
      </c>
      <c r="AT81" s="1316" t="e">
        <f t="shared" si="272"/>
        <v>#DIV/0!</v>
      </c>
      <c r="AU81" s="1316">
        <f t="shared" si="272"/>
        <v>4.668314018468589E-2</v>
      </c>
      <c r="AV81" s="1316" t="e">
        <f t="shared" si="272"/>
        <v>#DIV/0!</v>
      </c>
      <c r="AW81" s="1316" t="e">
        <f t="shared" si="272"/>
        <v>#DIV/0!</v>
      </c>
      <c r="AX81" s="1316">
        <f t="shared" si="272"/>
        <v>4.0509202294670477E-2</v>
      </c>
      <c r="AY81" s="1316" t="e">
        <f t="shared" si="272"/>
        <v>#DIV/0!</v>
      </c>
      <c r="AZ81" s="1316" t="e">
        <f t="shared" si="272"/>
        <v>#DIV/0!</v>
      </c>
      <c r="BA81" s="1316">
        <f t="shared" si="272"/>
        <v>4.0576179899982856E-2</v>
      </c>
      <c r="BB81" s="1316" t="e">
        <f t="shared" si="272"/>
        <v>#DIV/0!</v>
      </c>
      <c r="BC81" s="1316" t="e">
        <f t="shared" si="272"/>
        <v>#DIV/0!</v>
      </c>
      <c r="BD81" s="1316">
        <f t="shared" si="272"/>
        <v>4.0673154280935764E-2</v>
      </c>
      <c r="BE81" s="1316" t="e">
        <f t="shared" si="272"/>
        <v>#DIV/0!</v>
      </c>
      <c r="BF81" s="1316" t="e">
        <f t="shared" si="272"/>
        <v>#DIV/0!</v>
      </c>
      <c r="BG81" s="1316">
        <f t="shared" si="272"/>
        <v>4.0775069177325207E-2</v>
      </c>
      <c r="BH81" s="1316" t="e">
        <f t="shared" si="272"/>
        <v>#DIV/0!</v>
      </c>
      <c r="BI81" s="1316" t="e">
        <f t="shared" si="272"/>
        <v>#DIV/0!</v>
      </c>
      <c r="BJ81" s="1316">
        <f t="shared" si="272"/>
        <v>4.08808859343468E-2</v>
      </c>
    </row>
    <row r="82" spans="2:70" outlineLevel="1">
      <c r="D82" s="517"/>
      <c r="E82" s="517"/>
      <c r="F82" s="517"/>
      <c r="G82" s="517"/>
      <c r="H82" s="517"/>
      <c r="I82" s="517"/>
      <c r="J82" s="517"/>
      <c r="K82" s="518"/>
      <c r="L82" s="517"/>
      <c r="M82" s="517"/>
      <c r="N82" s="517"/>
      <c r="O82" s="517"/>
      <c r="P82" s="517"/>
      <c r="Q82" s="517"/>
      <c r="R82" s="517"/>
      <c r="S82" s="517"/>
      <c r="T82" s="517"/>
      <c r="U82" s="517"/>
      <c r="V82" s="517"/>
      <c r="W82" s="517"/>
      <c r="X82" s="517"/>
      <c r="Y82" s="517"/>
      <c r="Z82" s="517"/>
      <c r="AA82" s="517"/>
      <c r="AB82" s="517"/>
      <c r="AC82" s="517"/>
      <c r="AD82" s="517"/>
      <c r="AE82" s="517"/>
      <c r="AF82" s="517"/>
      <c r="AG82" s="517"/>
      <c r="AH82" s="517"/>
      <c r="AI82" s="517"/>
      <c r="AJ82" s="517"/>
      <c r="AK82" s="517"/>
      <c r="AL82" s="517"/>
      <c r="AM82" s="517"/>
      <c r="AN82" s="517"/>
      <c r="AO82" s="517"/>
      <c r="AP82" s="517"/>
      <c r="AQ82" s="517"/>
      <c r="AR82" s="517"/>
      <c r="AS82" s="517"/>
      <c r="AT82" s="517"/>
      <c r="AU82" s="517"/>
      <c r="AV82" s="517"/>
      <c r="AW82" s="517"/>
      <c r="AX82" s="517"/>
      <c r="AY82" s="517"/>
      <c r="AZ82" s="517"/>
      <c r="BA82" s="517"/>
      <c r="BB82" s="517"/>
      <c r="BC82" s="517"/>
      <c r="BD82" s="517"/>
      <c r="BE82" s="517"/>
      <c r="BF82" s="517"/>
      <c r="BG82" s="517"/>
      <c r="BH82" s="517"/>
      <c r="BI82" s="517"/>
      <c r="BJ82" s="517"/>
    </row>
    <row r="83" spans="2:70" outlineLevel="1">
      <c r="B83" s="122" t="s">
        <v>898</v>
      </c>
      <c r="C83" s="519">
        <f t="shared" ref="C83:AI83" si="273">C51/C87*100</f>
        <v>37.424617065727311</v>
      </c>
      <c r="D83" s="519">
        <f t="shared" si="273"/>
        <v>13.536806577083063</v>
      </c>
      <c r="E83" s="519">
        <f t="shared" si="273"/>
        <v>50.953148351941934</v>
      </c>
      <c r="F83" s="519">
        <f t="shared" si="273"/>
        <v>36.250249822525873</v>
      </c>
      <c r="G83" s="519">
        <f t="shared" si="273"/>
        <v>28.29040475660063</v>
      </c>
      <c r="H83" s="519">
        <f t="shared" si="273"/>
        <v>64.540654579126496</v>
      </c>
      <c r="I83" s="519">
        <f t="shared" si="273"/>
        <v>36.338409020981153</v>
      </c>
      <c r="J83" s="519">
        <f t="shared" si="273"/>
        <v>34.248006564633585</v>
      </c>
      <c r="K83" s="520">
        <f t="shared" si="273"/>
        <v>70.5879715542535</v>
      </c>
      <c r="L83" s="519">
        <f t="shared" si="273"/>
        <v>29.068555123412605</v>
      </c>
      <c r="M83" s="519">
        <f t="shared" si="273"/>
        <v>25.309027418990222</v>
      </c>
      <c r="N83" s="519">
        <f t="shared" si="273"/>
        <v>55.766132305837111</v>
      </c>
      <c r="O83" s="519">
        <f t="shared" si="273"/>
        <v>76.518920498701419</v>
      </c>
      <c r="P83" s="519">
        <f t="shared" si="273"/>
        <v>56.769245416281976</v>
      </c>
      <c r="Q83" s="519">
        <f t="shared" si="273"/>
        <v>133.43532639089869</v>
      </c>
      <c r="R83" s="519">
        <f t="shared" si="273"/>
        <v>49.064215227176611</v>
      </c>
      <c r="S83" s="519">
        <f t="shared" si="273"/>
        <v>57.74344463559413</v>
      </c>
      <c r="T83" s="519">
        <f t="shared" si="273"/>
        <v>106.80765986277075</v>
      </c>
      <c r="U83" s="519">
        <f t="shared" si="273"/>
        <v>63.854330647643209</v>
      </c>
      <c r="V83" s="519">
        <f t="shared" si="273"/>
        <v>52.606757842857235</v>
      </c>
      <c r="W83" s="519">
        <f t="shared" si="273"/>
        <v>116.46108849050046</v>
      </c>
      <c r="X83" s="519">
        <f t="shared" si="273"/>
        <v>63.500076386075136</v>
      </c>
      <c r="Y83" s="519">
        <f t="shared" si="273"/>
        <v>42.820483867039542</v>
      </c>
      <c r="Z83" s="519">
        <f t="shared" si="273"/>
        <v>106.32056025311468</v>
      </c>
      <c r="AA83" s="519">
        <f t="shared" si="273"/>
        <v>57.477753939418086</v>
      </c>
      <c r="AB83" s="519">
        <f t="shared" ref="AB83" si="274">AB51/AB87*100</f>
        <v>40.73924008032715</v>
      </c>
      <c r="AC83" s="519">
        <f t="shared" si="273"/>
        <v>98.216994019745229</v>
      </c>
      <c r="AD83" s="519">
        <f t="shared" si="273"/>
        <v>58.033927073246105</v>
      </c>
      <c r="AE83" s="519">
        <f t="shared" si="273"/>
        <v>45.876614635472066</v>
      </c>
      <c r="AF83" s="519">
        <f t="shared" si="273"/>
        <v>103.91054170871816</v>
      </c>
      <c r="AG83" s="519">
        <f t="shared" si="273"/>
        <v>65.594859993048104</v>
      </c>
      <c r="AH83" s="519">
        <f t="shared" si="273"/>
        <v>56.412908858503087</v>
      </c>
      <c r="AI83" s="519">
        <f t="shared" si="273"/>
        <v>122.00776885155121</v>
      </c>
      <c r="AJ83" s="519"/>
      <c r="AK83" s="519"/>
      <c r="AL83" s="519">
        <f>AL51/AL87*100</f>
        <v>131.3880327383817</v>
      </c>
      <c r="AM83" s="519"/>
      <c r="AN83" s="519"/>
      <c r="AO83" s="519">
        <f>AO51/AO87*100</f>
        <v>139.92648555323458</v>
      </c>
      <c r="AP83" s="519"/>
      <c r="AQ83" s="519"/>
      <c r="AR83" s="519">
        <f>AR51/AR87*100</f>
        <v>147.21189482556915</v>
      </c>
      <c r="AS83" s="519"/>
      <c r="AT83" s="519"/>
      <c r="AU83" s="519">
        <f>AU51/AU87*100</f>
        <v>154.0842083485644</v>
      </c>
      <c r="AV83" s="519"/>
      <c r="AW83" s="519"/>
      <c r="AX83" s="519">
        <f>AX51/AX87*100</f>
        <v>160.32603671497054</v>
      </c>
      <c r="AY83" s="519"/>
      <c r="AZ83" s="519"/>
      <c r="BA83" s="519">
        <f>BA51/BA87*100</f>
        <v>166.83145482336843</v>
      </c>
      <c r="BB83" s="519"/>
      <c r="BC83" s="519"/>
      <c r="BD83" s="519">
        <f>BD51/BD87*100</f>
        <v>173.61701632431229</v>
      </c>
      <c r="BE83" s="519"/>
      <c r="BF83" s="519"/>
      <c r="BG83" s="519">
        <f>BG51/BG87*100</f>
        <v>180.69626217529694</v>
      </c>
      <c r="BH83" s="519"/>
      <c r="BI83" s="519"/>
      <c r="BJ83" s="519">
        <f>BJ51/BJ87*100</f>
        <v>188.0832854580481</v>
      </c>
      <c r="BN83" s="225"/>
      <c r="BO83" s="225"/>
      <c r="BP83" s="225"/>
      <c r="BR83" s="516"/>
    </row>
    <row r="84" spans="2:70" outlineLevel="1">
      <c r="B84" s="122" t="s">
        <v>897</v>
      </c>
      <c r="D84" s="517"/>
      <c r="E84" s="517"/>
      <c r="F84" s="517">
        <f t="shared" ref="F84" si="275">F83/C83-1</f>
        <v>-3.1379539332064388E-2</v>
      </c>
      <c r="G84" s="517">
        <f t="shared" ref="G84" si="276">G83/D83-1</f>
        <v>1.0898876404494433</v>
      </c>
      <c r="H84" s="517">
        <f>H83/E83-1</f>
        <v>0.2666666666666675</v>
      </c>
      <c r="I84" s="517">
        <f t="shared" ref="I84" si="277">I83/F83-1</f>
        <v>2.4319611281822251E-3</v>
      </c>
      <c r="J84" s="517">
        <f t="shared" ref="J84" si="278">J83/G83-1</f>
        <v>0.21058736554990243</v>
      </c>
      <c r="K84" s="518">
        <f t="shared" ref="K84" si="279">K83/H83-1</f>
        <v>9.3697794274971713E-2</v>
      </c>
      <c r="L84" s="517">
        <f t="shared" ref="L84" si="280">L83/I83-1</f>
        <v>-0.20005977403609121</v>
      </c>
      <c r="M84" s="517">
        <f t="shared" ref="M84" si="281">M83/J83-1</f>
        <v>-0.2610072831180269</v>
      </c>
      <c r="N84" s="517">
        <f t="shared" ref="N84" si="282">N83/K83-1</f>
        <v>-0.20997684055879706</v>
      </c>
      <c r="O84" s="517">
        <f t="shared" ref="O84" si="283">O83/L83-1</f>
        <v>1.6323606444776817</v>
      </c>
      <c r="P84" s="517">
        <f t="shared" ref="P84" si="284">P83/M83-1</f>
        <v>1.2430433408786814</v>
      </c>
      <c r="Q84" s="517">
        <f t="shared" ref="Q84" si="285">Q83/N83-1</f>
        <v>1.3927663776125256</v>
      </c>
      <c r="R84" s="517">
        <f t="shared" ref="R84" si="286">R83/O83-1</f>
        <v>-0.35879629629629617</v>
      </c>
      <c r="S84" s="517">
        <f t="shared" ref="S84" si="287">S83/P83-1</f>
        <v>1.7160686427456717E-2</v>
      </c>
      <c r="T84" s="517">
        <f t="shared" ref="T84" si="288">T83/Q83-1</f>
        <v>-0.19955484989126659</v>
      </c>
      <c r="U84" s="517">
        <f t="shared" ref="U84" si="289">U83/R83-1</f>
        <v>0.3014440433212997</v>
      </c>
      <c r="V84" s="517">
        <f t="shared" ref="V84" si="290">V83/S83-1</f>
        <v>-8.8957055214723857E-2</v>
      </c>
      <c r="W84" s="517">
        <f t="shared" ref="W84" si="291">W83/T83-1</f>
        <v>9.0381426202321924E-2</v>
      </c>
      <c r="X84" s="517">
        <f t="shared" ref="X84" si="292">X83/U83-1</f>
        <v>-5.5478502080446024E-3</v>
      </c>
      <c r="Y84" s="517">
        <f t="shared" ref="Y84:AB84" si="293">Y83/V83-1</f>
        <v>-0.18602693602693554</v>
      </c>
      <c r="Z84" s="517">
        <f t="shared" si="293"/>
        <v>-8.7072243346007605E-2</v>
      </c>
      <c r="AA84" s="517">
        <f t="shared" ref="AA84" si="294">AA83/X83-1</f>
        <v>-9.4839609483960863E-2</v>
      </c>
      <c r="AB84" s="517">
        <f t="shared" si="293"/>
        <v>-4.8603929679421509E-2</v>
      </c>
      <c r="AC84" s="517">
        <f>AC83/Z83-1</f>
        <v>-7.6218242399000657E-2</v>
      </c>
      <c r="AD84" s="517">
        <f t="shared" ref="AD84" si="295">AD83/AA83-1</f>
        <v>9.6763198926357319E-3</v>
      </c>
      <c r="AE84" s="517">
        <f t="shared" ref="AE84" si="296">AE83/AB83-1</f>
        <v>0.12610383858450369</v>
      </c>
      <c r="AF84" s="517">
        <f>AF83/AC83-1</f>
        <v>5.7969068854095918E-2</v>
      </c>
      <c r="AG84" s="517">
        <f t="shared" ref="AG84" si="297">AG83/AD83-1</f>
        <v>0.13028470243378765</v>
      </c>
      <c r="AH84" s="517">
        <f t="shared" ref="AH84:BJ84" si="298">AH83/AE83-1</f>
        <v>0.22966590509676132</v>
      </c>
      <c r="AI84" s="517">
        <f t="shared" si="298"/>
        <v>0.1741616090652589</v>
      </c>
      <c r="AJ84" s="517">
        <f t="shared" si="298"/>
        <v>-1</v>
      </c>
      <c r="AK84" s="517">
        <f t="shared" si="298"/>
        <v>-1</v>
      </c>
      <c r="AL84" s="517">
        <f t="shared" si="298"/>
        <v>7.6882513098355254E-2</v>
      </c>
      <c r="AM84" s="517" t="e">
        <f t="shared" si="298"/>
        <v>#DIV/0!</v>
      </c>
      <c r="AN84" s="517" t="e">
        <f t="shared" si="298"/>
        <v>#DIV/0!</v>
      </c>
      <c r="AO84" s="517">
        <f t="shared" si="298"/>
        <v>6.4986533681150149E-2</v>
      </c>
      <c r="AP84" s="517" t="e">
        <f t="shared" si="298"/>
        <v>#DIV/0!</v>
      </c>
      <c r="AQ84" s="517" t="e">
        <f t="shared" si="298"/>
        <v>#DIV/0!</v>
      </c>
      <c r="AR84" s="517">
        <f t="shared" si="298"/>
        <v>5.2065977670559427E-2</v>
      </c>
      <c r="AS84" s="517" t="e">
        <f t="shared" si="298"/>
        <v>#DIV/0!</v>
      </c>
      <c r="AT84" s="517" t="e">
        <f t="shared" si="298"/>
        <v>#DIV/0!</v>
      </c>
      <c r="AU84" s="517">
        <f t="shared" si="298"/>
        <v>4.6683140184685668E-2</v>
      </c>
      <c r="AV84" s="517" t="e">
        <f t="shared" si="298"/>
        <v>#DIV/0!</v>
      </c>
      <c r="AW84" s="517" t="e">
        <f t="shared" si="298"/>
        <v>#DIV/0!</v>
      </c>
      <c r="AX84" s="517">
        <f t="shared" si="298"/>
        <v>4.0509202294670477E-2</v>
      </c>
      <c r="AY84" s="517" t="e">
        <f t="shared" si="298"/>
        <v>#DIV/0!</v>
      </c>
      <c r="AZ84" s="517" t="e">
        <f t="shared" si="298"/>
        <v>#DIV/0!</v>
      </c>
      <c r="BA84" s="517">
        <f t="shared" si="298"/>
        <v>4.0576179899982856E-2</v>
      </c>
      <c r="BB84" s="517" t="e">
        <f t="shared" si="298"/>
        <v>#DIV/0!</v>
      </c>
      <c r="BC84" s="517" t="e">
        <f t="shared" si="298"/>
        <v>#DIV/0!</v>
      </c>
      <c r="BD84" s="517">
        <f t="shared" si="298"/>
        <v>4.0673154280935986E-2</v>
      </c>
      <c r="BE84" s="517" t="e">
        <f t="shared" si="298"/>
        <v>#DIV/0!</v>
      </c>
      <c r="BF84" s="517" t="e">
        <f t="shared" si="298"/>
        <v>#DIV/0!</v>
      </c>
      <c r="BG84" s="517">
        <f t="shared" si="298"/>
        <v>4.0775069177325207E-2</v>
      </c>
      <c r="BH84" s="517" t="e">
        <f t="shared" si="298"/>
        <v>#DIV/0!</v>
      </c>
      <c r="BI84" s="517" t="e">
        <f t="shared" si="298"/>
        <v>#DIV/0!</v>
      </c>
      <c r="BJ84" s="517">
        <f t="shared" si="298"/>
        <v>4.0880885934347022E-2</v>
      </c>
    </row>
    <row r="85" spans="2:70" outlineLevel="1">
      <c r="D85" s="517"/>
      <c r="E85" s="517"/>
      <c r="F85" s="517"/>
      <c r="G85" s="517"/>
      <c r="H85" s="517"/>
      <c r="I85" s="517"/>
      <c r="J85" s="517"/>
      <c r="K85" s="518"/>
      <c r="L85" s="517"/>
      <c r="M85" s="517"/>
      <c r="N85" s="517"/>
      <c r="O85" s="517"/>
      <c r="P85" s="517"/>
      <c r="Q85" s="517"/>
      <c r="R85" s="517"/>
      <c r="S85" s="517"/>
      <c r="T85" s="517"/>
      <c r="U85" s="517"/>
      <c r="V85" s="517"/>
      <c r="W85" s="517"/>
      <c r="X85" s="517"/>
      <c r="Y85" s="517"/>
      <c r="Z85" s="517"/>
      <c r="AA85" s="517"/>
      <c r="AB85" s="517"/>
      <c r="AC85" s="517"/>
      <c r="AD85" s="517"/>
      <c r="AE85" s="517"/>
      <c r="AF85" s="517"/>
      <c r="AG85" s="517"/>
      <c r="AH85" s="517"/>
      <c r="AI85" s="517"/>
      <c r="AJ85" s="517"/>
      <c r="AK85" s="517"/>
      <c r="AL85" s="517"/>
      <c r="AM85" s="517"/>
      <c r="AN85" s="517"/>
      <c r="AO85" s="517"/>
      <c r="AP85" s="517"/>
      <c r="AQ85" s="517"/>
      <c r="AR85" s="517"/>
      <c r="AS85" s="517"/>
      <c r="AT85" s="517"/>
      <c r="AU85" s="517"/>
      <c r="AV85" s="517"/>
      <c r="AW85" s="517"/>
      <c r="AX85" s="517"/>
      <c r="AY85" s="517"/>
      <c r="AZ85" s="517"/>
      <c r="BA85" s="517"/>
      <c r="BB85" s="517"/>
      <c r="BC85" s="517"/>
      <c r="BD85" s="517"/>
      <c r="BE85" s="517"/>
      <c r="BF85" s="517"/>
      <c r="BG85" s="517"/>
      <c r="BH85" s="517"/>
      <c r="BI85" s="517"/>
      <c r="BJ85" s="517"/>
    </row>
    <row r="86" spans="2:70" outlineLevel="1">
      <c r="B86" s="122" t="s">
        <v>33</v>
      </c>
      <c r="C86" s="521">
        <v>197.24001999999999</v>
      </c>
      <c r="D86" s="480">
        <v>197.24001999999999</v>
      </c>
      <c r="E86" s="522">
        <v>197.24001999999999</v>
      </c>
      <c r="F86" s="521">
        <v>197.24001999999999</v>
      </c>
      <c r="G86" s="480">
        <f>H86</f>
        <v>197.24001999999999</v>
      </c>
      <c r="H86" s="522">
        <v>197.24001999999999</v>
      </c>
      <c r="I86" s="522">
        <v>197.38375099999999</v>
      </c>
      <c r="J86" s="480">
        <f>K86</f>
        <v>197.38375099999999</v>
      </c>
      <c r="K86" s="523">
        <v>197.38375099999999</v>
      </c>
      <c r="L86" s="522">
        <v>197.54471899999999</v>
      </c>
      <c r="M86" s="480">
        <f>N86</f>
        <v>219.69770700000001</v>
      </c>
      <c r="N86" s="522">
        <v>219.69770700000001</v>
      </c>
      <c r="O86" s="522">
        <v>225.82650000000001</v>
      </c>
      <c r="P86" s="480">
        <f>Q86</f>
        <v>225.82650000000001</v>
      </c>
      <c r="Q86" s="522">
        <v>225.82650000000001</v>
      </c>
      <c r="R86" s="480">
        <f>Q86</f>
        <v>225.82650000000001</v>
      </c>
      <c r="S86" s="480">
        <f>T86</f>
        <v>225.82650000000001</v>
      </c>
      <c r="T86" s="522">
        <v>225.82650000000001</v>
      </c>
      <c r="U86" s="480">
        <f>T86</f>
        <v>225.82650000000001</v>
      </c>
      <c r="V86" s="480">
        <f>W86</f>
        <v>225.82650000000001</v>
      </c>
      <c r="W86" s="522">
        <v>225.82650000000001</v>
      </c>
      <c r="X86" s="480">
        <f>W86</f>
        <v>225.82650000000001</v>
      </c>
      <c r="Y86" s="480">
        <f>Z86</f>
        <v>225.82650000000001</v>
      </c>
      <c r="Z86" s="522">
        <f>Z87</f>
        <v>225.82650000000001</v>
      </c>
      <c r="AA86" s="522">
        <v>225.82650000000001</v>
      </c>
      <c r="AB86" s="480">
        <f>AC86</f>
        <v>225.82650000000001</v>
      </c>
      <c r="AC86" s="522">
        <f>Z86</f>
        <v>225.82650000000001</v>
      </c>
      <c r="AD86" s="480">
        <f>AC86</f>
        <v>225.82650000000001</v>
      </c>
      <c r="AE86" s="480">
        <f>AF86</f>
        <v>225.82650000000001</v>
      </c>
      <c r="AF86" s="480">
        <f>AC86</f>
        <v>225.82650000000001</v>
      </c>
      <c r="AG86" s="480">
        <f>AF86</f>
        <v>225.82650000000001</v>
      </c>
      <c r="AH86" s="480">
        <f>AI86</f>
        <v>225.82650000000001</v>
      </c>
      <c r="AI86" s="480">
        <f>AF86</f>
        <v>225.82650000000001</v>
      </c>
      <c r="AJ86" s="480"/>
      <c r="AK86" s="480"/>
      <c r="AL86" s="480">
        <f>AI86</f>
        <v>225.82650000000001</v>
      </c>
      <c r="AM86" s="480"/>
      <c r="AN86" s="480"/>
      <c r="AO86" s="480">
        <f>AL86</f>
        <v>225.82650000000001</v>
      </c>
      <c r="AP86" s="480"/>
      <c r="AQ86" s="480"/>
      <c r="AR86" s="480">
        <f>AO86</f>
        <v>225.82650000000001</v>
      </c>
      <c r="AS86" s="480"/>
      <c r="AT86" s="480"/>
      <c r="AU86" s="480">
        <f>AR86</f>
        <v>225.82650000000001</v>
      </c>
      <c r="AV86" s="480"/>
      <c r="AW86" s="480"/>
      <c r="AX86" s="480">
        <f>AU86</f>
        <v>225.82650000000001</v>
      </c>
      <c r="AY86" s="480"/>
      <c r="AZ86" s="480"/>
      <c r="BA86" s="480">
        <f>AX86</f>
        <v>225.82650000000001</v>
      </c>
      <c r="BB86" s="480"/>
      <c r="BC86" s="480"/>
      <c r="BD86" s="480">
        <f>BA86</f>
        <v>225.82650000000001</v>
      </c>
      <c r="BE86" s="480"/>
      <c r="BF86" s="480"/>
      <c r="BG86" s="480">
        <f>BD86</f>
        <v>225.82650000000001</v>
      </c>
      <c r="BH86" s="480"/>
      <c r="BI86" s="480"/>
      <c r="BJ86" s="480">
        <f t="shared" ref="BJ86" si="299">BG86</f>
        <v>225.82650000000001</v>
      </c>
    </row>
    <row r="87" spans="2:70" outlineLevel="1">
      <c r="B87" s="122" t="s">
        <v>869</v>
      </c>
      <c r="C87" s="480">
        <v>197.19640649999999</v>
      </c>
      <c r="D87" s="480">
        <v>197.24001999999999</v>
      </c>
      <c r="E87" s="480">
        <f>AVERAGE(E86,D86)</f>
        <v>197.24001999999999</v>
      </c>
      <c r="F87" s="480">
        <f>AVERAGE(F86,E86)</f>
        <v>197.24001999999999</v>
      </c>
      <c r="G87" s="480">
        <f>AVERAGE(G86,F86)</f>
        <v>197.24001999999999</v>
      </c>
      <c r="H87" s="522">
        <v>197.24001999999999</v>
      </c>
      <c r="I87" s="480">
        <f>AVERAGE(I86,H86)</f>
        <v>197.31188549999999</v>
      </c>
      <c r="J87" s="480">
        <f>AVERAGE(J86,I86)</f>
        <v>197.38375099999999</v>
      </c>
      <c r="K87" s="523">
        <v>197.34240399999999</v>
      </c>
      <c r="L87" s="480">
        <f>AVERAGE(L86,K86)</f>
        <v>197.46423499999997</v>
      </c>
      <c r="M87" s="480">
        <f>AVERAGE(M86,L86)</f>
        <v>208.62121300000001</v>
      </c>
      <c r="N87" s="522">
        <v>197.61097899999999</v>
      </c>
      <c r="O87" s="480">
        <f>O86</f>
        <v>225.82650000000001</v>
      </c>
      <c r="P87" s="480">
        <f>AVERAGE(P86,O86)</f>
        <v>225.82650000000001</v>
      </c>
      <c r="Q87" s="522">
        <v>225.57744500000001</v>
      </c>
      <c r="R87" s="480">
        <f>R86</f>
        <v>225.82650000000001</v>
      </c>
      <c r="S87" s="480">
        <f>AVERAGE(S86,R86)</f>
        <v>225.82650000000001</v>
      </c>
      <c r="T87" s="522">
        <v>225.82650000000001</v>
      </c>
      <c r="U87" s="480">
        <f>U86</f>
        <v>225.82650000000001</v>
      </c>
      <c r="V87" s="480">
        <f>AVERAGE(V86,U86)</f>
        <v>225.82650000000001</v>
      </c>
      <c r="W87" s="522">
        <f>AVERAGE(T86,W86)</f>
        <v>225.82650000000001</v>
      </c>
      <c r="X87" s="480">
        <f>X86</f>
        <v>225.82650000000001</v>
      </c>
      <c r="Y87" s="480">
        <f>AVERAGE(Y86,X86)</f>
        <v>225.82650000000001</v>
      </c>
      <c r="Z87" s="522">
        <v>225.82650000000001</v>
      </c>
      <c r="AA87" s="480">
        <f>AA86</f>
        <v>225.82650000000001</v>
      </c>
      <c r="AB87" s="480">
        <f>AVERAGE(AB86,AA86)</f>
        <v>225.82650000000001</v>
      </c>
      <c r="AC87" s="522">
        <v>225.82650000000001</v>
      </c>
      <c r="AD87" s="480">
        <f>AD86</f>
        <v>225.82650000000001</v>
      </c>
      <c r="AE87" s="480">
        <f>AVERAGE(AE86,AD86)</f>
        <v>225.82650000000001</v>
      </c>
      <c r="AF87" s="480">
        <f>AVERAGE(AC86,AF86)</f>
        <v>225.82650000000001</v>
      </c>
      <c r="AG87" s="480">
        <f>AG86</f>
        <v>225.82650000000001</v>
      </c>
      <c r="AH87" s="480">
        <f>AVERAGE(AH86,AG86)</f>
        <v>225.82650000000001</v>
      </c>
      <c r="AI87" s="480">
        <f>AVERAGE(AF86,AI86)</f>
        <v>225.82650000000001</v>
      </c>
      <c r="AJ87" s="480"/>
      <c r="AK87" s="480"/>
      <c r="AL87" s="480">
        <f>AVERAGE(AI86,AL86)</f>
        <v>225.82650000000001</v>
      </c>
      <c r="AM87" s="480"/>
      <c r="AN87" s="480"/>
      <c r="AO87" s="480">
        <f>AVERAGE(AL86,AO86)</f>
        <v>225.82650000000001</v>
      </c>
      <c r="AP87" s="480"/>
      <c r="AQ87" s="480"/>
      <c r="AR87" s="480">
        <f>AVERAGE(AO86,AR86)</f>
        <v>225.82650000000001</v>
      </c>
      <c r="AS87" s="480"/>
      <c r="AT87" s="480"/>
      <c r="AU87" s="480">
        <f>AVERAGE(AR86,AU86)</f>
        <v>225.82650000000001</v>
      </c>
      <c r="AV87" s="480"/>
      <c r="AW87" s="480"/>
      <c r="AX87" s="480">
        <f>AVERAGE(AU86,AX86)</f>
        <v>225.82650000000001</v>
      </c>
      <c r="AY87" s="480"/>
      <c r="AZ87" s="480"/>
      <c r="BA87" s="480">
        <f>AVERAGE(AX86,BA86)</f>
        <v>225.82650000000001</v>
      </c>
      <c r="BB87" s="480"/>
      <c r="BC87" s="480"/>
      <c r="BD87" s="480">
        <f>AVERAGE(BA86,BD86)</f>
        <v>225.82650000000001</v>
      </c>
      <c r="BE87" s="480"/>
      <c r="BF87" s="480"/>
      <c r="BG87" s="480">
        <f>AVERAGE(BD86,BG86)</f>
        <v>225.82650000000001</v>
      </c>
      <c r="BH87" s="480"/>
      <c r="BI87" s="480"/>
      <c r="BJ87" s="480">
        <f t="shared" ref="BJ87" si="300">AVERAGE(BG86,BJ86)</f>
        <v>225.82650000000001</v>
      </c>
    </row>
    <row r="88" spans="2:70" outlineLevel="1">
      <c r="B88" s="122" t="s">
        <v>133</v>
      </c>
      <c r="C88" s="521">
        <v>197.32620320855614</v>
      </c>
      <c r="D88" s="480">
        <v>198.30764400000001</v>
      </c>
      <c r="E88" s="522">
        <v>198.30764400000001</v>
      </c>
      <c r="F88" s="521">
        <f>+F86</f>
        <v>197.24001999999999</v>
      </c>
      <c r="G88" s="480">
        <f>H88</f>
        <v>199.01315700000001</v>
      </c>
      <c r="H88" s="522">
        <v>199.01315700000001</v>
      </c>
      <c r="I88" s="480">
        <f>I87+(H88-H87)</f>
        <v>199.08502250000001</v>
      </c>
      <c r="J88" s="480">
        <f>K88</f>
        <v>199.159246</v>
      </c>
      <c r="K88" s="523">
        <v>199.159246</v>
      </c>
      <c r="L88" s="480">
        <f>L87+(K88-K87)</f>
        <v>199.28107699999998</v>
      </c>
      <c r="M88" s="480">
        <f>N88</f>
        <v>199.27403799999999</v>
      </c>
      <c r="N88" s="522">
        <v>199.27403799999999</v>
      </c>
      <c r="O88" s="480">
        <f>O87+(L88-L87)</f>
        <v>227.64334200000002</v>
      </c>
      <c r="P88" s="480">
        <f>Q88</f>
        <v>227.850921</v>
      </c>
      <c r="Q88" s="522">
        <v>227.850921</v>
      </c>
      <c r="R88" s="480">
        <f>Q88</f>
        <v>227.850921</v>
      </c>
      <c r="S88" s="480">
        <f>T88</f>
        <v>227.88497899999999</v>
      </c>
      <c r="T88" s="522">
        <v>227.88497899999999</v>
      </c>
      <c r="U88" s="480">
        <f>T88</f>
        <v>227.88497899999999</v>
      </c>
      <c r="V88" s="480">
        <f>W88</f>
        <v>227.85364000000001</v>
      </c>
      <c r="W88" s="522">
        <f>W86+2.02714</f>
        <v>227.85364000000001</v>
      </c>
      <c r="X88" s="480">
        <f>W88</f>
        <v>227.85364000000001</v>
      </c>
      <c r="Y88" s="480">
        <f>Z88</f>
        <v>227.70371399999999</v>
      </c>
      <c r="Z88" s="522">
        <v>227.70371399999999</v>
      </c>
      <c r="AA88" s="480">
        <f>Z88</f>
        <v>227.70371399999999</v>
      </c>
      <c r="AB88" s="480">
        <f>AC88</f>
        <v>227.61278200000001</v>
      </c>
      <c r="AC88" s="522">
        <v>227.61278200000001</v>
      </c>
      <c r="AD88" s="480">
        <f>AC88</f>
        <v>227.61278200000001</v>
      </c>
      <c r="AE88" s="480">
        <f>AF88</f>
        <v>227.61278200000001</v>
      </c>
      <c r="AF88" s="480">
        <f>+AC88</f>
        <v>227.61278200000001</v>
      </c>
      <c r="AG88" s="480">
        <f>AF88</f>
        <v>227.61278200000001</v>
      </c>
      <c r="AH88" s="480">
        <f>AI88</f>
        <v>227.61278200000001</v>
      </c>
      <c r="AI88" s="480">
        <f>+AF88</f>
        <v>227.61278200000001</v>
      </c>
      <c r="AJ88" s="480"/>
      <c r="AK88" s="480"/>
      <c r="AL88" s="480">
        <f>+AI88</f>
        <v>227.61278200000001</v>
      </c>
      <c r="AM88" s="480"/>
      <c r="AN88" s="480"/>
      <c r="AO88" s="480">
        <f>+AL88</f>
        <v>227.61278200000001</v>
      </c>
      <c r="AP88" s="480"/>
      <c r="AQ88" s="480"/>
      <c r="AR88" s="480">
        <f>+AO88</f>
        <v>227.61278200000001</v>
      </c>
      <c r="AS88" s="480"/>
      <c r="AT88" s="480"/>
      <c r="AU88" s="480">
        <f>+AR88</f>
        <v>227.61278200000001</v>
      </c>
      <c r="AV88" s="480"/>
      <c r="AW88" s="480"/>
      <c r="AX88" s="480">
        <f>+AU88</f>
        <v>227.61278200000001</v>
      </c>
      <c r="AY88" s="480"/>
      <c r="AZ88" s="480"/>
      <c r="BA88" s="480">
        <f>+AX88</f>
        <v>227.61278200000001</v>
      </c>
      <c r="BB88" s="480"/>
      <c r="BC88" s="480"/>
      <c r="BD88" s="480">
        <f>+BA88</f>
        <v>227.61278200000001</v>
      </c>
      <c r="BE88" s="480"/>
      <c r="BF88" s="480"/>
      <c r="BG88" s="480">
        <f>+BD88</f>
        <v>227.61278200000001</v>
      </c>
      <c r="BH88" s="480"/>
      <c r="BI88" s="480"/>
      <c r="BJ88" s="480">
        <f t="shared" ref="BJ88" si="301">+BG88</f>
        <v>227.61278200000001</v>
      </c>
    </row>
    <row r="89" spans="2:70">
      <c r="C89" s="480"/>
      <c r="D89" s="480"/>
      <c r="E89" s="480"/>
      <c r="F89" s="480"/>
      <c r="G89" s="480"/>
      <c r="H89" s="480"/>
      <c r="I89" s="480"/>
      <c r="J89" s="480"/>
      <c r="K89" s="481"/>
      <c r="L89" s="480"/>
      <c r="M89" s="480"/>
      <c r="N89" s="480"/>
      <c r="O89" s="480"/>
      <c r="P89" s="480"/>
      <c r="Q89" s="480"/>
      <c r="R89" s="480"/>
      <c r="S89" s="480"/>
      <c r="T89" s="480"/>
      <c r="U89" s="480"/>
      <c r="V89" s="480"/>
      <c r="W89" s="480"/>
      <c r="X89" s="480"/>
      <c r="Y89" s="480"/>
      <c r="Z89" s="480"/>
      <c r="AA89" s="480"/>
      <c r="AB89" s="480"/>
      <c r="AC89" s="480"/>
      <c r="AD89" s="480"/>
      <c r="AE89" s="480"/>
      <c r="AF89" s="480"/>
      <c r="AG89" s="480"/>
      <c r="AH89" s="480"/>
      <c r="AI89" s="480"/>
      <c r="AJ89" s="480"/>
      <c r="AK89" s="480"/>
      <c r="AL89" s="480"/>
      <c r="AM89" s="480"/>
      <c r="AN89" s="480"/>
      <c r="AO89" s="480"/>
      <c r="AP89" s="480"/>
      <c r="AQ89" s="480"/>
      <c r="AR89" s="480"/>
      <c r="AS89" s="480"/>
      <c r="AT89" s="480"/>
      <c r="AU89" s="480"/>
      <c r="AV89" s="480"/>
      <c r="AW89" s="480"/>
      <c r="AX89" s="480"/>
      <c r="AY89" s="480"/>
      <c r="AZ89" s="480"/>
      <c r="BA89" s="480"/>
      <c r="BB89" s="480"/>
      <c r="BC89" s="480"/>
      <c r="BD89" s="480"/>
      <c r="BE89" s="480"/>
      <c r="BF89" s="480"/>
      <c r="BG89" s="480"/>
      <c r="BH89" s="480"/>
      <c r="BI89" s="480"/>
      <c r="BJ89" s="480"/>
    </row>
    <row r="90" spans="2:70">
      <c r="B90" s="524" t="s">
        <v>94</v>
      </c>
      <c r="C90" s="480"/>
      <c r="D90" s="480"/>
      <c r="E90" s="492"/>
      <c r="F90" s="480"/>
      <c r="G90" s="480"/>
      <c r="H90" s="480"/>
      <c r="I90" s="480"/>
      <c r="J90" s="480"/>
      <c r="K90" s="481"/>
      <c r="L90" s="480"/>
      <c r="M90" s="480"/>
      <c r="N90" s="480"/>
      <c r="O90" s="480"/>
      <c r="P90" s="480"/>
      <c r="Q90" s="480"/>
      <c r="R90" s="480"/>
      <c r="S90" s="480"/>
      <c r="T90" s="480"/>
      <c r="U90" s="480"/>
      <c r="V90" s="480"/>
      <c r="W90" s="480"/>
      <c r="X90" s="480"/>
      <c r="Y90" s="480"/>
      <c r="Z90" s="480"/>
      <c r="AA90" s="480"/>
      <c r="AB90" s="480"/>
      <c r="AC90" s="480"/>
      <c r="AD90" s="480"/>
      <c r="AE90" s="480"/>
      <c r="AF90" s="480"/>
      <c r="AG90" s="480"/>
      <c r="AH90" s="480"/>
      <c r="AI90" s="480"/>
      <c r="AJ90" s="480"/>
      <c r="AK90" s="480"/>
      <c r="AL90" s="480"/>
      <c r="AM90" s="480"/>
      <c r="AN90" s="480"/>
      <c r="AO90" s="480"/>
      <c r="AP90" s="480"/>
      <c r="AQ90" s="480"/>
      <c r="AR90" s="480"/>
      <c r="AS90" s="480"/>
      <c r="AT90" s="480"/>
      <c r="AU90" s="480"/>
      <c r="AV90" s="480"/>
      <c r="AW90" s="480"/>
      <c r="AX90" s="480"/>
      <c r="AY90" s="480"/>
      <c r="AZ90" s="480"/>
      <c r="BA90" s="480"/>
      <c r="BB90" s="480"/>
      <c r="BC90" s="480"/>
      <c r="BD90" s="480"/>
      <c r="BE90" s="480"/>
      <c r="BF90" s="480"/>
      <c r="BG90" s="480"/>
      <c r="BH90" s="480"/>
      <c r="BI90" s="480"/>
      <c r="BJ90" s="480"/>
    </row>
    <row r="91" spans="2:70">
      <c r="B91" s="122" t="s">
        <v>95</v>
      </c>
      <c r="C91" s="525">
        <v>21.5</v>
      </c>
      <c r="D91" s="525"/>
      <c r="E91" s="484">
        <v>21.5</v>
      </c>
      <c r="F91" s="484">
        <v>21.5</v>
      </c>
      <c r="G91" s="525"/>
      <c r="H91" s="484">
        <v>21.5</v>
      </c>
      <c r="I91" s="484">
        <v>21.5</v>
      </c>
      <c r="J91" s="525"/>
      <c r="K91" s="472">
        <f>I91</f>
        <v>21.5</v>
      </c>
      <c r="L91" s="484">
        <v>0</v>
      </c>
      <c r="M91" s="525"/>
      <c r="N91" s="471">
        <f>L91</f>
        <v>0</v>
      </c>
      <c r="O91" s="484">
        <v>33</v>
      </c>
      <c r="P91" s="525"/>
      <c r="Q91" s="471">
        <f>O91</f>
        <v>33</v>
      </c>
      <c r="R91" s="484">
        <v>27</v>
      </c>
      <c r="S91" s="525"/>
      <c r="T91" s="471">
        <f>R91</f>
        <v>27</v>
      </c>
      <c r="U91" s="484">
        <v>34</v>
      </c>
      <c r="V91" s="525"/>
      <c r="W91" s="471">
        <f>U91</f>
        <v>34</v>
      </c>
      <c r="X91" s="484">
        <v>32</v>
      </c>
      <c r="Y91" s="526"/>
      <c r="Z91" s="471">
        <f>X91</f>
        <v>32</v>
      </c>
      <c r="AA91" s="484">
        <v>32</v>
      </c>
      <c r="AB91" s="525"/>
      <c r="AC91" s="471">
        <f>AA91</f>
        <v>32</v>
      </c>
      <c r="AD91" s="526">
        <f>AD55/AD88*100</f>
        <v>37.426013759342254</v>
      </c>
      <c r="AE91" s="526"/>
      <c r="AF91" s="526">
        <f>ROUND(AC91/AC93*AF93,0)</f>
        <v>22</v>
      </c>
      <c r="AG91" s="526">
        <f>AG55/AG88*100</f>
        <v>42.302050825260991</v>
      </c>
      <c r="AH91" s="526"/>
      <c r="AI91" s="526">
        <f>ROUND(AF91/AF93*AI93,0)</f>
        <v>26</v>
      </c>
      <c r="AJ91" s="526"/>
      <c r="AK91" s="526"/>
      <c r="AL91" s="526">
        <f>ROUND(AI91/AI93*AL93,0)</f>
        <v>28</v>
      </c>
      <c r="AM91" s="526"/>
      <c r="AN91" s="526"/>
      <c r="AO91" s="526">
        <f>ROUND(AL91/AL93*AO93,0)</f>
        <v>30</v>
      </c>
      <c r="AP91" s="526"/>
      <c r="AQ91" s="526"/>
      <c r="AR91" s="526">
        <f>ROUND(AO91/AO93*AR93,0)</f>
        <v>32</v>
      </c>
      <c r="AS91" s="526"/>
      <c r="AT91" s="526"/>
      <c r="AU91" s="526">
        <f>ROUND(AR91/AR93*AU93,0)</f>
        <v>33</v>
      </c>
      <c r="AV91" s="526"/>
      <c r="AW91" s="526"/>
      <c r="AX91" s="526">
        <f>ROUND(AU91/AU93*AX93,0)</f>
        <v>34</v>
      </c>
      <c r="AY91" s="526"/>
      <c r="AZ91" s="526"/>
      <c r="BA91" s="526">
        <f>ROUND(AX91/AX93*BA93,0)</f>
        <v>35</v>
      </c>
      <c r="BB91" s="526"/>
      <c r="BC91" s="526"/>
      <c r="BD91" s="526">
        <f>ROUND(BA91/BA93*BD93,0)</f>
        <v>36</v>
      </c>
      <c r="BE91" s="526"/>
      <c r="BF91" s="526"/>
      <c r="BG91" s="526">
        <f>ROUND(BD91/BD93*BG93,0)</f>
        <v>37</v>
      </c>
      <c r="BH91" s="526"/>
      <c r="BI91" s="526"/>
      <c r="BJ91" s="526">
        <f t="shared" ref="BJ91" si="302">ROUND(BG91/BG93*BJ93,0)</f>
        <v>39</v>
      </c>
    </row>
    <row r="92" spans="2:70">
      <c r="B92" s="122" t="s">
        <v>96</v>
      </c>
      <c r="C92" s="471"/>
      <c r="D92" s="471">
        <v>25</v>
      </c>
      <c r="E92" s="484">
        <v>25</v>
      </c>
      <c r="F92" s="471"/>
      <c r="G92" s="471">
        <f>H92</f>
        <v>27.5</v>
      </c>
      <c r="H92" s="484">
        <v>27.5</v>
      </c>
      <c r="I92" s="471"/>
      <c r="J92" s="484">
        <v>28.5</v>
      </c>
      <c r="K92" s="472">
        <f>J92</f>
        <v>28.5</v>
      </c>
      <c r="L92" s="471"/>
      <c r="M92" s="484">
        <v>19.5</v>
      </c>
      <c r="N92" s="471">
        <f>M92</f>
        <v>19.5</v>
      </c>
      <c r="O92" s="471"/>
      <c r="P92" s="484">
        <v>55</v>
      </c>
      <c r="Q92" s="471">
        <f>P92</f>
        <v>55</v>
      </c>
      <c r="R92" s="471"/>
      <c r="S92" s="484">
        <v>43</v>
      </c>
      <c r="T92" s="471">
        <f>S92</f>
        <v>43</v>
      </c>
      <c r="U92" s="471"/>
      <c r="V92" s="471">
        <f>44+25</f>
        <v>69</v>
      </c>
      <c r="W92" s="471">
        <f>V92</f>
        <v>69</v>
      </c>
      <c r="X92" s="471"/>
      <c r="Y92" s="527">
        <f>Z92</f>
        <v>87</v>
      </c>
      <c r="Z92" s="484">
        <f>37+50</f>
        <v>87</v>
      </c>
      <c r="AA92" s="471"/>
      <c r="AB92" s="471">
        <f>AC92</f>
        <v>64</v>
      </c>
      <c r="AC92" s="484">
        <v>64</v>
      </c>
      <c r="AD92" s="526"/>
      <c r="AE92" s="526">
        <f>AF92</f>
        <v>45.01179051389785</v>
      </c>
      <c r="AF92" s="526">
        <f>AF93-AF91</f>
        <v>45.01179051389785</v>
      </c>
      <c r="AG92" s="526"/>
      <c r="AH92" s="526">
        <f>AI92</f>
        <v>52.682671776142328</v>
      </c>
      <c r="AI92" s="526">
        <f t="shared" ref="AI92:AU92" si="303">AI93-AI91</f>
        <v>52.682671776142328</v>
      </c>
      <c r="AJ92" s="526"/>
      <c r="AK92" s="526"/>
      <c r="AL92" s="526">
        <f t="shared" si="303"/>
        <v>56.7319933195852</v>
      </c>
      <c r="AM92" s="526"/>
      <c r="AN92" s="526"/>
      <c r="AO92" s="526">
        <f t="shared" si="303"/>
        <v>60.238431857319398</v>
      </c>
      <c r="AP92" s="526"/>
      <c r="AQ92" s="526"/>
      <c r="AR92" s="526">
        <f t="shared" si="303"/>
        <v>62.936784035428872</v>
      </c>
      <c r="AS92" s="526"/>
      <c r="AT92" s="526"/>
      <c r="AU92" s="526">
        <f t="shared" si="303"/>
        <v>66.368731233238037</v>
      </c>
      <c r="AV92" s="526"/>
      <c r="AW92" s="526"/>
      <c r="AX92" s="526">
        <f t="shared" ref="AX92" si="304">AX93-AX91</f>
        <v>69.394079268530021</v>
      </c>
      <c r="AY92" s="526"/>
      <c r="AZ92" s="526"/>
      <c r="BA92" s="526">
        <f t="shared" ref="BA92:BD92" si="305">BA93-BA91</f>
        <v>72.589416029522994</v>
      </c>
      <c r="BB92" s="526"/>
      <c r="BC92" s="526"/>
      <c r="BD92" s="526">
        <f t="shared" si="305"/>
        <v>75.965416946687554</v>
      </c>
      <c r="BE92" s="526"/>
      <c r="BF92" s="526"/>
      <c r="BG92" s="526">
        <f t="shared" ref="BG92:BJ92" si="306">BG93-BG91</f>
        <v>79.530814568156813</v>
      </c>
      <c r="BH92" s="526"/>
      <c r="BI92" s="526"/>
      <c r="BJ92" s="526">
        <f t="shared" si="306"/>
        <v>82.294697506354154</v>
      </c>
    </row>
    <row r="93" spans="2:70">
      <c r="B93" s="512" t="s">
        <v>237</v>
      </c>
      <c r="C93" s="528">
        <v>21.5</v>
      </c>
      <c r="D93" s="528">
        <v>25</v>
      </c>
      <c r="E93" s="528">
        <f t="shared" ref="E93:T93" si="307">SUM(E91:E92)</f>
        <v>46.5</v>
      </c>
      <c r="F93" s="528">
        <f t="shared" si="307"/>
        <v>21.5</v>
      </c>
      <c r="G93" s="528">
        <f t="shared" si="307"/>
        <v>27.5</v>
      </c>
      <c r="H93" s="528">
        <f t="shared" si="307"/>
        <v>49</v>
      </c>
      <c r="I93" s="528">
        <f t="shared" si="307"/>
        <v>21.5</v>
      </c>
      <c r="J93" s="528">
        <f t="shared" si="307"/>
        <v>28.5</v>
      </c>
      <c r="K93" s="529">
        <f t="shared" si="307"/>
        <v>50</v>
      </c>
      <c r="L93" s="528">
        <f t="shared" si="307"/>
        <v>0</v>
      </c>
      <c r="M93" s="528">
        <f t="shared" si="307"/>
        <v>19.5</v>
      </c>
      <c r="N93" s="528">
        <f t="shared" si="307"/>
        <v>19.5</v>
      </c>
      <c r="O93" s="528">
        <f t="shared" si="307"/>
        <v>33</v>
      </c>
      <c r="P93" s="528">
        <f t="shared" si="307"/>
        <v>55</v>
      </c>
      <c r="Q93" s="528">
        <f t="shared" si="307"/>
        <v>88</v>
      </c>
      <c r="R93" s="528">
        <f t="shared" si="307"/>
        <v>27</v>
      </c>
      <c r="S93" s="528">
        <f t="shared" si="307"/>
        <v>43</v>
      </c>
      <c r="T93" s="528">
        <f t="shared" si="307"/>
        <v>70</v>
      </c>
      <c r="U93" s="528">
        <f>SUM(U91:U92)</f>
        <v>34</v>
      </c>
      <c r="V93" s="528">
        <f>SUM(V91:V92)</f>
        <v>69</v>
      </c>
      <c r="W93" s="528">
        <f t="shared" ref="W93" si="308">SUM(W91:W92)</f>
        <v>103</v>
      </c>
      <c r="X93" s="528">
        <f>SUM(X91:X92)</f>
        <v>32</v>
      </c>
      <c r="Y93" s="528">
        <f>SUM(Y91:Y92)</f>
        <v>87</v>
      </c>
      <c r="Z93" s="528">
        <f>Z55/Z88*100</f>
        <v>119</v>
      </c>
      <c r="AA93" s="528">
        <f>SUM(AA91:AA92)</f>
        <v>32</v>
      </c>
      <c r="AB93" s="528">
        <f>SUM(AB91:AB92)</f>
        <v>64</v>
      </c>
      <c r="AC93" s="528">
        <f>AC55/AC88*100</f>
        <v>96</v>
      </c>
      <c r="AD93" s="528">
        <f>SUM(AD91:AD92)</f>
        <v>37.426013759342254</v>
      </c>
      <c r="AE93" s="528">
        <f>SUM(AE91:AE92)</f>
        <v>45.01179051389785</v>
      </c>
      <c r="AF93" s="528">
        <f>AF55/AF88*100</f>
        <v>67.01179051389785</v>
      </c>
      <c r="AG93" s="528">
        <f>SUM(AG91:AG92)</f>
        <v>42.302050825260991</v>
      </c>
      <c r="AH93" s="528">
        <f>SUM(AH91:AH92)</f>
        <v>52.682671776142328</v>
      </c>
      <c r="AI93" s="528">
        <f>AI55/AI88*100</f>
        <v>78.682671776142328</v>
      </c>
      <c r="AJ93" s="528"/>
      <c r="AK93" s="528"/>
      <c r="AL93" s="528">
        <f>AL55/AL88*100</f>
        <v>84.7319933195852</v>
      </c>
      <c r="AM93" s="528"/>
      <c r="AN93" s="528"/>
      <c r="AO93" s="528">
        <f>AO55/AO88*100</f>
        <v>90.238431857319398</v>
      </c>
      <c r="AP93" s="528"/>
      <c r="AQ93" s="528"/>
      <c r="AR93" s="528">
        <f>AR55/AR88*100</f>
        <v>94.936784035428872</v>
      </c>
      <c r="AS93" s="528"/>
      <c r="AT93" s="528"/>
      <c r="AU93" s="528">
        <f>AU55/AU88*100</f>
        <v>99.368731233238037</v>
      </c>
      <c r="AV93" s="528"/>
      <c r="AW93" s="528"/>
      <c r="AX93" s="528">
        <f>AX55/AX88*100</f>
        <v>103.39407926853002</v>
      </c>
      <c r="AY93" s="528"/>
      <c r="AZ93" s="528"/>
      <c r="BA93" s="528">
        <f>BA55/BA88*100</f>
        <v>107.58941602952299</v>
      </c>
      <c r="BB93" s="528"/>
      <c r="BC93" s="528"/>
      <c r="BD93" s="528">
        <f>BD55/BD88*100</f>
        <v>111.96541694668755</v>
      </c>
      <c r="BE93" s="528"/>
      <c r="BF93" s="528"/>
      <c r="BG93" s="528">
        <f>BG55/BG88*100</f>
        <v>116.53081456815681</v>
      </c>
      <c r="BH93" s="528"/>
      <c r="BI93" s="528"/>
      <c r="BJ93" s="528">
        <f>BJ55/BJ88*100</f>
        <v>121.29469750635415</v>
      </c>
    </row>
    <row r="94" spans="2:70">
      <c r="B94" s="137" t="s">
        <v>42</v>
      </c>
      <c r="C94" s="492"/>
      <c r="D94" s="492"/>
      <c r="E94" s="492">
        <v>0.12048192771084332</v>
      </c>
      <c r="F94" s="492"/>
      <c r="G94" s="492"/>
      <c r="H94" s="492">
        <f>H93/E93-1</f>
        <v>5.3763440860215006E-2</v>
      </c>
      <c r="I94" s="492"/>
      <c r="J94" s="492"/>
      <c r="K94" s="798">
        <f>K93/H93-1</f>
        <v>2.0408163265306145E-2</v>
      </c>
      <c r="L94" s="492"/>
      <c r="M94" s="492"/>
      <c r="N94" s="492">
        <f>N93/K93-1</f>
        <v>-0.61</v>
      </c>
      <c r="O94" s="492"/>
      <c r="P94" s="492"/>
      <c r="Q94" s="492">
        <f>Q93/N93-1</f>
        <v>3.5128205128205128</v>
      </c>
      <c r="R94" s="492"/>
      <c r="S94" s="492"/>
      <c r="T94" s="492">
        <f>T93/Q93-1</f>
        <v>-0.20454545454545459</v>
      </c>
      <c r="U94" s="492"/>
      <c r="V94" s="492"/>
      <c r="W94" s="492">
        <f>W93/T93-1</f>
        <v>0.47142857142857153</v>
      </c>
      <c r="X94" s="492"/>
      <c r="Y94" s="492"/>
      <c r="Z94" s="492">
        <f>Z93/W93-1</f>
        <v>0.15533980582524265</v>
      </c>
      <c r="AA94" s="492"/>
      <c r="AB94" s="492"/>
      <c r="AC94" s="492">
        <f>AC93/Z93-1</f>
        <v>-0.19327731092436973</v>
      </c>
      <c r="AD94" s="492"/>
      <c r="AE94" s="492"/>
      <c r="AF94" s="492">
        <f>AF93/AC93-1</f>
        <v>-0.30196051548023073</v>
      </c>
      <c r="AG94" s="492"/>
      <c r="AH94" s="492"/>
      <c r="AI94" s="492">
        <f>AI93/AF93-1</f>
        <v>0.17416160906525846</v>
      </c>
      <c r="AJ94" s="492"/>
      <c r="AK94" s="492"/>
      <c r="AL94" s="492">
        <f>AL93/AI93-1</f>
        <v>7.6882513098355476E-2</v>
      </c>
      <c r="AM94" s="492"/>
      <c r="AN94" s="492"/>
      <c r="AO94" s="492">
        <f>AO93/AL93-1</f>
        <v>6.4986533681149927E-2</v>
      </c>
      <c r="AP94" s="492"/>
      <c r="AQ94" s="492"/>
      <c r="AR94" s="492">
        <f>AR93/AO93-1</f>
        <v>5.2065977670559205E-2</v>
      </c>
      <c r="AS94" s="492"/>
      <c r="AT94" s="492"/>
      <c r="AU94" s="492">
        <f>AU93/AR93-1</f>
        <v>4.668314018468589E-2</v>
      </c>
      <c r="AV94" s="492"/>
      <c r="AW94" s="492"/>
      <c r="AX94" s="492">
        <f>AX93/AU93-1</f>
        <v>4.0509202294670477E-2</v>
      </c>
      <c r="AY94" s="492"/>
      <c r="AZ94" s="492"/>
      <c r="BA94" s="492">
        <f>BA93/AX93-1</f>
        <v>4.0576179899982856E-2</v>
      </c>
      <c r="BB94" s="492"/>
      <c r="BC94" s="492"/>
      <c r="BD94" s="492">
        <f>BD93/BA93-1</f>
        <v>4.0673154280935764E-2</v>
      </c>
      <c r="BE94" s="492"/>
      <c r="BF94" s="492"/>
      <c r="BG94" s="492">
        <f>BG93/BD93-1</f>
        <v>4.0775069177325429E-2</v>
      </c>
      <c r="BH94" s="492"/>
      <c r="BI94" s="492"/>
      <c r="BJ94" s="492">
        <f t="shared" ref="BJ94" si="309">BJ93/BG93-1</f>
        <v>4.08808859343468E-2</v>
      </c>
    </row>
    <row r="95" spans="2:70">
      <c r="B95" s="477"/>
      <c r="C95" s="474"/>
      <c r="D95" s="474"/>
      <c r="E95" s="474"/>
      <c r="F95" s="474"/>
      <c r="G95" s="474"/>
      <c r="H95" s="474"/>
      <c r="I95" s="474"/>
      <c r="J95" s="474"/>
      <c r="K95" s="478"/>
      <c r="L95" s="474"/>
      <c r="M95" s="474"/>
      <c r="N95" s="474"/>
      <c r="O95" s="474"/>
      <c r="P95" s="474"/>
      <c r="Q95" s="474"/>
      <c r="R95" s="474"/>
      <c r="S95" s="474"/>
      <c r="T95" s="474"/>
      <c r="U95" s="474"/>
      <c r="V95" s="474"/>
      <c r="W95" s="474"/>
      <c r="X95" s="474"/>
      <c r="Y95" s="474"/>
      <c r="Z95" s="474"/>
      <c r="AA95" s="474"/>
      <c r="AB95" s="474"/>
      <c r="AC95" s="474"/>
      <c r="AD95" s="474"/>
      <c r="AE95" s="474"/>
      <c r="AF95" s="474"/>
      <c r="AG95" s="474"/>
      <c r="AH95" s="474"/>
      <c r="AI95" s="474"/>
      <c r="AJ95" s="474"/>
      <c r="AK95" s="474"/>
      <c r="AL95" s="474"/>
      <c r="AM95" s="474"/>
      <c r="AN95" s="474"/>
      <c r="AO95" s="474"/>
      <c r="AP95" s="474"/>
      <c r="AQ95" s="474"/>
      <c r="AR95" s="474"/>
      <c r="AS95" s="474"/>
      <c r="AT95" s="474"/>
      <c r="AU95" s="474"/>
      <c r="AV95" s="474"/>
      <c r="AW95" s="474"/>
      <c r="AX95" s="474"/>
      <c r="AY95" s="474"/>
      <c r="AZ95" s="474"/>
      <c r="BA95" s="474"/>
      <c r="BB95" s="474"/>
      <c r="BC95" s="474"/>
      <c r="BD95" s="474"/>
      <c r="BE95" s="474"/>
      <c r="BF95" s="474"/>
      <c r="BG95" s="474"/>
      <c r="BH95" s="474"/>
      <c r="BI95" s="474"/>
      <c r="BJ95" s="474"/>
    </row>
    <row r="96" spans="2:70" s="461" customFormat="1">
      <c r="C96" s="539"/>
      <c r="D96" s="539"/>
      <c r="E96" s="539"/>
      <c r="F96" s="539"/>
      <c r="G96" s="539"/>
      <c r="H96" s="539"/>
      <c r="I96" s="539"/>
      <c r="J96" s="539"/>
      <c r="K96" s="540"/>
      <c r="L96" s="539"/>
      <c r="M96" s="539"/>
      <c r="N96" s="539"/>
      <c r="O96" s="539"/>
      <c r="P96" s="539"/>
      <c r="Q96" s="539"/>
      <c r="R96" s="539"/>
      <c r="S96" s="539"/>
      <c r="T96" s="539"/>
      <c r="U96" s="539"/>
      <c r="V96" s="539"/>
      <c r="W96" s="539"/>
      <c r="X96" s="539"/>
      <c r="Y96" s="539"/>
      <c r="Z96" s="539"/>
      <c r="AA96" s="539"/>
      <c r="AB96" s="539"/>
      <c r="AC96" s="539"/>
      <c r="AD96" s="539"/>
      <c r="AE96" s="539"/>
      <c r="AF96" s="539"/>
      <c r="AG96" s="539"/>
      <c r="AH96" s="539"/>
      <c r="AI96" s="539"/>
      <c r="AJ96" s="539"/>
      <c r="AK96" s="539"/>
      <c r="AL96" s="539"/>
      <c r="AM96" s="539"/>
      <c r="AN96" s="539"/>
      <c r="AO96" s="539"/>
      <c r="AP96" s="539"/>
      <c r="AQ96" s="539"/>
      <c r="AR96" s="539"/>
      <c r="AS96" s="539"/>
      <c r="AT96" s="539"/>
      <c r="AU96" s="539"/>
      <c r="AV96" s="539"/>
      <c r="AW96" s="539"/>
      <c r="AX96" s="539"/>
      <c r="AY96" s="539"/>
      <c r="AZ96" s="539"/>
      <c r="BA96" s="539"/>
      <c r="BB96" s="539"/>
      <c r="BC96" s="539"/>
      <c r="BD96" s="539"/>
      <c r="BE96" s="539"/>
      <c r="BF96" s="539"/>
      <c r="BG96" s="539"/>
      <c r="BH96" s="539"/>
      <c r="BI96" s="539"/>
      <c r="BJ96" s="539"/>
      <c r="BK96" s="450"/>
      <c r="BL96" s="450"/>
    </row>
    <row r="97" spans="2:62" s="543" customFormat="1">
      <c r="B97" s="619" t="s">
        <v>102</v>
      </c>
      <c r="C97" s="629"/>
      <c r="D97" s="629"/>
      <c r="E97" s="629"/>
      <c r="F97" s="629"/>
      <c r="G97" s="629"/>
      <c r="H97" s="629"/>
      <c r="I97" s="629"/>
      <c r="J97" s="629"/>
      <c r="K97" s="630"/>
      <c r="L97" s="629"/>
      <c r="M97" s="629"/>
      <c r="N97" s="631"/>
      <c r="O97" s="629"/>
      <c r="P97" s="629"/>
      <c r="Q97" s="631"/>
      <c r="R97" s="629"/>
      <c r="S97" s="629"/>
      <c r="T97" s="631"/>
      <c r="U97" s="629"/>
      <c r="V97" s="629"/>
      <c r="W97" s="631"/>
      <c r="X97" s="629"/>
      <c r="Y97" s="629"/>
      <c r="Z97" s="631"/>
      <c r="AA97" s="629"/>
      <c r="AB97" s="629"/>
      <c r="AC97" s="631"/>
      <c r="AD97" s="629"/>
      <c r="AE97" s="629"/>
      <c r="AF97" s="629"/>
      <c r="AG97" s="629"/>
      <c r="AH97" s="629"/>
      <c r="AI97" s="629"/>
      <c r="AJ97" s="629"/>
      <c r="AK97" s="629"/>
      <c r="AL97" s="629"/>
      <c r="AM97" s="629"/>
      <c r="AN97" s="629"/>
      <c r="AO97" s="629"/>
      <c r="AP97" s="629"/>
      <c r="AQ97" s="629"/>
      <c r="AR97" s="629"/>
      <c r="AS97" s="629"/>
      <c r="AT97" s="629"/>
      <c r="AU97" s="629"/>
      <c r="AV97" s="629"/>
      <c r="AW97" s="629"/>
      <c r="AX97" s="629"/>
      <c r="AY97" s="629"/>
      <c r="AZ97" s="629"/>
      <c r="BA97" s="629"/>
      <c r="BB97" s="629"/>
      <c r="BC97" s="629"/>
      <c r="BD97" s="629"/>
      <c r="BE97" s="629"/>
      <c r="BF97" s="629"/>
      <c r="BG97" s="629"/>
      <c r="BH97" s="629"/>
      <c r="BI97" s="629"/>
      <c r="BJ97" s="629"/>
    </row>
    <row r="98" spans="2:62">
      <c r="B98" s="125"/>
    </row>
    <row r="99" spans="2:62" s="377" customFormat="1">
      <c r="B99" s="377" t="s">
        <v>66</v>
      </c>
      <c r="C99" s="417">
        <v>150.80000000000001</v>
      </c>
      <c r="D99" s="417">
        <f>E99-C99</f>
        <v>127.19999999999999</v>
      </c>
      <c r="E99" s="417">
        <f>25:25</f>
        <v>278</v>
      </c>
      <c r="F99" s="417">
        <f>25:25</f>
        <v>149.30000000000001</v>
      </c>
      <c r="G99" s="417">
        <f>H99-F99</f>
        <v>144.80000000000001</v>
      </c>
      <c r="H99" s="417">
        <f>25:25</f>
        <v>294.10000000000002</v>
      </c>
      <c r="I99" s="417">
        <f>25:25</f>
        <v>166.2</v>
      </c>
      <c r="J99" s="417">
        <f>K99-I99</f>
        <v>148.5</v>
      </c>
      <c r="K99" s="418">
        <f>25:25</f>
        <v>314.7</v>
      </c>
      <c r="L99" s="417">
        <f>25:25</f>
        <v>259.3</v>
      </c>
      <c r="M99" s="417">
        <f>N99-L99</f>
        <v>273.90000000000003</v>
      </c>
      <c r="N99" s="417">
        <f>25:25</f>
        <v>533.20000000000005</v>
      </c>
      <c r="O99" s="417">
        <f>25:25</f>
        <v>418.1</v>
      </c>
      <c r="P99" s="417">
        <f>Q99-O99</f>
        <v>358.1</v>
      </c>
      <c r="Q99" s="417">
        <f>25:25</f>
        <v>776.2</v>
      </c>
      <c r="R99" s="417">
        <f>25:25</f>
        <v>329.4</v>
      </c>
      <c r="S99" s="417">
        <f>T99-R99</f>
        <v>372.4</v>
      </c>
      <c r="T99" s="417">
        <f>25:25</f>
        <v>701.8</v>
      </c>
      <c r="U99" s="417">
        <f>25:25</f>
        <v>404.5</v>
      </c>
      <c r="V99" s="417">
        <f>W99-U99</f>
        <v>358.9</v>
      </c>
      <c r="W99" s="417">
        <f>25:25</f>
        <v>763.4</v>
      </c>
      <c r="X99" s="417">
        <f>25:25</f>
        <v>402</v>
      </c>
      <c r="Y99" s="417">
        <f>Z99-X99</f>
        <v>328.4</v>
      </c>
      <c r="Z99" s="417">
        <f>25:25</f>
        <v>730.4</v>
      </c>
      <c r="AA99" s="417">
        <f>25:25</f>
        <v>390.9</v>
      </c>
      <c r="AB99" s="417">
        <f>AC99-AA99</f>
        <v>363.80000000000007</v>
      </c>
      <c r="AC99" s="417">
        <f>25:25</f>
        <v>754.7</v>
      </c>
      <c r="AD99" s="417">
        <f>25:25</f>
        <v>402.8854755787354</v>
      </c>
      <c r="AE99" s="417">
        <f>AF99-AD99</f>
        <v>371.63500618565342</v>
      </c>
      <c r="AF99" s="417">
        <f>25:25</f>
        <v>774.52048176438882</v>
      </c>
      <c r="AG99" s="417">
        <f>25:25</f>
        <v>436.37758105105081</v>
      </c>
      <c r="AH99" s="417">
        <f>AI99-AG99</f>
        <v>411.67885655637872</v>
      </c>
      <c r="AI99" s="417">
        <f>25:25</f>
        <v>848.05643760742953</v>
      </c>
      <c r="AJ99" s="417"/>
      <c r="AK99" s="417"/>
      <c r="AL99" s="417">
        <f>25:25</f>
        <v>895.59728797169657</v>
      </c>
      <c r="AM99" s="417"/>
      <c r="AN99" s="417"/>
      <c r="AO99" s="417">
        <f>25:25</f>
        <v>938.31686424159534</v>
      </c>
      <c r="AP99" s="417"/>
      <c r="AQ99" s="417"/>
      <c r="AR99" s="417">
        <f>25:25</f>
        <v>978.59441741054798</v>
      </c>
      <c r="AS99" s="417"/>
      <c r="AT99" s="417"/>
      <c r="AU99" s="417">
        <f>25:25</f>
        <v>1016.4504071465044</v>
      </c>
      <c r="AV99" s="417"/>
      <c r="AW99" s="417"/>
      <c r="AX99" s="417">
        <f>25:25</f>
        <v>1050.9866975153691</v>
      </c>
      <c r="AY99" s="417"/>
      <c r="AZ99" s="417"/>
      <c r="BA99" s="417">
        <f>25:25</f>
        <v>1086.715696135406</v>
      </c>
      <c r="BB99" s="417"/>
      <c r="BC99" s="417"/>
      <c r="BD99" s="417">
        <f>25:25</f>
        <v>1123.6787111006174</v>
      </c>
      <c r="BE99" s="417"/>
      <c r="BF99" s="417"/>
      <c r="BG99" s="417">
        <f>25:25</f>
        <v>1161.9184664104189</v>
      </c>
      <c r="BH99" s="417"/>
      <c r="BI99" s="417"/>
      <c r="BJ99" s="417">
        <f>25:25</f>
        <v>1201.4791493286023</v>
      </c>
    </row>
    <row r="100" spans="2:62" s="377" customFormat="1">
      <c r="B100" s="377" t="s">
        <v>26</v>
      </c>
      <c r="C100" s="417">
        <v>-129</v>
      </c>
      <c r="D100" s="417">
        <f t="shared" ref="D100:D101" si="310">E100-C100</f>
        <v>118.80000000000007</v>
      </c>
      <c r="E100" s="417">
        <f>E99-E101</f>
        <v>-10.199999999999932</v>
      </c>
      <c r="F100" s="417">
        <f>F99-F101</f>
        <v>-269.39999999999992</v>
      </c>
      <c r="G100" s="417">
        <f t="shared" ref="G100:G101" si="311">H100-F100</f>
        <v>211.29999999999995</v>
      </c>
      <c r="H100" s="417">
        <f>H99-H101</f>
        <v>-58.099999999999966</v>
      </c>
      <c r="I100" s="417">
        <f>I99-I101</f>
        <v>-223.2000000000001</v>
      </c>
      <c r="J100" s="417">
        <f t="shared" ref="J100:J101" si="312">K100-I100</f>
        <v>-19.900000000000091</v>
      </c>
      <c r="K100" s="418">
        <f>K99-K101</f>
        <v>-243.10000000000019</v>
      </c>
      <c r="L100" s="417">
        <f>L99-L101</f>
        <v>-130.49999999999994</v>
      </c>
      <c r="M100" s="417">
        <f t="shared" ref="M100:M101" si="313">N100-L100</f>
        <v>-38.700000000000102</v>
      </c>
      <c r="N100" s="417">
        <f>N99-N101</f>
        <v>-169.20000000000005</v>
      </c>
      <c r="O100" s="417">
        <f>O99-O101</f>
        <v>-172.89999999999998</v>
      </c>
      <c r="P100" s="417">
        <f t="shared" ref="P100:P101" si="314">Q100-O100</f>
        <v>227.00000000000011</v>
      </c>
      <c r="Q100" s="417">
        <f>Q99-Q101</f>
        <v>54.100000000000136</v>
      </c>
      <c r="R100" s="417">
        <f>R99-R101</f>
        <v>48.799999999999841</v>
      </c>
      <c r="S100" s="417">
        <f t="shared" ref="S100:S101" si="315">T100-R100</f>
        <v>110.8000000000003</v>
      </c>
      <c r="T100" s="417">
        <f>T99-T101</f>
        <v>159.60000000000014</v>
      </c>
      <c r="U100" s="417"/>
      <c r="V100" s="417">
        <f t="shared" ref="V100:V101" si="316">W100-U100</f>
        <v>-61.199999999999477</v>
      </c>
      <c r="W100" s="417">
        <f>W99-W101</f>
        <v>-61.199999999999477</v>
      </c>
      <c r="X100" s="417"/>
      <c r="Y100" s="417">
        <f t="shared" ref="Y100:Y101" si="317">Z100-X100</f>
        <v>-77.500000000000114</v>
      </c>
      <c r="Z100" s="417">
        <f>Z99-Z101</f>
        <v>-77.500000000000114</v>
      </c>
      <c r="AA100" s="417"/>
      <c r="AB100" s="417">
        <f t="shared" ref="AB100:AB101" si="318">AC100-AA100</f>
        <v>1.3999999999998636</v>
      </c>
      <c r="AC100" s="417">
        <f>AC99-AC101</f>
        <v>1.3999999999998636</v>
      </c>
      <c r="AD100" s="417"/>
      <c r="AE100" s="417">
        <f t="shared" ref="AE100:AE101" si="319">AF100-AD100</f>
        <v>0</v>
      </c>
      <c r="AF100" s="417"/>
      <c r="AG100" s="417"/>
      <c r="AH100" s="417">
        <f t="shared" ref="AH100:AH101" si="320">AI100-AG100</f>
        <v>0</v>
      </c>
      <c r="AI100" s="417"/>
      <c r="AJ100" s="417"/>
      <c r="AK100" s="417"/>
      <c r="AL100" s="417"/>
      <c r="AM100" s="417"/>
      <c r="AN100" s="417"/>
      <c r="AO100" s="417"/>
      <c r="AP100" s="417"/>
      <c r="AQ100" s="417"/>
      <c r="AR100" s="417"/>
      <c r="AS100" s="417"/>
      <c r="AT100" s="417"/>
      <c r="AU100" s="417"/>
      <c r="AV100" s="417"/>
      <c r="AW100" s="417"/>
      <c r="AX100" s="417"/>
      <c r="AY100" s="417"/>
      <c r="AZ100" s="417"/>
      <c r="BA100" s="417"/>
      <c r="BB100" s="417"/>
      <c r="BC100" s="417"/>
      <c r="BD100" s="417"/>
      <c r="BE100" s="417"/>
      <c r="BF100" s="417"/>
      <c r="BG100" s="417"/>
      <c r="BH100" s="417"/>
      <c r="BI100" s="417"/>
      <c r="BJ100" s="417"/>
    </row>
    <row r="101" spans="2:62" s="377" customFormat="1">
      <c r="B101" s="377" t="s">
        <v>143</v>
      </c>
      <c r="C101" s="417">
        <v>279.8</v>
      </c>
      <c r="D101" s="417">
        <f t="shared" si="310"/>
        <v>8.3999999999999204</v>
      </c>
      <c r="E101" s="417">
        <f>2733.7-2203.1-231-11.4</f>
        <v>288.19999999999993</v>
      </c>
      <c r="F101" s="417">
        <f>1441.8-1023.1</f>
        <v>418.69999999999993</v>
      </c>
      <c r="G101" s="417">
        <f t="shared" si="311"/>
        <v>-66.499999999999943</v>
      </c>
      <c r="H101" s="417">
        <f>2850.1-2268.6-218.5-10.8</f>
        <v>352.2</v>
      </c>
      <c r="I101" s="417">
        <f>1522-1132.6</f>
        <v>389.40000000000009</v>
      </c>
      <c r="J101" s="417">
        <f t="shared" si="312"/>
        <v>168.40000000000009</v>
      </c>
      <c r="K101" s="418">
        <f>2995.8-2438</f>
        <v>557.80000000000018</v>
      </c>
      <c r="L101" s="417">
        <f>1572.2-1182.4</f>
        <v>389.79999999999995</v>
      </c>
      <c r="M101" s="417">
        <f t="shared" si="313"/>
        <v>312.60000000000014</v>
      </c>
      <c r="N101" s="417">
        <f>3139-2436.6</f>
        <v>702.40000000000009</v>
      </c>
      <c r="O101" s="417">
        <f>1932-1341</f>
        <v>591</v>
      </c>
      <c r="P101" s="417">
        <f t="shared" si="314"/>
        <v>131.09999999999991</v>
      </c>
      <c r="Q101" s="417">
        <f>3823.9-3101.8</f>
        <v>722.09999999999991</v>
      </c>
      <c r="R101" s="417">
        <f>1845.2-1564.6</f>
        <v>280.60000000000014</v>
      </c>
      <c r="S101" s="417">
        <f t="shared" si="315"/>
        <v>261.59999999999968</v>
      </c>
      <c r="T101" s="419">
        <f>3914.5-3372.3</f>
        <v>542.19999999999982</v>
      </c>
      <c r="U101" s="419">
        <f>2153.6-1657.7</f>
        <v>495.89999999999986</v>
      </c>
      <c r="V101" s="417">
        <f t="shared" si="316"/>
        <v>328.69999999999959</v>
      </c>
      <c r="W101" s="419">
        <f>4222.4-3397.8</f>
        <v>824.59999999999945</v>
      </c>
      <c r="X101" s="419">
        <f>2213.1-1634.9</f>
        <v>578.19999999999982</v>
      </c>
      <c r="Y101" s="417">
        <f t="shared" si="317"/>
        <v>229.70000000000027</v>
      </c>
      <c r="Z101" s="419">
        <f>4313.8-3505.9</f>
        <v>807.90000000000009</v>
      </c>
      <c r="AA101" s="419">
        <f>2326.3-1834.9</f>
        <v>491.40000000000009</v>
      </c>
      <c r="AB101" s="417">
        <f t="shared" si="318"/>
        <v>261.90000000000009</v>
      </c>
      <c r="AC101" s="419">
        <f>4519.5-3766.2</f>
        <v>753.30000000000018</v>
      </c>
      <c r="AD101" s="417"/>
      <c r="AE101" s="417">
        <f t="shared" si="319"/>
        <v>0</v>
      </c>
      <c r="AF101" s="417"/>
      <c r="AG101" s="417"/>
      <c r="AH101" s="417">
        <f t="shared" si="320"/>
        <v>0</v>
      </c>
      <c r="AI101" s="417"/>
      <c r="AJ101" s="417"/>
      <c r="AK101" s="417"/>
      <c r="AL101" s="417"/>
      <c r="AM101" s="417"/>
      <c r="AN101" s="417"/>
      <c r="AO101" s="417"/>
      <c r="AP101" s="417"/>
      <c r="AQ101" s="417"/>
      <c r="AR101" s="417"/>
      <c r="AS101" s="417"/>
      <c r="AT101" s="417"/>
      <c r="AU101" s="417"/>
      <c r="AV101" s="417"/>
      <c r="AW101" s="417"/>
      <c r="AX101" s="417"/>
      <c r="AY101" s="417"/>
      <c r="AZ101" s="417"/>
      <c r="BA101" s="417"/>
      <c r="BB101" s="417"/>
      <c r="BC101" s="417"/>
      <c r="BD101" s="417"/>
      <c r="BE101" s="417"/>
      <c r="BF101" s="417"/>
      <c r="BG101" s="417"/>
      <c r="BH101" s="417"/>
      <c r="BI101" s="417"/>
      <c r="BJ101" s="417"/>
    </row>
    <row r="102" spans="2:62" s="547" customFormat="1">
      <c r="B102" s="549" t="s">
        <v>42</v>
      </c>
      <c r="C102" s="492">
        <v>0.42973939703627995</v>
      </c>
      <c r="D102" s="417"/>
      <c r="E102" s="492">
        <v>0.41970443349753728</v>
      </c>
      <c r="F102" s="492">
        <f>+F101/C101-1</f>
        <v>0.49642601858470314</v>
      </c>
      <c r="G102" s="417"/>
      <c r="H102" s="492">
        <f>H101/E101-1</f>
        <v>0.22206800832755058</v>
      </c>
      <c r="I102" s="492">
        <f>I101/F101-1</f>
        <v>-6.9978504896106575E-2</v>
      </c>
      <c r="J102" s="417"/>
      <c r="K102" s="798"/>
      <c r="L102" s="492">
        <f>L101/I101-1</f>
        <v>1.0272213662041452E-3</v>
      </c>
      <c r="M102" s="417"/>
      <c r="N102" s="492"/>
      <c r="O102" s="492">
        <f>O101/L101-1</f>
        <v>0.51616213442791192</v>
      </c>
      <c r="P102" s="417"/>
      <c r="Q102" s="492">
        <f>Q101/N101-1</f>
        <v>2.8046697038724089E-2</v>
      </c>
      <c r="R102" s="492">
        <f>R101/O101-1</f>
        <v>-0.52521150592216559</v>
      </c>
      <c r="S102" s="417"/>
      <c r="T102" s="492">
        <f>T101/Q101-1</f>
        <v>-0.24913446891012336</v>
      </c>
      <c r="U102" s="492">
        <f>U101/R101-1</f>
        <v>0.76728439059158804</v>
      </c>
      <c r="V102" s="417"/>
      <c r="W102" s="492">
        <f>W101/T101-1</f>
        <v>0.52084101807451066</v>
      </c>
      <c r="X102" s="492">
        <f>X101/U101-1</f>
        <v>0.16596087920951796</v>
      </c>
      <c r="Y102" s="417"/>
      <c r="Z102" s="492">
        <f>Z101/W101-1</f>
        <v>-2.0252243512005053E-2</v>
      </c>
      <c r="AA102" s="544"/>
      <c r="AB102" s="417"/>
      <c r="AC102" s="492">
        <f>AC101/Z101-1</f>
        <v>-6.7582621611585458E-2</v>
      </c>
      <c r="AD102" s="546"/>
      <c r="AE102" s="417"/>
      <c r="AF102" s="546"/>
      <c r="AG102" s="546"/>
      <c r="AH102" s="417"/>
      <c r="AI102" s="546"/>
      <c r="AJ102" s="546"/>
      <c r="AK102" s="546"/>
      <c r="AL102" s="546"/>
      <c r="AM102" s="546"/>
      <c r="AN102" s="546"/>
      <c r="AO102" s="546"/>
      <c r="AP102" s="546"/>
      <c r="AQ102" s="546"/>
      <c r="AR102" s="546"/>
      <c r="AS102" s="546"/>
      <c r="AT102" s="546"/>
      <c r="AU102" s="546"/>
      <c r="AV102" s="546"/>
      <c r="AW102" s="546"/>
      <c r="AX102" s="546"/>
      <c r="AY102" s="546"/>
      <c r="AZ102" s="546"/>
      <c r="BA102" s="546"/>
      <c r="BB102" s="546"/>
      <c r="BC102" s="546"/>
      <c r="BD102" s="546"/>
      <c r="BE102" s="546"/>
      <c r="BF102" s="546"/>
      <c r="BG102" s="546"/>
      <c r="BH102" s="546"/>
      <c r="BI102" s="546"/>
      <c r="BJ102" s="546"/>
    </row>
    <row r="103" spans="2:62" s="547" customFormat="1">
      <c r="B103" s="549" t="s">
        <v>235</v>
      </c>
      <c r="C103" s="492">
        <v>1.8554376657824934</v>
      </c>
      <c r="D103" s="417"/>
      <c r="E103" s="492">
        <f>E101/E99</f>
        <v>1.0366906474820141</v>
      </c>
      <c r="F103" s="492">
        <f>+F101/F99</f>
        <v>2.804420629604822</v>
      </c>
      <c r="G103" s="417"/>
      <c r="H103" s="492">
        <f>H101/H99</f>
        <v>1.1975518531111866</v>
      </c>
      <c r="I103" s="492">
        <f>I101/I99</f>
        <v>2.3429602888086651</v>
      </c>
      <c r="J103" s="417"/>
      <c r="K103" s="798"/>
      <c r="L103" s="492">
        <f>L101/L99</f>
        <v>1.5032780563054375</v>
      </c>
      <c r="M103" s="417"/>
      <c r="N103" s="492"/>
      <c r="O103" s="492">
        <f>O101/O99</f>
        <v>1.4135374312365463</v>
      </c>
      <c r="P103" s="417"/>
      <c r="Q103" s="492">
        <f>Q101/Q99</f>
        <v>0.9303014686936355</v>
      </c>
      <c r="R103" s="492">
        <f>R101/R99</f>
        <v>0.8518518518518523</v>
      </c>
      <c r="S103" s="417"/>
      <c r="T103" s="492">
        <f>T101/T99</f>
        <v>0.77258478198917047</v>
      </c>
      <c r="U103" s="492">
        <f>U101/U99</f>
        <v>1.2259579728059329</v>
      </c>
      <c r="V103" s="417"/>
      <c r="W103" s="492"/>
      <c r="X103" s="492">
        <f>X101/X99</f>
        <v>1.4383084577114422</v>
      </c>
      <c r="Y103" s="417"/>
      <c r="Z103" s="492">
        <f>Z101/Z99</f>
        <v>1.1061062431544362</v>
      </c>
      <c r="AA103" s="1373"/>
      <c r="AB103" s="417"/>
      <c r="AC103" s="492">
        <f>AC101/AC99</f>
        <v>0.99814495826156102</v>
      </c>
      <c r="AD103" s="546"/>
      <c r="AE103" s="417"/>
      <c r="AF103" s="546"/>
      <c r="AG103" s="546"/>
      <c r="AH103" s="417"/>
      <c r="AI103" s="546"/>
      <c r="AJ103" s="546"/>
      <c r="AK103" s="546"/>
      <c r="AL103" s="546"/>
      <c r="AM103" s="546"/>
      <c r="AN103" s="546"/>
      <c r="AO103" s="546"/>
      <c r="AP103" s="546"/>
      <c r="AQ103" s="546"/>
      <c r="AR103" s="546"/>
      <c r="AS103" s="546"/>
      <c r="AT103" s="546"/>
      <c r="AU103" s="546"/>
      <c r="AV103" s="546"/>
      <c r="AW103" s="546"/>
      <c r="AX103" s="546"/>
      <c r="AY103" s="546"/>
      <c r="AZ103" s="546"/>
      <c r="BA103" s="546"/>
      <c r="BB103" s="546"/>
      <c r="BC103" s="546"/>
      <c r="BD103" s="546"/>
      <c r="BE103" s="546"/>
      <c r="BF103" s="546"/>
      <c r="BG103" s="546"/>
      <c r="BH103" s="546"/>
      <c r="BI103" s="546"/>
      <c r="BJ103" s="546"/>
    </row>
    <row r="104" spans="2:62">
      <c r="B104" s="548"/>
      <c r="C104" s="480"/>
      <c r="D104" s="480"/>
      <c r="E104" s="480"/>
      <c r="F104" s="480"/>
      <c r="G104" s="480"/>
      <c r="H104" s="480"/>
      <c r="I104" s="480"/>
      <c r="J104" s="480"/>
      <c r="K104" s="481"/>
      <c r="L104" s="480"/>
      <c r="M104" s="480"/>
      <c r="N104" s="480"/>
      <c r="O104" s="480"/>
      <c r="P104" s="480"/>
      <c r="Q104" s="480"/>
      <c r="R104" s="480"/>
      <c r="S104" s="480"/>
      <c r="T104" s="473"/>
      <c r="U104" s="480"/>
      <c r="V104" s="480"/>
      <c r="W104" s="473"/>
      <c r="X104" s="480"/>
      <c r="Y104" s="480"/>
      <c r="Z104" s="473"/>
      <c r="AA104" s="480"/>
      <c r="AB104" s="480"/>
      <c r="AC104" s="473"/>
      <c r="AD104" s="480"/>
      <c r="AE104" s="480"/>
      <c r="AF104" s="473"/>
      <c r="AG104" s="480"/>
      <c r="AH104" s="480"/>
      <c r="AI104" s="473"/>
      <c r="AJ104" s="473"/>
      <c r="AK104" s="473"/>
      <c r="AL104" s="473"/>
      <c r="AM104" s="473"/>
      <c r="AN104" s="473"/>
      <c r="AO104" s="473"/>
      <c r="AP104" s="473"/>
      <c r="AQ104" s="473"/>
      <c r="AR104" s="473"/>
      <c r="AS104" s="473"/>
      <c r="AT104" s="473"/>
      <c r="AU104" s="473"/>
      <c r="AV104" s="473"/>
      <c r="AW104" s="473"/>
      <c r="AX104" s="473"/>
      <c r="AY104" s="473"/>
      <c r="AZ104" s="473"/>
      <c r="BA104" s="473"/>
      <c r="BB104" s="473"/>
      <c r="BC104" s="473"/>
      <c r="BD104" s="473"/>
      <c r="BE104" s="473"/>
      <c r="BF104" s="473"/>
      <c r="BG104" s="473"/>
      <c r="BH104" s="473"/>
      <c r="BI104" s="473"/>
      <c r="BJ104" s="473"/>
    </row>
    <row r="105" spans="2:62" s="377" customFormat="1">
      <c r="B105" s="377" t="s">
        <v>91</v>
      </c>
      <c r="C105" s="417">
        <v>106.1</v>
      </c>
      <c r="D105" s="417">
        <v>84.399999999999977</v>
      </c>
      <c r="E105" s="417">
        <f>E39</f>
        <v>190.49999999999997</v>
      </c>
      <c r="F105" s="417">
        <f>F39</f>
        <v>105.19999999999999</v>
      </c>
      <c r="G105" s="417">
        <v>84.399999999999977</v>
      </c>
      <c r="H105" s="417">
        <f>H39</f>
        <v>199.70000000000002</v>
      </c>
      <c r="I105" s="417">
        <f>I39</f>
        <v>112.1</v>
      </c>
      <c r="J105" s="417">
        <v>84.399999999999977</v>
      </c>
      <c r="K105" s="418">
        <f>K39</f>
        <v>204.2</v>
      </c>
      <c r="L105" s="417">
        <f>L39</f>
        <v>100.19999999999999</v>
      </c>
      <c r="M105" s="417">
        <v>84.399999999999977</v>
      </c>
      <c r="N105" s="417">
        <f>N39</f>
        <v>209.9</v>
      </c>
      <c r="O105" s="417">
        <f>O39</f>
        <v>250.79999999999998</v>
      </c>
      <c r="P105" s="417">
        <f t="shared" ref="P105:P111" si="321">Q105-O105</f>
        <v>185.00000000000003</v>
      </c>
      <c r="Q105" s="417">
        <f>Q39</f>
        <v>435.8</v>
      </c>
      <c r="R105" s="417">
        <f>R39</f>
        <v>161</v>
      </c>
      <c r="S105" s="417">
        <f>T105-R105</f>
        <v>188.60000000000002</v>
      </c>
      <c r="T105" s="417">
        <f>T39</f>
        <v>349.6</v>
      </c>
      <c r="U105" s="417">
        <f>U39+U50</f>
        <v>209</v>
      </c>
      <c r="V105" s="417">
        <v>84.399999999999977</v>
      </c>
      <c r="W105" s="417">
        <f>W39</f>
        <v>390.6</v>
      </c>
      <c r="X105" s="417">
        <f>X39+X50</f>
        <v>204.57129936689779</v>
      </c>
      <c r="Y105" s="417">
        <v>84.399999999999977</v>
      </c>
      <c r="Z105" s="417">
        <f>Z39</f>
        <v>342.6</v>
      </c>
      <c r="AA105" s="417">
        <f>AA39+AA50</f>
        <v>184.79999999999998</v>
      </c>
      <c r="AB105" s="417">
        <v>84.399999999999977</v>
      </c>
      <c r="AC105" s="417">
        <f>AC39+AC50</f>
        <v>318.79999999999995</v>
      </c>
      <c r="AD105" s="417">
        <f>AD39+AD50</f>
        <v>185.75663465786539</v>
      </c>
      <c r="AE105" s="417">
        <v>84.399999999999977</v>
      </c>
      <c r="AF105" s="417">
        <f>AF39+AF50</f>
        <v>332.5997999226488</v>
      </c>
      <c r="AG105" s="417">
        <f>AG39+AG50</f>
        <v>209.95788252936723</v>
      </c>
      <c r="AH105" s="417">
        <v>84.399999999999977</v>
      </c>
      <c r="AI105" s="417">
        <f>AI39+AI50</f>
        <v>390.52591625196044</v>
      </c>
      <c r="AJ105" s="417"/>
      <c r="AK105" s="417"/>
      <c r="AL105" s="417">
        <f>AL39+AL50</f>
        <v>420.55053012344905</v>
      </c>
      <c r="AM105" s="417"/>
      <c r="AN105" s="417"/>
      <c r="AO105" s="417">
        <f>AO39+AO50</f>
        <v>447.88065131394211</v>
      </c>
      <c r="AP105" s="417"/>
      <c r="AQ105" s="417"/>
      <c r="AR105" s="417">
        <f>AR39+AR50</f>
        <v>471.19999530432926</v>
      </c>
      <c r="AS105" s="417"/>
      <c r="AT105" s="417"/>
      <c r="AU105" s="417">
        <f>AU39+AU50</f>
        <v>493.19709074014463</v>
      </c>
      <c r="AV105" s="417"/>
      <c r="AW105" s="417"/>
      <c r="AX105" s="417">
        <f>AX39+AX50</f>
        <v>513.17611146008005</v>
      </c>
      <c r="AY105" s="417"/>
      <c r="AZ105" s="417"/>
      <c r="BA105" s="417">
        <f>BA39+BA50</f>
        <v>533.99883767905794</v>
      </c>
      <c r="BB105" s="417"/>
      <c r="BC105" s="417"/>
      <c r="BD105" s="417">
        <f>BD39+BD50</f>
        <v>555.71825478981862</v>
      </c>
      <c r="BE105" s="417"/>
      <c r="BF105" s="417"/>
      <c r="BG105" s="417">
        <f>BG39+BG50</f>
        <v>578.37770507197592</v>
      </c>
      <c r="BH105" s="417"/>
      <c r="BI105" s="417"/>
      <c r="BJ105" s="417">
        <f>BJ39+BJ50</f>
        <v>602.02229805999275</v>
      </c>
    </row>
    <row r="106" spans="2:62" s="377" customFormat="1">
      <c r="B106" s="377" t="s">
        <v>871</v>
      </c>
      <c r="C106" s="417">
        <v>35.6</v>
      </c>
      <c r="D106" s="417">
        <v>35.1</v>
      </c>
      <c r="E106" s="417">
        <f>-E29</f>
        <v>70.700000000000017</v>
      </c>
      <c r="F106" s="417">
        <f>-F29</f>
        <v>35.700000000000017</v>
      </c>
      <c r="G106" s="417">
        <v>35.1</v>
      </c>
      <c r="H106" s="417">
        <f>-H29</f>
        <v>74.500000000000028</v>
      </c>
      <c r="I106" s="417">
        <f>-I29</f>
        <v>41.699999999999989</v>
      </c>
      <c r="J106" s="417">
        <v>35.1</v>
      </c>
      <c r="K106" s="418">
        <f>-K29</f>
        <v>86.6</v>
      </c>
      <c r="L106" s="417">
        <f>-L29</f>
        <v>131.20000000000002</v>
      </c>
      <c r="M106" s="417">
        <v>35.1</v>
      </c>
      <c r="N106" s="417">
        <f>-N29</f>
        <v>268.20000000000005</v>
      </c>
      <c r="O106" s="417">
        <f>-O29</f>
        <v>146.20000000000005</v>
      </c>
      <c r="P106" s="417">
        <f t="shared" si="321"/>
        <v>153.19999999999999</v>
      </c>
      <c r="Q106" s="417">
        <f>-Q29</f>
        <v>299.40000000000003</v>
      </c>
      <c r="R106" s="417">
        <f>-R29</f>
        <v>146.59999999999997</v>
      </c>
      <c r="S106" s="417">
        <f t="shared" ref="S106:S111" si="322">T106-R106</f>
        <v>158.59999999999997</v>
      </c>
      <c r="T106" s="417">
        <f>-T29</f>
        <v>305.19999999999993</v>
      </c>
      <c r="U106" s="417">
        <f>-U29</f>
        <v>163.6</v>
      </c>
      <c r="V106" s="417">
        <f>W106-U106</f>
        <v>165.99999999999997</v>
      </c>
      <c r="W106" s="417">
        <f>-W29</f>
        <v>329.59999999999997</v>
      </c>
      <c r="X106" s="417">
        <f>-X29</f>
        <v>172.29999999999998</v>
      </c>
      <c r="Y106" s="417">
        <v>35.1</v>
      </c>
      <c r="Z106" s="417">
        <f>-Z29</f>
        <v>338.20000000000005</v>
      </c>
      <c r="AA106" s="417">
        <f>-AA29</f>
        <v>175.1</v>
      </c>
      <c r="AB106" s="417">
        <v>35.1</v>
      </c>
      <c r="AC106" s="417">
        <f>-AC29</f>
        <v>358.3</v>
      </c>
      <c r="AD106" s="417">
        <f>-AD29</f>
        <v>186.72009092087001</v>
      </c>
      <c r="AE106" s="417">
        <v>35.1</v>
      </c>
      <c r="AF106" s="417">
        <f>-AF29</f>
        <v>373.44018184174001</v>
      </c>
      <c r="AG106" s="417">
        <f>-AG29</f>
        <v>195.5241296311757</v>
      </c>
      <c r="AH106" s="417">
        <v>35.1</v>
      </c>
      <c r="AI106" s="417">
        <f>-AI29</f>
        <v>391.04825926235139</v>
      </c>
      <c r="AJ106" s="417"/>
      <c r="AK106" s="417"/>
      <c r="AL106" s="417">
        <f>-AL29</f>
        <v>409.34546966712969</v>
      </c>
      <c r="AM106" s="417"/>
      <c r="AN106" s="417"/>
      <c r="AO106" s="417">
        <f>-AO29</f>
        <v>427.27562624530441</v>
      </c>
      <c r="AP106" s="417"/>
      <c r="AQ106" s="417"/>
      <c r="AR106" s="417">
        <f>-AR29</f>
        <v>444.58655204159345</v>
      </c>
      <c r="AS106" s="417"/>
      <c r="AT106" s="417"/>
      <c r="AU106" s="417">
        <f>-AU29</f>
        <v>460.98944084074697</v>
      </c>
      <c r="AV106" s="417"/>
      <c r="AW106" s="417"/>
      <c r="AX106" s="417">
        <f>-AX29</f>
        <v>476.36947337449021</v>
      </c>
      <c r="AY106" s="417"/>
      <c r="AZ106" s="417"/>
      <c r="BA106" s="417">
        <f>-BA29</f>
        <v>492.27153435397236</v>
      </c>
      <c r="BB106" s="417"/>
      <c r="BC106" s="417"/>
      <c r="BD106" s="417">
        <f>-BD29</f>
        <v>508.71348055868725</v>
      </c>
      <c r="BE106" s="417"/>
      <c r="BF106" s="417"/>
      <c r="BG106" s="417">
        <f>-BG29</f>
        <v>525.71378042522792</v>
      </c>
      <c r="BH106" s="417"/>
      <c r="BI106" s="417"/>
      <c r="BJ106" s="417">
        <f>-BJ29</f>
        <v>543.2915349514434</v>
      </c>
    </row>
    <row r="107" spans="2:62" s="377" customFormat="1">
      <c r="B107" s="377" t="s">
        <v>104</v>
      </c>
      <c r="C107" s="417">
        <v>-31.7</v>
      </c>
      <c r="D107" s="417">
        <v>-23.000000000000004</v>
      </c>
      <c r="E107" s="417">
        <f>E41</f>
        <v>-57.30000000000004</v>
      </c>
      <c r="F107" s="417">
        <f>F41</f>
        <v>-31.700000000000003</v>
      </c>
      <c r="G107" s="417">
        <v>-23.000000000000004</v>
      </c>
      <c r="H107" s="417">
        <f>H41</f>
        <v>-58.599999999999994</v>
      </c>
      <c r="I107" s="417">
        <f>I41</f>
        <v>-31.799999999999997</v>
      </c>
      <c r="J107" s="417">
        <v>-23.000000000000004</v>
      </c>
      <c r="K107" s="418">
        <f>K41</f>
        <v>-51.599999999999994</v>
      </c>
      <c r="L107" s="417">
        <f>L41</f>
        <v>-30.099999999999994</v>
      </c>
      <c r="M107" s="417">
        <v>-23.000000000000004</v>
      </c>
      <c r="N107" s="417">
        <f>N41</f>
        <v>-61.700000000000017</v>
      </c>
      <c r="O107" s="417">
        <f>O41</f>
        <v>-75.199999999999989</v>
      </c>
      <c r="P107" s="417">
        <f t="shared" si="321"/>
        <v>-53.800000000000011</v>
      </c>
      <c r="Q107" s="417">
        <f>Q41</f>
        <v>-129</v>
      </c>
      <c r="R107" s="417">
        <f>R41</f>
        <v>-48.2</v>
      </c>
      <c r="S107" s="417">
        <f t="shared" si="322"/>
        <v>-57.300000000000026</v>
      </c>
      <c r="T107" s="417">
        <f>T41</f>
        <v>-105.50000000000003</v>
      </c>
      <c r="U107" s="417">
        <f>U41</f>
        <v>-64.800000000000011</v>
      </c>
      <c r="V107" s="417">
        <v>-23.000000000000004</v>
      </c>
      <c r="W107" s="417">
        <f>W41</f>
        <v>-117.1</v>
      </c>
      <c r="X107" s="417">
        <f>X41</f>
        <v>-61.171299366897813</v>
      </c>
      <c r="Y107" s="417">
        <v>-23.000000000000004</v>
      </c>
      <c r="Z107" s="417">
        <f>Z41</f>
        <v>-100.5</v>
      </c>
      <c r="AA107" s="417">
        <f>AA41</f>
        <v>-55</v>
      </c>
      <c r="AB107" s="417">
        <v>-23.000000000000004</v>
      </c>
      <c r="AC107" s="417">
        <f>AC41</f>
        <v>-97</v>
      </c>
      <c r="AD107" s="417">
        <f>AD41</f>
        <v>-54.700648335801283</v>
      </c>
      <c r="AE107" s="417">
        <v>-23.000000000000004</v>
      </c>
      <c r="AF107" s="417">
        <f>AF41</f>
        <v>-97.942260450810366</v>
      </c>
      <c r="AG107" s="417">
        <f>AG41</f>
        <v>-61.827306027166429</v>
      </c>
      <c r="AH107" s="417">
        <v>-23.000000000000004</v>
      </c>
      <c r="AI107" s="417">
        <f>AI41</f>
        <v>-115.00004212641215</v>
      </c>
      <c r="AJ107" s="417"/>
      <c r="AK107" s="417"/>
      <c r="AL107" s="417">
        <f>AL41</f>
        <v>-123.84153437150746</v>
      </c>
      <c r="AM107" s="417"/>
      <c r="AN107" s="417"/>
      <c r="AO107" s="417">
        <f>AO41</f>
        <v>-131.88956641606674</v>
      </c>
      <c r="AP107" s="417"/>
      <c r="AQ107" s="417"/>
      <c r="AR107" s="417">
        <f>AR41</f>
        <v>-138.75652563606539</v>
      </c>
      <c r="AS107" s="417"/>
      <c r="AT107" s="417"/>
      <c r="AU107" s="417">
        <f>AU41</f>
        <v>-145.2341159738738</v>
      </c>
      <c r="AV107" s="417"/>
      <c r="AW107" s="417"/>
      <c r="AX107" s="417">
        <f>AX41</f>
        <v>-151.11743415794706</v>
      </c>
      <c r="AY107" s="417"/>
      <c r="AZ107" s="417"/>
      <c r="BA107" s="417">
        <f>BA41</f>
        <v>-157.24920235236377</v>
      </c>
      <c r="BB107" s="417"/>
      <c r="BC107" s="417"/>
      <c r="BD107" s="417">
        <f>BD41</f>
        <v>-163.64502342019551</v>
      </c>
      <c r="BE107" s="417"/>
      <c r="BF107" s="417"/>
      <c r="BG107" s="417">
        <f>BG41</f>
        <v>-170.31766057067901</v>
      </c>
      <c r="BH107" s="417"/>
      <c r="BI107" s="417"/>
      <c r="BJ107" s="417">
        <f>BJ41</f>
        <v>-177.28039742507377</v>
      </c>
    </row>
    <row r="108" spans="2:62" s="377" customFormat="1">
      <c r="B108" s="377" t="s">
        <v>105</v>
      </c>
      <c r="C108" s="417"/>
      <c r="D108" s="417"/>
      <c r="E108" s="417"/>
      <c r="F108" s="417"/>
      <c r="G108" s="417"/>
      <c r="H108" s="417"/>
      <c r="I108" s="417"/>
      <c r="J108" s="417"/>
      <c r="K108" s="418"/>
      <c r="L108" s="417"/>
      <c r="M108" s="417"/>
      <c r="N108" s="417"/>
      <c r="O108" s="417"/>
      <c r="P108" s="417">
        <f t="shared" si="321"/>
        <v>0</v>
      </c>
      <c r="Q108" s="417"/>
      <c r="R108" s="417"/>
      <c r="S108" s="417">
        <f t="shared" si="322"/>
        <v>0</v>
      </c>
      <c r="T108" s="417"/>
      <c r="U108" s="417"/>
      <c r="V108" s="417"/>
      <c r="W108" s="417"/>
      <c r="X108" s="417"/>
      <c r="Y108" s="417"/>
      <c r="Z108" s="417"/>
      <c r="AA108" s="417"/>
      <c r="AB108" s="417"/>
      <c r="AC108" s="417"/>
      <c r="AD108" s="417"/>
      <c r="AE108" s="417"/>
      <c r="AF108" s="417"/>
      <c r="AG108" s="417"/>
      <c r="AH108" s="417"/>
      <c r="AI108" s="417"/>
      <c r="AJ108" s="417"/>
      <c r="AK108" s="417"/>
      <c r="AL108" s="417"/>
      <c r="AM108" s="417"/>
      <c r="AN108" s="417"/>
      <c r="AO108" s="417"/>
      <c r="AP108" s="417"/>
      <c r="AQ108" s="417"/>
      <c r="AR108" s="417"/>
      <c r="AS108" s="417"/>
      <c r="AT108" s="417"/>
      <c r="AU108" s="417"/>
      <c r="AV108" s="417"/>
      <c r="AW108" s="417"/>
      <c r="AX108" s="417"/>
      <c r="AY108" s="417"/>
      <c r="AZ108" s="417"/>
      <c r="BA108" s="417"/>
      <c r="BB108" s="417"/>
      <c r="BC108" s="417"/>
      <c r="BD108" s="417"/>
      <c r="BE108" s="417"/>
      <c r="BF108" s="417"/>
      <c r="BG108" s="417"/>
      <c r="BH108" s="417"/>
      <c r="BI108" s="417"/>
      <c r="BJ108" s="417"/>
    </row>
    <row r="109" spans="2:62" s="377" customFormat="1">
      <c r="B109" s="377" t="s">
        <v>106</v>
      </c>
      <c r="C109" s="417">
        <v>142</v>
      </c>
      <c r="D109" s="417">
        <f>E109-C109</f>
        <v>-111.39999999999995</v>
      </c>
      <c r="E109" s="417">
        <f>234.5-(E105+E106+E107+E108)</f>
        <v>30.600000000000051</v>
      </c>
      <c r="F109" s="417">
        <f>293.7-SUM(F105:F108)</f>
        <v>184.5</v>
      </c>
      <c r="G109" s="417">
        <f>H109-F109</f>
        <v>-93.700000000000074</v>
      </c>
      <c r="H109" s="417">
        <f>308.4-(H105+H106+H107+H108)-2</f>
        <v>90.799999999999926</v>
      </c>
      <c r="I109" s="417">
        <f>235.4-SUM(I105:I108)</f>
        <v>113.40000000000002</v>
      </c>
      <c r="J109" s="417">
        <f>K109-I109</f>
        <v>-111.69999999999997</v>
      </c>
      <c r="K109" s="418">
        <f>240.9-(K105+K106+K107+K108)</f>
        <v>1.7000000000000455</v>
      </c>
      <c r="L109" s="417">
        <f>340.6-SUM(L105:L108)</f>
        <v>139.30000000000001</v>
      </c>
      <c r="M109" s="417">
        <f>N109-L109</f>
        <v>1.1999999999999886</v>
      </c>
      <c r="N109" s="417">
        <f>N111-SUM(N105:N108)</f>
        <v>140.5</v>
      </c>
      <c r="O109" s="417">
        <f t="shared" ref="O109:T109" si="323">O111-SUM(O105:O108)</f>
        <v>182.8</v>
      </c>
      <c r="P109" s="417">
        <f t="shared" si="323"/>
        <v>-230.90000000000003</v>
      </c>
      <c r="Q109" s="417">
        <f t="shared" si="323"/>
        <v>-48.100000000000023</v>
      </c>
      <c r="R109" s="417">
        <f t="shared" si="323"/>
        <v>-123.49999999999997</v>
      </c>
      <c r="S109" s="417">
        <f t="shared" si="323"/>
        <v>-129.00000000000003</v>
      </c>
      <c r="T109" s="417">
        <f t="shared" si="323"/>
        <v>-252.5</v>
      </c>
      <c r="U109" s="417">
        <f t="shared" ref="U109" si="324">U111-SUM(U105:U108)</f>
        <v>109.30000000000001</v>
      </c>
      <c r="V109" s="417">
        <f>W109-U109</f>
        <v>-41.900000000000034</v>
      </c>
      <c r="W109" s="417">
        <f t="shared" ref="W109:X109" si="325">W111-SUM(W105:W108)</f>
        <v>67.399999999999977</v>
      </c>
      <c r="X109" s="417">
        <f t="shared" si="325"/>
        <v>136.69999999999999</v>
      </c>
      <c r="Y109" s="417">
        <f>Z109-X109</f>
        <v>-137.50000000000006</v>
      </c>
      <c r="Z109" s="417">
        <f t="shared" ref="Z109:AA109" si="326">Z111-SUM(Z105:Z108)</f>
        <v>-0.80000000000006821</v>
      </c>
      <c r="AA109" s="417">
        <f t="shared" si="326"/>
        <v>52.500000000000057</v>
      </c>
      <c r="AB109" s="417">
        <f>AC109-AA109</f>
        <v>-123.30000000000001</v>
      </c>
      <c r="AC109" s="417">
        <f>AC111-SUM(AC105:AC108)</f>
        <v>-70.799999999999955</v>
      </c>
      <c r="AD109" s="417">
        <f>MODEL!AD196</f>
        <v>99.794992128398121</v>
      </c>
      <c r="AE109" s="417">
        <f>AF109-AD109</f>
        <v>-78.08542020937594</v>
      </c>
      <c r="AF109" s="417">
        <f>MODEL!AF196</f>
        <v>21.709571919022181</v>
      </c>
      <c r="AG109" s="417">
        <f>MODEL!AG196</f>
        <v>71.372558957658754</v>
      </c>
      <c r="AH109" s="417">
        <f>AI109-AG109</f>
        <v>-82.503019426624746</v>
      </c>
      <c r="AI109" s="417">
        <f>MODEL!AI196</f>
        <v>-11.130460468965993</v>
      </c>
      <c r="AJ109" s="417"/>
      <c r="AK109" s="417"/>
      <c r="AL109" s="417">
        <f>MODEL!AL196</f>
        <v>-10.948271318901249</v>
      </c>
      <c r="AM109" s="417"/>
      <c r="AN109" s="417"/>
      <c r="AO109" s="417">
        <f>MODEL!AO196</f>
        <v>-10.762787861173763</v>
      </c>
      <c r="AP109" s="417"/>
      <c r="AQ109" s="417"/>
      <c r="AR109" s="417">
        <f>MODEL!AR196</f>
        <v>-10.343046932538726</v>
      </c>
      <c r="AS109" s="417"/>
      <c r="AT109" s="417"/>
      <c r="AU109" s="417">
        <f>MODEL!AU196</f>
        <v>-9.7551751475374431</v>
      </c>
      <c r="AV109" s="417"/>
      <c r="AW109" s="417"/>
      <c r="AX109" s="417">
        <f>MODEL!AX196</f>
        <v>-9.1494996865088751</v>
      </c>
      <c r="AY109" s="417"/>
      <c r="AZ109" s="417"/>
      <c r="BA109" s="417">
        <f>MODEL!BA196</f>
        <v>-9.4565115668953013</v>
      </c>
      <c r="BB109" s="417"/>
      <c r="BC109" s="417"/>
      <c r="BD109" s="417">
        <f>MODEL!BD196</f>
        <v>-9.773861295964025</v>
      </c>
      <c r="BE109" s="417"/>
      <c r="BF109" s="417"/>
      <c r="BG109" s="417">
        <f>MODEL!BG196</f>
        <v>-10.101896802791771</v>
      </c>
      <c r="BH109" s="417"/>
      <c r="BI109" s="417"/>
      <c r="BJ109" s="417">
        <f>MODEL!BJ196</f>
        <v>-10.440977696080722</v>
      </c>
    </row>
    <row r="110" spans="2:62" s="377" customFormat="1">
      <c r="B110" s="377" t="s">
        <v>141</v>
      </c>
      <c r="C110" s="417">
        <v>-9.6</v>
      </c>
      <c r="D110" s="417">
        <f>E110-C110</f>
        <v>-7.4</v>
      </c>
      <c r="E110" s="417">
        <f>-17.1+0.1</f>
        <v>-17</v>
      </c>
      <c r="F110" s="417">
        <v>-5.9</v>
      </c>
      <c r="G110" s="417">
        <f>H110-F110</f>
        <v>-10.199999999999998</v>
      </c>
      <c r="H110" s="417">
        <f>-16.2+0.1</f>
        <v>-16.099999999999998</v>
      </c>
      <c r="I110" s="417">
        <v>-10.5</v>
      </c>
      <c r="J110" s="417">
        <f>K110-I110</f>
        <v>-5.5</v>
      </c>
      <c r="K110" s="418">
        <v>-16</v>
      </c>
      <c r="L110" s="417">
        <v>-28.5</v>
      </c>
      <c r="M110" s="417">
        <f>N110-L110</f>
        <v>28.5</v>
      </c>
      <c r="N110" s="417"/>
      <c r="O110" s="417"/>
      <c r="P110" s="417">
        <f t="shared" si="321"/>
        <v>0</v>
      </c>
      <c r="Q110" s="417">
        <v>0</v>
      </c>
      <c r="R110" s="417"/>
      <c r="S110" s="417">
        <f t="shared" si="322"/>
        <v>0</v>
      </c>
      <c r="T110" s="417"/>
      <c r="U110" s="417"/>
      <c r="V110" s="417">
        <f>W110-U110</f>
        <v>-45.9</v>
      </c>
      <c r="W110" s="419">
        <v>-45.9</v>
      </c>
      <c r="X110" s="417"/>
      <c r="Y110" s="417"/>
      <c r="Z110" s="419">
        <v>-55.9</v>
      </c>
      <c r="AA110" s="417"/>
      <c r="AB110" s="417"/>
      <c r="AC110" s="419">
        <v>-68</v>
      </c>
      <c r="AD110" s="417"/>
      <c r="AE110" s="417"/>
      <c r="AF110" s="417"/>
      <c r="AG110" s="417"/>
      <c r="AH110" s="417"/>
      <c r="AI110" s="417"/>
      <c r="AJ110" s="417"/>
      <c r="AK110" s="417"/>
      <c r="AL110" s="417"/>
      <c r="AM110" s="417"/>
      <c r="AN110" s="417"/>
      <c r="AO110" s="417"/>
      <c r="AP110" s="417"/>
      <c r="AQ110" s="417"/>
      <c r="AR110" s="417"/>
      <c r="AS110" s="417"/>
      <c r="AT110" s="417"/>
      <c r="AU110" s="417"/>
      <c r="AV110" s="417"/>
      <c r="AW110" s="417"/>
      <c r="AX110" s="417"/>
      <c r="AY110" s="417"/>
      <c r="AZ110" s="417"/>
      <c r="BA110" s="417"/>
      <c r="BB110" s="417"/>
      <c r="BC110" s="417"/>
      <c r="BD110" s="417"/>
      <c r="BE110" s="417"/>
      <c r="BF110" s="417"/>
      <c r="BG110" s="417"/>
      <c r="BH110" s="417"/>
      <c r="BI110" s="417"/>
      <c r="BJ110" s="417"/>
    </row>
    <row r="111" spans="2:62" s="377" customFormat="1">
      <c r="B111" s="794" t="s">
        <v>107</v>
      </c>
      <c r="C111" s="795">
        <v>242.4</v>
      </c>
      <c r="D111" s="795">
        <f>E111-C111</f>
        <v>-24.900000000000006</v>
      </c>
      <c r="E111" s="795">
        <f t="shared" ref="E111:L111" si="327">E105+E106+E107+E108+E109+E110</f>
        <v>217.5</v>
      </c>
      <c r="F111" s="795">
        <f t="shared" si="327"/>
        <v>287.8</v>
      </c>
      <c r="G111" s="795">
        <f>H111-F111</f>
        <v>2.4999999999999432</v>
      </c>
      <c r="H111" s="795">
        <f t="shared" si="327"/>
        <v>290.29999999999995</v>
      </c>
      <c r="I111" s="795">
        <f t="shared" si="327"/>
        <v>224.9</v>
      </c>
      <c r="J111" s="795">
        <f>K111-I111</f>
        <v>0</v>
      </c>
      <c r="K111" s="796">
        <f t="shared" si="327"/>
        <v>224.9</v>
      </c>
      <c r="L111" s="795">
        <f t="shared" si="327"/>
        <v>312.10000000000002</v>
      </c>
      <c r="M111" s="795">
        <f>N111-L111</f>
        <v>244.79999999999995</v>
      </c>
      <c r="N111" s="795">
        <f>610.7-53.6-0.2</f>
        <v>556.9</v>
      </c>
      <c r="O111" s="795">
        <f>527.2-22.6</f>
        <v>504.6</v>
      </c>
      <c r="P111" s="795">
        <f t="shared" si="321"/>
        <v>53.5</v>
      </c>
      <c r="Q111" s="795">
        <f>600-41.9</f>
        <v>558.1</v>
      </c>
      <c r="R111" s="795">
        <f>157-21.1</f>
        <v>135.9</v>
      </c>
      <c r="S111" s="795">
        <f t="shared" si="322"/>
        <v>160.89999999999995</v>
      </c>
      <c r="T111" s="797">
        <f>340.4-43.6</f>
        <v>296.79999999999995</v>
      </c>
      <c r="U111" s="797">
        <f>439.3-22.2</f>
        <v>417.1</v>
      </c>
      <c r="V111" s="795">
        <f>W111-U111</f>
        <v>253.39999999999998</v>
      </c>
      <c r="W111" s="797">
        <f>716.4-45.9</f>
        <v>670.5</v>
      </c>
      <c r="X111" s="797">
        <f>478.5-26.1</f>
        <v>452.4</v>
      </c>
      <c r="Y111" s="795">
        <f>Z111-X111</f>
        <v>127.10000000000002</v>
      </c>
      <c r="Z111" s="797">
        <f>635.4-55.9</f>
        <v>579.5</v>
      </c>
      <c r="AA111" s="797">
        <f>388.6-31.2</f>
        <v>357.40000000000003</v>
      </c>
      <c r="AB111" s="795">
        <f>AC111-AA111</f>
        <v>151.89999999999992</v>
      </c>
      <c r="AC111" s="797">
        <f>577.3-68</f>
        <v>509.29999999999995</v>
      </c>
      <c r="AD111" s="795">
        <f>AD105+AD106+AD107+AD108+AD109+AD110</f>
        <v>417.57106937133221</v>
      </c>
      <c r="AE111" s="795">
        <f>AF111-AD111</f>
        <v>212.2362238612684</v>
      </c>
      <c r="AF111" s="795">
        <f>AF105+AF106+AF107+AF108+AF109+AF110</f>
        <v>629.80729323260061</v>
      </c>
      <c r="AG111" s="795">
        <f t="shared" ref="AG111" si="328">AG105+AG106+AG107+AG108+AG109+AG110</f>
        <v>415.02726509103525</v>
      </c>
      <c r="AH111" s="795">
        <f>AI111-AG111</f>
        <v>240.41640782789841</v>
      </c>
      <c r="AI111" s="795">
        <f t="shared" ref="AI111:AU111" si="329">AI105+AI106+AI107+AI108+AI109+AI110</f>
        <v>655.44367291893366</v>
      </c>
      <c r="AJ111" s="795"/>
      <c r="AK111" s="795"/>
      <c r="AL111" s="795">
        <f t="shared" si="329"/>
        <v>695.10619410017011</v>
      </c>
      <c r="AM111" s="795"/>
      <c r="AN111" s="795"/>
      <c r="AO111" s="795">
        <f t="shared" si="329"/>
        <v>732.5039232820061</v>
      </c>
      <c r="AP111" s="795"/>
      <c r="AQ111" s="795"/>
      <c r="AR111" s="795">
        <f t="shared" si="329"/>
        <v>766.6869747773186</v>
      </c>
      <c r="AS111" s="795"/>
      <c r="AT111" s="795"/>
      <c r="AU111" s="795">
        <f t="shared" si="329"/>
        <v>799.19724045948033</v>
      </c>
      <c r="AV111" s="795"/>
      <c r="AW111" s="795"/>
      <c r="AX111" s="795">
        <f t="shared" ref="AX111" si="330">AX105+AX106+AX107+AX108+AX109+AX110</f>
        <v>829.27865099011433</v>
      </c>
      <c r="AY111" s="795"/>
      <c r="AZ111" s="795"/>
      <c r="BA111" s="795">
        <f t="shared" ref="BA111:BD111" si="331">BA105+BA106+BA107+BA108+BA109+BA110</f>
        <v>859.5646581137712</v>
      </c>
      <c r="BB111" s="795"/>
      <c r="BC111" s="795"/>
      <c r="BD111" s="795">
        <f t="shared" si="331"/>
        <v>891.01285063234627</v>
      </c>
      <c r="BE111" s="795"/>
      <c r="BF111" s="795"/>
      <c r="BG111" s="795">
        <f t="shared" ref="BG111:BJ111" si="332">BG105+BG106+BG107+BG108+BG109+BG110</f>
        <v>923.6719281237331</v>
      </c>
      <c r="BH111" s="795"/>
      <c r="BI111" s="795"/>
      <c r="BJ111" s="795">
        <f t="shared" si="332"/>
        <v>957.59245789028171</v>
      </c>
    </row>
    <row r="112" spans="2:62">
      <c r="B112" s="549"/>
      <c r="C112" s="550"/>
      <c r="D112" s="551"/>
      <c r="E112" s="552"/>
      <c r="F112" s="551"/>
      <c r="G112" s="551"/>
      <c r="H112" s="479"/>
      <c r="I112" s="551"/>
      <c r="J112" s="551"/>
      <c r="K112" s="553"/>
      <c r="L112" s="551"/>
      <c r="M112" s="551"/>
      <c r="N112" s="479"/>
      <c r="O112" s="551"/>
      <c r="P112" s="551"/>
      <c r="Q112" s="479"/>
      <c r="R112" s="551"/>
      <c r="S112" s="551"/>
      <c r="T112" s="479"/>
      <c r="U112" s="551"/>
      <c r="V112" s="551"/>
      <c r="W112" s="479"/>
      <c r="X112" s="551"/>
      <c r="Y112" s="551"/>
      <c r="Z112" s="479"/>
      <c r="AA112" s="551"/>
      <c r="AB112" s="551"/>
      <c r="AC112" s="479"/>
      <c r="AD112" s="551"/>
      <c r="AE112" s="551"/>
      <c r="AF112" s="479"/>
      <c r="AG112" s="551"/>
      <c r="AH112" s="551"/>
      <c r="AI112" s="479"/>
      <c r="AJ112" s="479"/>
      <c r="AK112" s="479"/>
      <c r="AL112" s="479"/>
      <c r="AM112" s="479"/>
      <c r="AN112" s="479"/>
      <c r="AO112" s="479"/>
      <c r="AP112" s="479"/>
      <c r="AQ112" s="479"/>
      <c r="AR112" s="479"/>
      <c r="AS112" s="479"/>
      <c r="AT112" s="479"/>
      <c r="AU112" s="479"/>
      <c r="AV112" s="479"/>
      <c r="AW112" s="479"/>
      <c r="AX112" s="479"/>
      <c r="AY112" s="479"/>
      <c r="AZ112" s="479"/>
      <c r="BA112" s="479"/>
      <c r="BB112" s="479"/>
      <c r="BC112" s="479"/>
      <c r="BD112" s="479"/>
      <c r="BE112" s="479"/>
      <c r="BF112" s="479"/>
      <c r="BG112" s="479"/>
      <c r="BH112" s="479"/>
      <c r="BI112" s="479"/>
      <c r="BJ112" s="479"/>
    </row>
    <row r="113" spans="2:62" s="377" customFormat="1">
      <c r="B113" s="377" t="s">
        <v>108</v>
      </c>
      <c r="C113" s="554">
        <v>-25.880000000000003</v>
      </c>
      <c r="D113" s="417">
        <f t="shared" ref="D113:D117" si="333">E113-C113</f>
        <v>-38.82</v>
      </c>
      <c r="E113" s="417">
        <v>-64.7</v>
      </c>
      <c r="F113" s="417">
        <f>H113*0.4</f>
        <v>-26.820000000000011</v>
      </c>
      <c r="G113" s="417">
        <f t="shared" ref="G113:G117" si="334">H113-F113</f>
        <v>-40.230000000000018</v>
      </c>
      <c r="H113" s="417">
        <f>H106*-0.9</f>
        <v>-67.050000000000026</v>
      </c>
      <c r="I113" s="417">
        <f>-31</f>
        <v>-31</v>
      </c>
      <c r="J113" s="417">
        <f t="shared" ref="J113:J117" si="335">K113-I113</f>
        <v>-30.200000000000003</v>
      </c>
      <c r="K113" s="418">
        <v>-61.2</v>
      </c>
      <c r="L113" s="417">
        <v>-29.2</v>
      </c>
      <c r="M113" s="417">
        <f t="shared" ref="M113:M117" si="336">N113-L113</f>
        <v>-10.599999999999998</v>
      </c>
      <c r="N113" s="417">
        <f>-39.8</f>
        <v>-39.799999999999997</v>
      </c>
      <c r="O113" s="417">
        <v>-10.4</v>
      </c>
      <c r="P113" s="417">
        <f t="shared" ref="P113:P117" si="337">Q113-O113</f>
        <v>-33.700000000000003</v>
      </c>
      <c r="Q113" s="417">
        <v>-44.1</v>
      </c>
      <c r="R113" s="417">
        <v>-31.9</v>
      </c>
      <c r="S113" s="417">
        <f t="shared" ref="S113:S117" si="338">T113-R113</f>
        <v>-26.9</v>
      </c>
      <c r="T113" s="417">
        <v>-58.8</v>
      </c>
      <c r="U113" s="555">
        <f>-28.6</f>
        <v>-28.6</v>
      </c>
      <c r="V113" s="417">
        <f t="shared" ref="V113:V117" si="339">W113-U113</f>
        <v>-22.5</v>
      </c>
      <c r="W113" s="417">
        <v>-51.1</v>
      </c>
      <c r="X113" s="555">
        <v>-45</v>
      </c>
      <c r="Y113" s="417">
        <f t="shared" ref="Y113:Y117" si="340">Z113-X113</f>
        <v>-26.599999999999994</v>
      </c>
      <c r="Z113" s="417">
        <f>'PPE &amp; Leases'!Z52</f>
        <v>-71.599999999999994</v>
      </c>
      <c r="AA113" s="555">
        <v>-48</v>
      </c>
      <c r="AB113" s="417">
        <f t="shared" ref="AB113:AB117" si="341">AC113-AA113</f>
        <v>-36.200000000000003</v>
      </c>
      <c r="AC113" s="417">
        <f>'PPE &amp; Leases'!AC52</f>
        <v>-84.2</v>
      </c>
      <c r="AD113" s="417">
        <f>'PPE &amp; Leases'!AD52</f>
        <v>-46.203018680938889</v>
      </c>
      <c r="AE113" s="417">
        <f t="shared" ref="AE113:AE117" si="342">AF113-AD113</f>
        <v>-46.203018680938889</v>
      </c>
      <c r="AF113" s="417">
        <f>'PPE &amp; Leases'!AF52</f>
        <v>-92.406037361877779</v>
      </c>
      <c r="AG113" s="417">
        <f>'PPE &amp; Leases'!AG52</f>
        <v>-48.424281100400101</v>
      </c>
      <c r="AH113" s="417">
        <f t="shared" ref="AH113:AH117" si="343">AI113-AG113</f>
        <v>-48.424281100400101</v>
      </c>
      <c r="AI113" s="417">
        <f>'PPE &amp; Leases'!AI52</f>
        <v>-96.848562200800203</v>
      </c>
      <c r="AJ113" s="417"/>
      <c r="AK113" s="417"/>
      <c r="AL113" s="417">
        <f>'PPE &amp; Leases'!AL52</f>
        <v>-101.18882652929169</v>
      </c>
      <c r="AM113" s="417"/>
      <c r="AN113" s="417"/>
      <c r="AO113" s="417">
        <f>'PPE &amp; Leases'!AO52</f>
        <v>-105.71535294236408</v>
      </c>
      <c r="AP113" s="417"/>
      <c r="AQ113" s="417"/>
      <c r="AR113" s="417">
        <f>'PPE &amp; Leases'!AR52</f>
        <v>-110.06157694368449</v>
      </c>
      <c r="AS113" s="417"/>
      <c r="AT113" s="417"/>
      <c r="AU113" s="417">
        <f>'PPE &amp; Leases'!AU52</f>
        <v>-114.14720230972442</v>
      </c>
      <c r="AV113" s="417"/>
      <c r="AW113" s="417"/>
      <c r="AX113" s="417">
        <f>'PPE &amp; Leases'!AX52</f>
        <v>-117.91974963950237</v>
      </c>
      <c r="AY113" s="417"/>
      <c r="AZ113" s="417"/>
      <c r="BA113" s="417">
        <f>'PPE &amp; Leases'!BA52</f>
        <v>-121.81880221576554</v>
      </c>
      <c r="BB113" s="417"/>
      <c r="BC113" s="417"/>
      <c r="BD113" s="417">
        <f>'PPE &amp; Leases'!BD52</f>
        <v>-125.84863970352559</v>
      </c>
      <c r="BE113" s="417"/>
      <c r="BF113" s="417"/>
      <c r="BG113" s="417">
        <f>'PPE &amp; Leases'!BG52</f>
        <v>-130.01368708209463</v>
      </c>
      <c r="BH113" s="417"/>
      <c r="BI113" s="417"/>
      <c r="BJ113" s="417">
        <f>'PPE &amp; Leases'!BJ52</f>
        <v>-134.31851958077797</v>
      </c>
    </row>
    <row r="114" spans="2:62" s="377" customFormat="1">
      <c r="B114" s="377" t="s">
        <v>109</v>
      </c>
      <c r="C114" s="417">
        <v>-17.019999999999996</v>
      </c>
      <c r="D114" s="417">
        <f t="shared" si="333"/>
        <v>-20.379999999999995</v>
      </c>
      <c r="E114" s="417">
        <f>-102.1-E113</f>
        <v>-37.399999999999991</v>
      </c>
      <c r="F114" s="417">
        <f>+-56.3-F113</f>
        <v>-29.479999999999986</v>
      </c>
      <c r="G114" s="417">
        <f t="shared" si="334"/>
        <v>-10.569999999999983</v>
      </c>
      <c r="H114" s="417">
        <f>-107.1-H113</f>
        <v>-40.049999999999969</v>
      </c>
      <c r="I114" s="417">
        <f>-9.4</f>
        <v>-9.4</v>
      </c>
      <c r="J114" s="417">
        <f t="shared" si="335"/>
        <v>-19.200000000000003</v>
      </c>
      <c r="K114" s="418">
        <f>-28.6</f>
        <v>-28.6</v>
      </c>
      <c r="L114" s="417">
        <v>-8.6</v>
      </c>
      <c r="M114" s="417">
        <f t="shared" si="336"/>
        <v>-19.399999999999999</v>
      </c>
      <c r="N114" s="417">
        <v>-28</v>
      </c>
      <c r="O114" s="417">
        <v>-19</v>
      </c>
      <c r="P114" s="417">
        <f t="shared" si="337"/>
        <v>-21.9</v>
      </c>
      <c r="Q114" s="417">
        <f>-85-Q113</f>
        <v>-40.9</v>
      </c>
      <c r="R114" s="417">
        <v>-31.4</v>
      </c>
      <c r="S114" s="417">
        <f t="shared" si="338"/>
        <v>-34.800000000000004</v>
      </c>
      <c r="T114" s="417">
        <f>-125-T113</f>
        <v>-66.2</v>
      </c>
      <c r="U114" s="555">
        <v>-9.1999999999999993</v>
      </c>
      <c r="V114" s="417">
        <f t="shared" si="339"/>
        <v>-48.2</v>
      </c>
      <c r="W114" s="417">
        <f>-108.5-W113</f>
        <v>-57.4</v>
      </c>
      <c r="X114" s="555">
        <v>-38.1</v>
      </c>
      <c r="Y114" s="417">
        <f t="shared" si="340"/>
        <v>-25.199999999999996</v>
      </c>
      <c r="Z114" s="417">
        <f>'PPE &amp; Leases'!Z58</f>
        <v>-63.3</v>
      </c>
      <c r="AA114" s="555">
        <v>-50.8</v>
      </c>
      <c r="AB114" s="417">
        <f t="shared" si="341"/>
        <v>-30.400000000000006</v>
      </c>
      <c r="AC114" s="417">
        <f>'PPE &amp; Leases'!AC58</f>
        <v>-81.2</v>
      </c>
      <c r="AD114" s="417">
        <f>'PPE &amp; Leases'!AD58</f>
        <v>-30.802012453959257</v>
      </c>
      <c r="AE114" s="417">
        <f t="shared" si="342"/>
        <v>-30.802012453959257</v>
      </c>
      <c r="AF114" s="417">
        <f>'PPE &amp; Leases'!AF58</f>
        <v>-61.604024907918514</v>
      </c>
      <c r="AG114" s="417">
        <f>'PPE &amp; Leases'!AG58</f>
        <v>-32.282854066933403</v>
      </c>
      <c r="AH114" s="417">
        <f t="shared" si="343"/>
        <v>-32.282854066933403</v>
      </c>
      <c r="AI114" s="417">
        <f>'PPE &amp; Leases'!AI58</f>
        <v>-64.565708133866806</v>
      </c>
      <c r="AJ114" s="417"/>
      <c r="AK114" s="417"/>
      <c r="AL114" s="417">
        <f>'PPE &amp; Leases'!AL58</f>
        <v>-67.459217686194464</v>
      </c>
      <c r="AM114" s="417"/>
      <c r="AN114" s="417"/>
      <c r="AO114" s="417">
        <f>'PPE &amp; Leases'!AO58</f>
        <v>-70.476901961576047</v>
      </c>
      <c r="AP114" s="417"/>
      <c r="AQ114" s="417"/>
      <c r="AR114" s="417">
        <f>'PPE &amp; Leases'!AR58</f>
        <v>-73.374384629123</v>
      </c>
      <c r="AS114" s="417"/>
      <c r="AT114" s="417"/>
      <c r="AU114" s="417">
        <f>'PPE &amp; Leases'!AU58</f>
        <v>-76.098134873149618</v>
      </c>
      <c r="AV114" s="417"/>
      <c r="AW114" s="417"/>
      <c r="AX114" s="417">
        <f>'PPE &amp; Leases'!AX58</f>
        <v>-78.613166426334928</v>
      </c>
      <c r="AY114" s="417"/>
      <c r="AZ114" s="417"/>
      <c r="BA114" s="417">
        <f>'PPE &amp; Leases'!BA58</f>
        <v>-81.212534810510363</v>
      </c>
      <c r="BB114" s="417"/>
      <c r="BC114" s="417"/>
      <c r="BD114" s="417">
        <f>'PPE &amp; Leases'!BD58</f>
        <v>-83.899093135683742</v>
      </c>
      <c r="BE114" s="417"/>
      <c r="BF114" s="417"/>
      <c r="BG114" s="417">
        <f>'PPE &amp; Leases'!BG58</f>
        <v>-86.675791388063089</v>
      </c>
      <c r="BH114" s="417"/>
      <c r="BI114" s="417"/>
      <c r="BJ114" s="417">
        <f>'PPE &amp; Leases'!BJ58</f>
        <v>-89.545679720518649</v>
      </c>
    </row>
    <row r="115" spans="2:62" s="377" customFormat="1">
      <c r="B115" s="377" t="s">
        <v>110</v>
      </c>
      <c r="C115" s="417">
        <v>0</v>
      </c>
      <c r="D115" s="417">
        <f t="shared" si="333"/>
        <v>0</v>
      </c>
      <c r="E115" s="417">
        <v>0</v>
      </c>
      <c r="F115" s="417">
        <v>-0.3</v>
      </c>
      <c r="G115" s="417">
        <f t="shared" si="334"/>
        <v>-133.80000000000001</v>
      </c>
      <c r="H115" s="417">
        <f>-133.8-0.3</f>
        <v>-134.10000000000002</v>
      </c>
      <c r="I115" s="417">
        <v>0</v>
      </c>
      <c r="J115" s="417">
        <f t="shared" si="335"/>
        <v>0</v>
      </c>
      <c r="K115" s="418"/>
      <c r="L115" s="417">
        <v>0</v>
      </c>
      <c r="M115" s="417">
        <f t="shared" si="336"/>
        <v>0</v>
      </c>
      <c r="N115" s="417"/>
      <c r="O115" s="417">
        <v>0</v>
      </c>
      <c r="P115" s="417">
        <f t="shared" si="337"/>
        <v>0</v>
      </c>
      <c r="Q115" s="417"/>
      <c r="R115" s="417">
        <v>0</v>
      </c>
      <c r="S115" s="417">
        <f t="shared" si="338"/>
        <v>0</v>
      </c>
      <c r="T115" s="417"/>
      <c r="U115" s="419">
        <v>-0.8</v>
      </c>
      <c r="V115" s="417">
        <f t="shared" si="339"/>
        <v>0.8</v>
      </c>
      <c r="W115" s="417"/>
      <c r="X115" s="419"/>
      <c r="Y115" s="417">
        <f t="shared" si="340"/>
        <v>0</v>
      </c>
      <c r="Z115" s="417"/>
      <c r="AA115" s="419"/>
      <c r="AB115" s="417">
        <f t="shared" si="341"/>
        <v>0</v>
      </c>
      <c r="AC115" s="417"/>
      <c r="AD115" s="417"/>
      <c r="AE115" s="417">
        <f t="shared" si="342"/>
        <v>0</v>
      </c>
      <c r="AF115" s="417"/>
      <c r="AG115" s="417"/>
      <c r="AH115" s="417">
        <f t="shared" si="343"/>
        <v>0</v>
      </c>
      <c r="AI115" s="417"/>
      <c r="AJ115" s="417"/>
      <c r="AK115" s="417"/>
      <c r="AL115" s="417"/>
      <c r="AM115" s="417"/>
      <c r="AN115" s="417"/>
      <c r="AO115" s="417"/>
      <c r="AP115" s="417"/>
      <c r="AQ115" s="417"/>
      <c r="AR115" s="417"/>
      <c r="AS115" s="417"/>
      <c r="AT115" s="417"/>
      <c r="AU115" s="417"/>
      <c r="AV115" s="417"/>
      <c r="AW115" s="417"/>
      <c r="AX115" s="417"/>
      <c r="AY115" s="417"/>
      <c r="AZ115" s="417"/>
      <c r="BA115" s="417"/>
      <c r="BB115" s="417"/>
      <c r="BC115" s="417"/>
      <c r="BD115" s="417"/>
      <c r="BE115" s="417"/>
      <c r="BF115" s="417"/>
      <c r="BG115" s="417"/>
      <c r="BH115" s="417"/>
      <c r="BI115" s="417"/>
      <c r="BJ115" s="417"/>
    </row>
    <row r="116" spans="2:62" s="377" customFormat="1">
      <c r="B116" s="377" t="s">
        <v>111</v>
      </c>
      <c r="C116" s="417">
        <v>0.6</v>
      </c>
      <c r="D116" s="417">
        <f t="shared" si="333"/>
        <v>0.30000000000000004</v>
      </c>
      <c r="E116" s="417">
        <v>0.9</v>
      </c>
      <c r="F116" s="417">
        <v>0</v>
      </c>
      <c r="G116" s="417">
        <f t="shared" si="334"/>
        <v>0</v>
      </c>
      <c r="H116" s="417">
        <v>0</v>
      </c>
      <c r="I116" s="417">
        <v>0</v>
      </c>
      <c r="J116" s="417">
        <f t="shared" si="335"/>
        <v>0</v>
      </c>
      <c r="K116" s="418"/>
      <c r="L116" s="417">
        <v>0</v>
      </c>
      <c r="M116" s="417">
        <f t="shared" si="336"/>
        <v>0</v>
      </c>
      <c r="N116" s="417"/>
      <c r="O116" s="417">
        <v>0</v>
      </c>
      <c r="P116" s="417">
        <f t="shared" si="337"/>
        <v>0</v>
      </c>
      <c r="Q116" s="417"/>
      <c r="R116" s="417">
        <v>0</v>
      </c>
      <c r="S116" s="417">
        <f t="shared" si="338"/>
        <v>0</v>
      </c>
      <c r="T116" s="417"/>
      <c r="U116" s="417"/>
      <c r="V116" s="417">
        <f t="shared" si="339"/>
        <v>0</v>
      </c>
      <c r="W116" s="417"/>
      <c r="X116" s="417"/>
      <c r="Y116" s="417">
        <f t="shared" si="340"/>
        <v>0</v>
      </c>
      <c r="Z116" s="417"/>
      <c r="AA116" s="417"/>
      <c r="AB116" s="417">
        <f t="shared" si="341"/>
        <v>0</v>
      </c>
      <c r="AC116" s="417"/>
      <c r="AD116" s="417"/>
      <c r="AE116" s="417">
        <f t="shared" si="342"/>
        <v>0</v>
      </c>
      <c r="AF116" s="417"/>
      <c r="AG116" s="417"/>
      <c r="AH116" s="417">
        <f t="shared" si="343"/>
        <v>0</v>
      </c>
      <c r="AI116" s="417"/>
      <c r="AJ116" s="417"/>
      <c r="AK116" s="417"/>
      <c r="AL116" s="417"/>
      <c r="AM116" s="417"/>
      <c r="AN116" s="417"/>
      <c r="AO116" s="417"/>
      <c r="AP116" s="417"/>
      <c r="AQ116" s="417"/>
      <c r="AR116" s="417"/>
      <c r="AS116" s="417"/>
      <c r="AT116" s="417"/>
      <c r="AU116" s="417"/>
      <c r="AV116" s="417"/>
      <c r="AW116" s="417"/>
      <c r="AX116" s="417"/>
      <c r="AY116" s="417"/>
      <c r="AZ116" s="417"/>
      <c r="BA116" s="417"/>
      <c r="BB116" s="417"/>
      <c r="BC116" s="417"/>
      <c r="BD116" s="417"/>
      <c r="BE116" s="417"/>
      <c r="BF116" s="417"/>
      <c r="BG116" s="417"/>
      <c r="BH116" s="417"/>
      <c r="BI116" s="417"/>
      <c r="BJ116" s="417"/>
    </row>
    <row r="117" spans="2:62" s="377" customFormat="1">
      <c r="B117" s="377" t="s">
        <v>72</v>
      </c>
      <c r="C117" s="417">
        <v>0</v>
      </c>
      <c r="D117" s="417">
        <f t="shared" si="333"/>
        <v>0</v>
      </c>
      <c r="E117" s="417">
        <v>0</v>
      </c>
      <c r="F117" s="417">
        <v>0</v>
      </c>
      <c r="G117" s="417">
        <f t="shared" si="334"/>
        <v>0</v>
      </c>
      <c r="H117" s="417">
        <v>0</v>
      </c>
      <c r="I117" s="417">
        <v>-0.4</v>
      </c>
      <c r="J117" s="417">
        <f t="shared" si="335"/>
        <v>-0.29999999999999993</v>
      </c>
      <c r="K117" s="418">
        <v>-0.7</v>
      </c>
      <c r="L117" s="417">
        <v>-0.1</v>
      </c>
      <c r="M117" s="417">
        <f t="shared" si="336"/>
        <v>0</v>
      </c>
      <c r="N117" s="417">
        <v>-0.1</v>
      </c>
      <c r="O117" s="417">
        <v>0</v>
      </c>
      <c r="P117" s="417">
        <f t="shared" si="337"/>
        <v>0.5</v>
      </c>
      <c r="Q117" s="417">
        <v>0.5</v>
      </c>
      <c r="R117" s="417">
        <v>0</v>
      </c>
      <c r="S117" s="417">
        <f t="shared" si="338"/>
        <v>0.3</v>
      </c>
      <c r="T117" s="417">
        <v>0.3</v>
      </c>
      <c r="U117" s="419">
        <v>1.8</v>
      </c>
      <c r="V117" s="417">
        <f t="shared" si="339"/>
        <v>-1.8</v>
      </c>
      <c r="W117" s="417"/>
      <c r="X117" s="419"/>
      <c r="Y117" s="417">
        <f t="shared" si="340"/>
        <v>0</v>
      </c>
      <c r="Z117" s="417"/>
      <c r="AA117" s="419"/>
      <c r="AB117" s="417">
        <f t="shared" si="341"/>
        <v>0</v>
      </c>
      <c r="AC117" s="417"/>
      <c r="AD117" s="417"/>
      <c r="AE117" s="417">
        <f t="shared" si="342"/>
        <v>0</v>
      </c>
      <c r="AF117" s="417"/>
      <c r="AG117" s="417"/>
      <c r="AH117" s="417">
        <f t="shared" si="343"/>
        <v>0</v>
      </c>
      <c r="AI117" s="417"/>
      <c r="AJ117" s="417"/>
      <c r="AK117" s="417"/>
      <c r="AL117" s="417"/>
      <c r="AM117" s="417"/>
      <c r="AN117" s="417"/>
      <c r="AO117" s="417"/>
      <c r="AP117" s="417"/>
      <c r="AQ117" s="417"/>
      <c r="AR117" s="417"/>
      <c r="AS117" s="417"/>
      <c r="AT117" s="417"/>
      <c r="AU117" s="417"/>
      <c r="AV117" s="417"/>
      <c r="AW117" s="417"/>
      <c r="AX117" s="417"/>
      <c r="AY117" s="417"/>
      <c r="AZ117" s="417"/>
      <c r="BA117" s="417"/>
      <c r="BB117" s="417"/>
      <c r="BC117" s="417"/>
      <c r="BD117" s="417"/>
      <c r="BE117" s="417"/>
      <c r="BF117" s="417"/>
      <c r="BG117" s="417"/>
      <c r="BH117" s="417"/>
      <c r="BI117" s="417"/>
      <c r="BJ117" s="417"/>
    </row>
    <row r="118" spans="2:62" s="377" customFormat="1">
      <c r="B118" s="794" t="s">
        <v>112</v>
      </c>
      <c r="C118" s="795">
        <v>-42.3</v>
      </c>
      <c r="D118" s="795">
        <f>E118-C118</f>
        <v>-58.899999999999991</v>
      </c>
      <c r="E118" s="795">
        <f>SUM(E113:E117)</f>
        <v>-101.19999999999999</v>
      </c>
      <c r="F118" s="795">
        <f>SUM(F113:F117)</f>
        <v>-56.599999999999994</v>
      </c>
      <c r="G118" s="795">
        <f>H118-F118</f>
        <v>-184.60000000000002</v>
      </c>
      <c r="H118" s="795">
        <f>SUM(H113:H117)</f>
        <v>-241.20000000000002</v>
      </c>
      <c r="I118" s="795">
        <f>SUM(I113:I117)</f>
        <v>-40.799999999999997</v>
      </c>
      <c r="J118" s="795">
        <f>K118-I118</f>
        <v>-49.700000000000017</v>
      </c>
      <c r="K118" s="796">
        <f t="shared" ref="K118:AU118" si="344">SUM(K113:K117)</f>
        <v>-90.500000000000014</v>
      </c>
      <c r="L118" s="795">
        <f t="shared" si="344"/>
        <v>-37.9</v>
      </c>
      <c r="M118" s="795">
        <f>N118-L118</f>
        <v>-29.999999999999993</v>
      </c>
      <c r="N118" s="795">
        <f t="shared" si="344"/>
        <v>-67.899999999999991</v>
      </c>
      <c r="O118" s="795">
        <f t="shared" si="344"/>
        <v>-29.4</v>
      </c>
      <c r="P118" s="795">
        <f>Q118-O118</f>
        <v>-55.1</v>
      </c>
      <c r="Q118" s="795">
        <f t="shared" si="344"/>
        <v>-84.5</v>
      </c>
      <c r="R118" s="795">
        <f t="shared" si="344"/>
        <v>-63.3</v>
      </c>
      <c r="S118" s="795">
        <f>T118-R118</f>
        <v>-61.400000000000006</v>
      </c>
      <c r="T118" s="795">
        <f t="shared" si="344"/>
        <v>-124.7</v>
      </c>
      <c r="U118" s="795">
        <f>SUM(U113:U117)</f>
        <v>-36.799999999999997</v>
      </c>
      <c r="V118" s="795">
        <f>W118-U118</f>
        <v>-71.7</v>
      </c>
      <c r="W118" s="795">
        <f t="shared" si="344"/>
        <v>-108.5</v>
      </c>
      <c r="X118" s="795">
        <f t="shared" ref="X118" si="345">SUM(X113:X117)</f>
        <v>-83.1</v>
      </c>
      <c r="Y118" s="795">
        <f>Z118-X118</f>
        <v>-51.799999999999983</v>
      </c>
      <c r="Z118" s="795">
        <f t="shared" si="344"/>
        <v>-134.89999999999998</v>
      </c>
      <c r="AA118" s="795">
        <f t="shared" si="344"/>
        <v>-98.8</v>
      </c>
      <c r="AB118" s="795">
        <f>AC118-AA118</f>
        <v>-66.600000000000009</v>
      </c>
      <c r="AC118" s="795">
        <f>SUM(AC113:AC117)</f>
        <v>-165.4</v>
      </c>
      <c r="AD118" s="795">
        <f>SUM(AD113:AD117)</f>
        <v>-77.005031134898147</v>
      </c>
      <c r="AE118" s="795">
        <f>AF118-AD118</f>
        <v>-77.005031134898147</v>
      </c>
      <c r="AF118" s="795">
        <f>SUM(AF113:AF117)</f>
        <v>-154.01006226979629</v>
      </c>
      <c r="AG118" s="795">
        <f t="shared" si="344"/>
        <v>-80.707135167333504</v>
      </c>
      <c r="AH118" s="795">
        <f>AI118-AG118</f>
        <v>-80.707135167333504</v>
      </c>
      <c r="AI118" s="795">
        <f t="shared" si="344"/>
        <v>-161.41427033466701</v>
      </c>
      <c r="AJ118" s="795"/>
      <c r="AK118" s="795"/>
      <c r="AL118" s="795">
        <f t="shared" si="344"/>
        <v>-168.64804421548615</v>
      </c>
      <c r="AM118" s="795"/>
      <c r="AN118" s="795"/>
      <c r="AO118" s="795">
        <f t="shared" si="344"/>
        <v>-176.19225490394012</v>
      </c>
      <c r="AP118" s="795"/>
      <c r="AQ118" s="795"/>
      <c r="AR118" s="795">
        <f t="shared" si="344"/>
        <v>-183.43596157280749</v>
      </c>
      <c r="AS118" s="795"/>
      <c r="AT118" s="795"/>
      <c r="AU118" s="795">
        <f t="shared" si="344"/>
        <v>-190.24533718287404</v>
      </c>
      <c r="AV118" s="795"/>
      <c r="AW118" s="795"/>
      <c r="AX118" s="795">
        <f t="shared" ref="AX118" si="346">SUM(AX113:AX117)</f>
        <v>-196.5329160658373</v>
      </c>
      <c r="AY118" s="795"/>
      <c r="AZ118" s="795"/>
      <c r="BA118" s="795">
        <f t="shared" ref="BA118:BD118" si="347">SUM(BA113:BA117)</f>
        <v>-203.03133702627591</v>
      </c>
      <c r="BB118" s="795"/>
      <c r="BC118" s="795"/>
      <c r="BD118" s="795">
        <f t="shared" si="347"/>
        <v>-209.74773283920933</v>
      </c>
      <c r="BE118" s="795"/>
      <c r="BF118" s="795"/>
      <c r="BG118" s="795">
        <f t="shared" ref="BG118:BJ118" si="348">SUM(BG113:BG117)</f>
        <v>-216.68947847015772</v>
      </c>
      <c r="BH118" s="795"/>
      <c r="BI118" s="795"/>
      <c r="BJ118" s="795">
        <f t="shared" si="348"/>
        <v>-223.86419930129662</v>
      </c>
    </row>
    <row r="119" spans="2:62">
      <c r="B119" s="549"/>
      <c r="C119" s="479"/>
      <c r="D119" s="479"/>
      <c r="E119" s="479"/>
      <c r="F119" s="479"/>
      <c r="G119" s="479"/>
      <c r="H119" s="479"/>
      <c r="I119" s="479"/>
      <c r="J119" s="479"/>
      <c r="K119" s="553"/>
      <c r="L119" s="479"/>
      <c r="M119" s="479"/>
      <c r="N119" s="479"/>
      <c r="O119" s="479"/>
      <c r="P119" s="479"/>
      <c r="Q119" s="479"/>
      <c r="R119" s="479"/>
      <c r="S119" s="479"/>
      <c r="T119" s="479"/>
      <c r="U119" s="479"/>
      <c r="V119" s="479"/>
      <c r="W119" s="479"/>
      <c r="X119" s="479"/>
      <c r="Y119" s="479"/>
      <c r="Z119" s="479"/>
      <c r="AA119" s="479"/>
      <c r="AB119" s="479"/>
      <c r="AC119" s="479"/>
      <c r="AD119" s="479"/>
      <c r="AE119" s="479"/>
      <c r="AF119" s="479"/>
      <c r="AG119" s="479"/>
      <c r="AH119" s="479"/>
      <c r="AI119" s="479"/>
      <c r="AJ119" s="479"/>
      <c r="AK119" s="479"/>
      <c r="AL119" s="479"/>
      <c r="AM119" s="479"/>
      <c r="AN119" s="479"/>
      <c r="AO119" s="479"/>
      <c r="AP119" s="479"/>
      <c r="AQ119" s="479"/>
      <c r="AR119" s="479"/>
      <c r="AS119" s="479"/>
      <c r="AT119" s="479"/>
      <c r="AU119" s="479"/>
      <c r="AV119" s="479"/>
      <c r="AW119" s="479"/>
      <c r="AX119" s="479"/>
      <c r="AY119" s="479"/>
      <c r="AZ119" s="479"/>
      <c r="BA119" s="479"/>
      <c r="BB119" s="479"/>
      <c r="BC119" s="479"/>
      <c r="BD119" s="479"/>
      <c r="BE119" s="479"/>
      <c r="BF119" s="479"/>
      <c r="BG119" s="479"/>
      <c r="BH119" s="479"/>
      <c r="BI119" s="479"/>
      <c r="BJ119" s="479"/>
    </row>
    <row r="120" spans="2:62">
      <c r="B120" s="548" t="s">
        <v>226</v>
      </c>
      <c r="C120" s="482">
        <v>3.3114627556927824E-2</v>
      </c>
      <c r="D120" s="482"/>
      <c r="E120" s="482">
        <f>-(E113+E114)/E6</f>
        <v>4.1415461206997441E-2</v>
      </c>
      <c r="F120" s="482">
        <f>-(F113+F114)/F6</f>
        <v>4.2524506507132083E-2</v>
      </c>
      <c r="G120" s="482"/>
      <c r="H120" s="482">
        <f>-(H113+H114)/H6</f>
        <v>4.1666666666666664E-2</v>
      </c>
      <c r="I120" s="482">
        <f>-(I113+I114)/I6</f>
        <v>2.8762637049693864E-2</v>
      </c>
      <c r="J120" s="482"/>
      <c r="K120" s="556">
        <f>-(K113+K114)/K6</f>
        <v>3.3097449506118246E-2</v>
      </c>
      <c r="L120" s="482">
        <f>-(L113+L114)/L6</f>
        <v>2.6184538653366583E-2</v>
      </c>
      <c r="M120" s="482"/>
      <c r="N120" s="482">
        <f>-(N113+N114)/N6</f>
        <v>2.3996602251008709E-2</v>
      </c>
      <c r="O120" s="482">
        <f>-(O113+O114)/O6</f>
        <v>1.6547531941239375E-2</v>
      </c>
      <c r="P120" s="482"/>
      <c r="Q120" s="482">
        <f>-(Q113+Q114)/Q6</f>
        <v>2.4615562827604184E-2</v>
      </c>
      <c r="R120" s="482">
        <f>-(R113+R114)/R6</f>
        <v>3.7121745249824069E-2</v>
      </c>
      <c r="S120" s="482"/>
      <c r="T120" s="482">
        <f>-(T113+T114)/T6</f>
        <v>3.5201351731906506E-2</v>
      </c>
      <c r="U120" s="482">
        <f>-(U113+U114)/U6</f>
        <v>1.9301470588235291E-2</v>
      </c>
      <c r="V120" s="482"/>
      <c r="W120" s="482">
        <f>-(W113+W114)/W6</f>
        <v>2.8531608288629429E-2</v>
      </c>
      <c r="X120" s="482">
        <f>-(X113+X114)/X6</f>
        <v>4.1130469214017029E-2</v>
      </c>
      <c r="Y120" s="482"/>
      <c r="Z120" s="482">
        <f>-(Z113+Z114)/Z6</f>
        <v>3.4742968991449463E-2</v>
      </c>
      <c r="AA120" s="482">
        <f>-(AA113+AA114)/AA6</f>
        <v>4.6886864085041766E-2</v>
      </c>
      <c r="AB120" s="482"/>
      <c r="AC120" s="482">
        <f>-(AC113+AC114)/AC6</f>
        <v>4.0589953127684118E-2</v>
      </c>
      <c r="AD120" s="482">
        <f>-(AD113+AD114)/AD6</f>
        <v>3.5064244419637416E-2</v>
      </c>
      <c r="AE120" s="482"/>
      <c r="AF120" s="482">
        <f>-(AF113+AF114)/AF6</f>
        <v>3.5999999999999997E-2</v>
      </c>
      <c r="AG120" s="482">
        <f>-(AG113+AG114)/AG6</f>
        <v>3.510325795513896E-2</v>
      </c>
      <c r="AH120" s="482"/>
      <c r="AI120" s="482">
        <f>-(AI113+AI114)/AI6</f>
        <v>3.5899999999999994E-2</v>
      </c>
      <c r="AJ120" s="482"/>
      <c r="AK120" s="482"/>
      <c r="AL120" s="482">
        <f>-(AL113+AL114)/AL6</f>
        <v>3.5799999999999992E-2</v>
      </c>
      <c r="AM120" s="482"/>
      <c r="AN120" s="482"/>
      <c r="AO120" s="482">
        <f>-(AO113+AO114)/AO6</f>
        <v>3.5799999999999992E-2</v>
      </c>
      <c r="AP120" s="482"/>
      <c r="AQ120" s="482"/>
      <c r="AR120" s="482">
        <f>-(AR113+AR114)/AR6</f>
        <v>3.5799999999999992E-2</v>
      </c>
      <c r="AS120" s="482"/>
      <c r="AT120" s="482"/>
      <c r="AU120" s="482">
        <f>-(AU113+AU114)/AU6</f>
        <v>3.5799999999999992E-2</v>
      </c>
      <c r="AV120" s="482"/>
      <c r="AW120" s="482"/>
      <c r="AX120" s="482">
        <f>-(AX113+AX114)/AX6</f>
        <v>3.5799999999999992E-2</v>
      </c>
      <c r="AY120" s="482"/>
      <c r="AZ120" s="482"/>
      <c r="BA120" s="482">
        <f>-(BA113+BA114)/BA6</f>
        <v>3.5799999999999992E-2</v>
      </c>
      <c r="BB120" s="482"/>
      <c r="BC120" s="482"/>
      <c r="BD120" s="482">
        <f>-(BD113+BD114)/BD6</f>
        <v>3.5799999999999992E-2</v>
      </c>
      <c r="BE120" s="482"/>
      <c r="BF120" s="482"/>
      <c r="BG120" s="482">
        <f>-(BG113+BG114)/BG6</f>
        <v>3.5799999999999992E-2</v>
      </c>
      <c r="BH120" s="482"/>
      <c r="BI120" s="482"/>
      <c r="BJ120" s="482">
        <f>-(BJ113+BJ114)/BJ6</f>
        <v>3.5799999999999992E-2</v>
      </c>
    </row>
    <row r="121" spans="2:62">
      <c r="B121" s="549"/>
      <c r="C121" s="479"/>
      <c r="D121" s="479"/>
      <c r="E121" s="482"/>
      <c r="F121" s="479"/>
      <c r="G121" s="479"/>
      <c r="H121" s="482"/>
      <c r="I121" s="479"/>
      <c r="J121" s="479"/>
      <c r="K121" s="556"/>
      <c r="L121" s="479"/>
      <c r="M121" s="479"/>
      <c r="N121" s="482"/>
      <c r="O121" s="479"/>
      <c r="P121" s="479"/>
      <c r="Q121" s="482"/>
      <c r="R121" s="479"/>
      <c r="S121" s="479"/>
      <c r="T121" s="482"/>
      <c r="U121" s="479"/>
      <c r="V121" s="479"/>
      <c r="W121" s="482"/>
      <c r="X121" s="479"/>
      <c r="Y121" s="479"/>
      <c r="Z121" s="482"/>
      <c r="AA121" s="479"/>
      <c r="AB121" s="479"/>
      <c r="AC121" s="482"/>
      <c r="AD121" s="479"/>
      <c r="AE121" s="479"/>
      <c r="AF121" s="482"/>
      <c r="AG121" s="479"/>
      <c r="AH121" s="479"/>
      <c r="AI121" s="482"/>
      <c r="AJ121" s="482"/>
      <c r="AK121" s="482"/>
      <c r="AL121" s="482"/>
      <c r="AM121" s="482"/>
      <c r="AN121" s="482"/>
      <c r="AO121" s="482"/>
      <c r="AP121" s="482"/>
      <c r="AQ121" s="482"/>
      <c r="AR121" s="482"/>
      <c r="AS121" s="482"/>
      <c r="AT121" s="482"/>
      <c r="AU121" s="482"/>
      <c r="AV121" s="482"/>
      <c r="AW121" s="482"/>
      <c r="AX121" s="482"/>
      <c r="AY121" s="482"/>
      <c r="AZ121" s="482"/>
      <c r="BA121" s="482"/>
      <c r="BB121" s="482"/>
      <c r="BC121" s="482"/>
      <c r="BD121" s="482"/>
      <c r="BE121" s="482"/>
      <c r="BF121" s="482"/>
      <c r="BG121" s="482"/>
      <c r="BH121" s="482"/>
      <c r="BI121" s="482"/>
      <c r="BJ121" s="482"/>
    </row>
    <row r="122" spans="2:62" s="377" customFormat="1">
      <c r="B122" s="377" t="s">
        <v>113</v>
      </c>
      <c r="C122" s="417">
        <v>-144</v>
      </c>
      <c r="D122" s="417">
        <f>E122-C122</f>
        <v>118.1</v>
      </c>
      <c r="E122" s="417">
        <f>930-955-0.9</f>
        <v>-25.9</v>
      </c>
      <c r="F122" s="417">
        <f>318-487.9</f>
        <v>-169.89999999999998</v>
      </c>
      <c r="G122" s="417">
        <f>H122-F122</f>
        <v>206.2</v>
      </c>
      <c r="H122" s="417">
        <f>994.5-955.5-2.7</f>
        <v>36.299999999999997</v>
      </c>
      <c r="I122" s="417">
        <f>563-641-2.3</f>
        <v>-80.3</v>
      </c>
      <c r="J122" s="417">
        <f>K122-I122</f>
        <v>37.9</v>
      </c>
      <c r="K122" s="418">
        <f>946-986-2.4</f>
        <v>-42.4</v>
      </c>
      <c r="L122" s="417">
        <f>396-480</f>
        <v>-84</v>
      </c>
      <c r="M122" s="417">
        <f>N122-L122</f>
        <v>-56</v>
      </c>
      <c r="N122" s="417">
        <f>963-1103</f>
        <v>-140</v>
      </c>
      <c r="O122" s="417">
        <v>-250</v>
      </c>
      <c r="P122" s="417">
        <f>Q122-O122</f>
        <v>0</v>
      </c>
      <c r="Q122" s="417">
        <v>-250</v>
      </c>
      <c r="R122" s="417">
        <v>0</v>
      </c>
      <c r="S122" s="417">
        <f>T122-R122</f>
        <v>0</v>
      </c>
      <c r="T122" s="419">
        <v>0</v>
      </c>
      <c r="U122" s="417">
        <v>0</v>
      </c>
      <c r="V122" s="417">
        <f>W122-U122</f>
        <v>0</v>
      </c>
      <c r="W122" s="419">
        <f>Debt!W6</f>
        <v>0</v>
      </c>
      <c r="X122" s="417">
        <f>Debt!X6</f>
        <v>0</v>
      </c>
      <c r="Y122" s="417">
        <f>Z122-X122</f>
        <v>0</v>
      </c>
      <c r="Z122" s="419">
        <f>Debt!Z6</f>
        <v>0</v>
      </c>
      <c r="AA122" s="417">
        <f>Debt!AA6</f>
        <v>0</v>
      </c>
      <c r="AB122" s="417">
        <f>AC122-AA122</f>
        <v>0</v>
      </c>
      <c r="AC122" s="419">
        <f>Debt!AC6</f>
        <v>0</v>
      </c>
      <c r="AD122" s="417">
        <f>Debt!AD6</f>
        <v>0</v>
      </c>
      <c r="AE122" s="417">
        <f>AF122-AD122</f>
        <v>0</v>
      </c>
      <c r="AF122" s="417">
        <f>Debt!AF6</f>
        <v>0</v>
      </c>
      <c r="AG122" s="417">
        <f>Debt!AG6</f>
        <v>0</v>
      </c>
      <c r="AH122" s="417">
        <f>AI122-AG122</f>
        <v>0</v>
      </c>
      <c r="AI122" s="417">
        <f>Debt!AI6</f>
        <v>0</v>
      </c>
      <c r="AJ122" s="417"/>
      <c r="AK122" s="417"/>
      <c r="AL122" s="417">
        <f>Debt!AL6</f>
        <v>0</v>
      </c>
      <c r="AM122" s="417"/>
      <c r="AN122" s="417"/>
      <c r="AO122" s="417">
        <f>Debt!AO6</f>
        <v>0</v>
      </c>
      <c r="AP122" s="417"/>
      <c r="AQ122" s="417"/>
      <c r="AR122" s="417">
        <f>Debt!AR6</f>
        <v>0</v>
      </c>
      <c r="AS122" s="417"/>
      <c r="AT122" s="417"/>
      <c r="AU122" s="417">
        <f>Debt!AU6</f>
        <v>0</v>
      </c>
      <c r="AV122" s="417"/>
      <c r="AW122" s="417"/>
      <c r="AX122" s="417">
        <f>Debt!AX6</f>
        <v>0</v>
      </c>
      <c r="AY122" s="417"/>
      <c r="AZ122" s="417"/>
      <c r="BA122" s="417">
        <f>Debt!BA6</f>
        <v>0</v>
      </c>
      <c r="BB122" s="417"/>
      <c r="BC122" s="417"/>
      <c r="BD122" s="417">
        <f>Debt!BD6</f>
        <v>0</v>
      </c>
      <c r="BE122" s="417"/>
      <c r="BF122" s="417"/>
      <c r="BG122" s="417">
        <f>Debt!BG6</f>
        <v>0</v>
      </c>
      <c r="BH122" s="417"/>
      <c r="BI122" s="417"/>
      <c r="BJ122" s="417">
        <f>Debt!BJ6</f>
        <v>0</v>
      </c>
    </row>
    <row r="123" spans="2:62" s="377" customFormat="1">
      <c r="B123" s="377" t="s">
        <v>114</v>
      </c>
      <c r="C123" s="417">
        <v>0</v>
      </c>
      <c r="D123" s="417">
        <f t="shared" ref="D123:D126" si="349">E123-C123</f>
        <v>0</v>
      </c>
      <c r="E123" s="417">
        <v>0</v>
      </c>
      <c r="F123" s="417">
        <v>0</v>
      </c>
      <c r="G123" s="417">
        <f t="shared" ref="G123:G126" si="350">H123-F123</f>
        <v>0</v>
      </c>
      <c r="H123" s="417">
        <v>0</v>
      </c>
      <c r="I123" s="417"/>
      <c r="J123" s="417">
        <f t="shared" ref="J123:J126" si="351">K123-I123</f>
        <v>0</v>
      </c>
      <c r="K123" s="418"/>
      <c r="L123" s="417"/>
      <c r="M123" s="417">
        <f t="shared" ref="M123:M126" si="352">N123-L123</f>
        <v>157</v>
      </c>
      <c r="N123" s="417">
        <v>157</v>
      </c>
      <c r="O123" s="417">
        <v>41.4</v>
      </c>
      <c r="P123" s="417">
        <f t="shared" ref="P123:P126" si="353">Q123-O123</f>
        <v>0</v>
      </c>
      <c r="Q123" s="417">
        <v>41.4</v>
      </c>
      <c r="R123" s="417">
        <v>0</v>
      </c>
      <c r="S123" s="417">
        <f t="shared" ref="S123:S126" si="354">T123-R123</f>
        <v>0</v>
      </c>
      <c r="T123" s="419"/>
      <c r="U123" s="417"/>
      <c r="V123" s="417">
        <f t="shared" ref="V123:V126" si="355">W123-U123</f>
        <v>0</v>
      </c>
      <c r="W123" s="419"/>
      <c r="X123" s="417"/>
      <c r="Y123" s="417">
        <f t="shared" ref="Y123:Y126" si="356">Z123-X123</f>
        <v>0</v>
      </c>
      <c r="Z123" s="419"/>
      <c r="AA123" s="417"/>
      <c r="AB123" s="417">
        <f t="shared" ref="AB123:AB126" si="357">AC123-AA123</f>
        <v>0</v>
      </c>
      <c r="AC123" s="419"/>
      <c r="AD123" s="417"/>
      <c r="AE123" s="417">
        <f t="shared" ref="AE123:AE126" si="358">AF123-AD123</f>
        <v>0</v>
      </c>
      <c r="AF123" s="417"/>
      <c r="AG123" s="417"/>
      <c r="AH123" s="417">
        <f t="shared" ref="AH123:AH126" si="359">AI123-AG123</f>
        <v>0</v>
      </c>
      <c r="AI123" s="417"/>
      <c r="AJ123" s="417"/>
      <c r="AK123" s="417"/>
      <c r="AL123" s="417"/>
      <c r="AM123" s="417"/>
      <c r="AN123" s="417"/>
      <c r="AO123" s="417"/>
      <c r="AP123" s="417"/>
      <c r="AQ123" s="417"/>
      <c r="AR123" s="417"/>
      <c r="AS123" s="417"/>
      <c r="AT123" s="417"/>
      <c r="AU123" s="417"/>
      <c r="AV123" s="417"/>
      <c r="AW123" s="417"/>
      <c r="AX123" s="417"/>
      <c r="AY123" s="417"/>
      <c r="AZ123" s="417"/>
      <c r="BA123" s="417"/>
      <c r="BB123" s="417"/>
      <c r="BC123" s="417"/>
      <c r="BD123" s="417"/>
      <c r="BE123" s="417"/>
      <c r="BF123" s="417"/>
      <c r="BG123" s="417"/>
      <c r="BH123" s="417"/>
      <c r="BI123" s="417"/>
      <c r="BJ123" s="417"/>
    </row>
    <row r="124" spans="2:62" s="377" customFormat="1">
      <c r="B124" s="377" t="s">
        <v>570</v>
      </c>
      <c r="C124" s="417"/>
      <c r="D124" s="417">
        <f t="shared" si="349"/>
        <v>0</v>
      </c>
      <c r="E124" s="417"/>
      <c r="F124" s="417"/>
      <c r="G124" s="417">
        <f t="shared" si="350"/>
        <v>0</v>
      </c>
      <c r="H124" s="417"/>
      <c r="I124" s="417"/>
      <c r="J124" s="417">
        <f t="shared" si="351"/>
        <v>0</v>
      </c>
      <c r="K124" s="418"/>
      <c r="L124" s="417">
        <v>-84.6</v>
      </c>
      <c r="M124" s="417">
        <f t="shared" si="352"/>
        <v>-87.200000000000017</v>
      </c>
      <c r="N124" s="417">
        <v>-171.8</v>
      </c>
      <c r="O124" s="417">
        <v>-91</v>
      </c>
      <c r="P124" s="417">
        <f t="shared" si="353"/>
        <v>-97.1</v>
      </c>
      <c r="Q124" s="417">
        <v>-188.1</v>
      </c>
      <c r="R124" s="419">
        <v>-97.2</v>
      </c>
      <c r="S124" s="417">
        <f t="shared" si="354"/>
        <v>-118.8</v>
      </c>
      <c r="T124" s="419">
        <v>-216</v>
      </c>
      <c r="U124" s="419">
        <v>-82.9</v>
      </c>
      <c r="V124" s="417">
        <f t="shared" si="355"/>
        <v>-127.79999999999998</v>
      </c>
      <c r="W124" s="419">
        <v>-210.7</v>
      </c>
      <c r="X124" s="419">
        <v>-88.9</v>
      </c>
      <c r="Y124" s="417">
        <f t="shared" si="356"/>
        <v>-110.19999999999999</v>
      </c>
      <c r="Z124" s="419">
        <f>'PPE &amp; Leases'!Z39</f>
        <v>-199.1</v>
      </c>
      <c r="AA124" s="419">
        <v>-114.3</v>
      </c>
      <c r="AB124" s="417">
        <f t="shared" si="357"/>
        <v>-117.30000000000003</v>
      </c>
      <c r="AC124" s="419">
        <f>'PPE &amp; Leases'!AC39</f>
        <v>-231.60000000000002</v>
      </c>
      <c r="AD124" s="417">
        <f>'PPE &amp; Leases'!AD39</f>
        <v>-124.43475000000001</v>
      </c>
      <c r="AE124" s="417">
        <f t="shared" si="358"/>
        <v>-124.43475000000001</v>
      </c>
      <c r="AF124" s="417">
        <f>'PPE &amp; Leases'!AF39</f>
        <v>-248.86950000000002</v>
      </c>
      <c r="AG124" s="417">
        <f>'PPE &amp; Leases'!AG39</f>
        <v>-132.80988287679912</v>
      </c>
      <c r="AH124" s="417">
        <f t="shared" si="359"/>
        <v>-132.80988287679912</v>
      </c>
      <c r="AI124" s="417">
        <f>'PPE &amp; Leases'!AI39</f>
        <v>-265.61976575359824</v>
      </c>
      <c r="AJ124" s="417"/>
      <c r="AK124" s="417"/>
      <c r="AL124" s="417">
        <f>'PPE &amp; Leases'!AL39</f>
        <v>-274.2805014187789</v>
      </c>
      <c r="AM124" s="417"/>
      <c r="AN124" s="417"/>
      <c r="AO124" s="417">
        <f>'PPE &amp; Leases'!AO39</f>
        <v>-284.94478198321895</v>
      </c>
      <c r="AP124" s="417"/>
      <c r="AQ124" s="417"/>
      <c r="AR124" s="417">
        <f>'PPE &amp; Leases'!AR39</f>
        <v>-293.56385898960997</v>
      </c>
      <c r="AS124" s="417"/>
      <c r="AT124" s="417"/>
      <c r="AU124" s="417">
        <f>'PPE &amp; Leases'!AU39</f>
        <v>-302.51515579785848</v>
      </c>
      <c r="AV124" s="417"/>
      <c r="AW124" s="417"/>
      <c r="AX124" s="417">
        <f>'PPE &amp; Leases'!AX39</f>
        <v>-311.81925655574491</v>
      </c>
      <c r="AY124" s="417"/>
      <c r="AZ124" s="417"/>
      <c r="BA124" s="417">
        <f>'PPE &amp; Leases'!BA39</f>
        <v>-321.49802669408723</v>
      </c>
      <c r="BB124" s="417"/>
      <c r="BC124" s="417"/>
      <c r="BD124" s="417">
        <f>'PPE &amp; Leases'!BD39</f>
        <v>-331.57467474502653</v>
      </c>
      <c r="BE124" s="417"/>
      <c r="BF124" s="417"/>
      <c r="BG124" s="417">
        <f>'PPE &amp; Leases'!BG39</f>
        <v>-342.0738164211507</v>
      </c>
      <c r="BH124" s="417"/>
      <c r="BI124" s="417"/>
      <c r="BJ124" s="417">
        <f>'PPE &amp; Leases'!BJ39</f>
        <v>-353.02154102389102</v>
      </c>
    </row>
    <row r="125" spans="2:62" s="377" customFormat="1" ht="12" customHeight="1">
      <c r="B125" s="377" t="s">
        <v>25</v>
      </c>
      <c r="C125" s="417">
        <v>-42.5</v>
      </c>
      <c r="D125" s="417">
        <f t="shared" si="349"/>
        <v>-42.3</v>
      </c>
      <c r="E125" s="417">
        <v>-84.8</v>
      </c>
      <c r="F125" s="417">
        <v>-49.3</v>
      </c>
      <c r="G125" s="417">
        <f t="shared" si="350"/>
        <v>-42.400000000000006</v>
      </c>
      <c r="H125" s="417">
        <v>-91.7</v>
      </c>
      <c r="I125" s="417">
        <v>-54.3</v>
      </c>
      <c r="J125" s="417">
        <f t="shared" si="351"/>
        <v>-42.400000000000006</v>
      </c>
      <c r="K125" s="418">
        <v>-96.7</v>
      </c>
      <c r="L125" s="417">
        <v>-56.2</v>
      </c>
      <c r="M125" s="417">
        <f t="shared" si="352"/>
        <v>0</v>
      </c>
      <c r="N125" s="417">
        <v>-56.2</v>
      </c>
      <c r="O125" s="417">
        <v>-44</v>
      </c>
      <c r="P125" s="417">
        <f t="shared" si="353"/>
        <v>-74.5</v>
      </c>
      <c r="Q125" s="417">
        <v>-118.5</v>
      </c>
      <c r="R125" s="417">
        <v>-124.3</v>
      </c>
      <c r="S125" s="417">
        <f t="shared" si="354"/>
        <v>-60.899999999999991</v>
      </c>
      <c r="T125" s="419">
        <v>-185.2</v>
      </c>
      <c r="U125" s="419">
        <v>-97.1</v>
      </c>
      <c r="V125" s="417">
        <f t="shared" si="355"/>
        <v>-76.800000000000011</v>
      </c>
      <c r="W125" s="419">
        <v>-173.9</v>
      </c>
      <c r="X125" s="419">
        <v>-155.80000000000001</v>
      </c>
      <c r="Y125" s="417">
        <f t="shared" si="356"/>
        <v>-72.299999999999983</v>
      </c>
      <c r="Z125" s="419">
        <v>-228.1</v>
      </c>
      <c r="AA125" s="419">
        <v>-196.5</v>
      </c>
      <c r="AB125" s="417">
        <f t="shared" si="357"/>
        <v>-72.300000000000011</v>
      </c>
      <c r="AC125" s="419">
        <v>-268.8</v>
      </c>
      <c r="AD125" s="417">
        <f>((AB92)/100)*-1*MODEL!AD88</f>
        <v>-145.67218048000001</v>
      </c>
      <c r="AE125" s="417">
        <f t="shared" si="358"/>
        <v>-50.074812039999983</v>
      </c>
      <c r="AF125" s="417">
        <f>((AC92+AF91)/100)*-1*MODEL!AF88</f>
        <v>-195.74699251999999</v>
      </c>
      <c r="AG125" s="417">
        <f>((AE92)/100)*-1*MODEL!AG88</f>
        <v>-102.452588616695</v>
      </c>
      <c r="AH125" s="417">
        <f t="shared" si="359"/>
        <v>-59.179323320000023</v>
      </c>
      <c r="AI125" s="417">
        <f>((AF92+AI91)/100)*-1*MODEL!AI88</f>
        <v>-161.63191193669502</v>
      </c>
      <c r="AJ125" s="417"/>
      <c r="AK125" s="417"/>
      <c r="AL125" s="417">
        <f>((AI92+AL91)/100)*-1*MODEL!AL88</f>
        <v>-183.64407382160636</v>
      </c>
      <c r="AM125" s="417"/>
      <c r="AN125" s="417"/>
      <c r="AO125" s="417">
        <f>((AL92+AO91)/100)*-1*MODEL!AO88</f>
        <v>-197.41310287876203</v>
      </c>
      <c r="AP125" s="417"/>
      <c r="AQ125" s="417"/>
      <c r="AR125" s="417">
        <f>((AO92+AR91)/100)*-1*MODEL!AR88</f>
        <v>-209.94646082361896</v>
      </c>
      <c r="AS125" s="417"/>
      <c r="AT125" s="417"/>
      <c r="AU125" s="417">
        <f>((AR92+AU91)/100)*-1*MODEL!AU88</f>
        <v>-218.36438310437151</v>
      </c>
      <c r="AV125" s="417"/>
      <c r="AW125" s="417"/>
      <c r="AX125" s="417">
        <f>((AU92+AX91)/100)*-1*MODEL!AX88</f>
        <v>-228.45206141807603</v>
      </c>
      <c r="AY125" s="417"/>
      <c r="AZ125" s="417"/>
      <c r="BA125" s="417">
        <f>((AX92+BA91)/100)*-1*MODEL!BA88</f>
        <v>-237.61426806638642</v>
      </c>
      <c r="BB125" s="417"/>
      <c r="BC125" s="417"/>
      <c r="BD125" s="417">
        <f>((BA92+BD91)/100)*-1*MODEL!BD88</f>
        <v>-247.16339078235123</v>
      </c>
      <c r="BE125" s="417"/>
      <c r="BF125" s="417"/>
      <c r="BG125" s="417">
        <f>((BD92+BG91)/100)*-1*MODEL!BG88</f>
        <v>-257.12372821025502</v>
      </c>
      <c r="BH125" s="417"/>
      <c r="BI125" s="417"/>
      <c r="BJ125" s="417">
        <f>((BG92+BJ91)/100)*-1*MODEL!BJ88</f>
        <v>-269.79128456584306</v>
      </c>
    </row>
    <row r="126" spans="2:62" s="377" customFormat="1">
      <c r="B126" s="377" t="s">
        <v>72</v>
      </c>
      <c r="C126" s="417">
        <v>-0.30000000000000004</v>
      </c>
      <c r="D126" s="417">
        <f t="shared" si="349"/>
        <v>-1</v>
      </c>
      <c r="E126" s="417">
        <v>-1.3</v>
      </c>
      <c r="F126" s="417">
        <f>-1.4-0.2</f>
        <v>-1.5999999999999999</v>
      </c>
      <c r="G126" s="417">
        <f t="shared" si="350"/>
        <v>1.1999999999999997</v>
      </c>
      <c r="H126" s="417">
        <f>-0.3-0.1</f>
        <v>-0.4</v>
      </c>
      <c r="I126" s="417">
        <f>-1.7+0.4</f>
        <v>-1.2999999999999998</v>
      </c>
      <c r="J126" s="417">
        <f t="shared" si="351"/>
        <v>-1.7000000000000002</v>
      </c>
      <c r="K126" s="418">
        <f>-3.3+0.3</f>
        <v>-3</v>
      </c>
      <c r="L126" s="417">
        <v>0.2</v>
      </c>
      <c r="M126" s="417">
        <f t="shared" si="352"/>
        <v>-0.60000000000000009</v>
      </c>
      <c r="N126" s="417">
        <v>-0.4</v>
      </c>
      <c r="O126" s="417">
        <v>0.1</v>
      </c>
      <c r="P126" s="417">
        <f t="shared" si="353"/>
        <v>-1.3</v>
      </c>
      <c r="Q126" s="417">
        <v>-1.2</v>
      </c>
      <c r="R126" s="417">
        <v>0.7</v>
      </c>
      <c r="S126" s="417">
        <f t="shared" si="354"/>
        <v>-0.49999999999999994</v>
      </c>
      <c r="T126" s="419">
        <v>0.2</v>
      </c>
      <c r="U126" s="419">
        <f>-2.2+0.5</f>
        <v>-1.7000000000000002</v>
      </c>
      <c r="V126" s="417">
        <f t="shared" si="355"/>
        <v>3.2</v>
      </c>
      <c r="W126" s="419">
        <f>3.6-2.2+0.1</f>
        <v>1.5</v>
      </c>
      <c r="X126" s="419">
        <f>4.1+0.2</f>
        <v>4.3</v>
      </c>
      <c r="Y126" s="417">
        <f t="shared" si="356"/>
        <v>3.8000000000000016</v>
      </c>
      <c r="Z126" s="419">
        <f>8.3-0.2</f>
        <v>8.1000000000000014</v>
      </c>
      <c r="AA126" s="419">
        <f>2.6-0.2</f>
        <v>2.4</v>
      </c>
      <c r="AB126" s="417">
        <f t="shared" si="357"/>
        <v>-0.29999999999999982</v>
      </c>
      <c r="AC126" s="419">
        <f>3.7-1.6</f>
        <v>2.1</v>
      </c>
      <c r="AD126" s="417"/>
      <c r="AE126" s="417">
        <f t="shared" si="358"/>
        <v>0</v>
      </c>
      <c r="AF126" s="417"/>
      <c r="AG126" s="417"/>
      <c r="AH126" s="417">
        <f t="shared" si="359"/>
        <v>0</v>
      </c>
      <c r="AI126" s="417"/>
      <c r="AJ126" s="417"/>
      <c r="AK126" s="417"/>
      <c r="AL126" s="417"/>
      <c r="AM126" s="417"/>
      <c r="AN126" s="417"/>
      <c r="AO126" s="417"/>
      <c r="AP126" s="417"/>
      <c r="AQ126" s="417"/>
      <c r="AR126" s="417"/>
      <c r="AS126" s="417"/>
      <c r="AT126" s="417"/>
      <c r="AU126" s="417"/>
      <c r="AV126" s="417"/>
      <c r="AW126" s="417"/>
      <c r="AX126" s="417"/>
      <c r="AY126" s="417"/>
      <c r="AZ126" s="417"/>
      <c r="BA126" s="417"/>
      <c r="BB126" s="417"/>
      <c r="BC126" s="417"/>
      <c r="BD126" s="417"/>
      <c r="BE126" s="417"/>
      <c r="BF126" s="417"/>
      <c r="BG126" s="417"/>
      <c r="BH126" s="417"/>
      <c r="BI126" s="417"/>
      <c r="BJ126" s="417"/>
    </row>
    <row r="127" spans="2:62" s="377" customFormat="1">
      <c r="B127" s="794" t="s">
        <v>115</v>
      </c>
      <c r="C127" s="795">
        <v>-186.8</v>
      </c>
      <c r="D127" s="795">
        <f>E127-C127</f>
        <v>74.800000000000026</v>
      </c>
      <c r="E127" s="795">
        <f>SUM(E122:E126)</f>
        <v>-111.99999999999999</v>
      </c>
      <c r="F127" s="795">
        <f>SUM(F122:F126)</f>
        <v>-220.79999999999998</v>
      </c>
      <c r="G127" s="795">
        <f>H127-F127</f>
        <v>164.99999999999997</v>
      </c>
      <c r="H127" s="795">
        <f>SUM(H122:H126)</f>
        <v>-55.800000000000004</v>
      </c>
      <c r="I127" s="795">
        <f>SUM(I122:I126)</f>
        <v>-135.9</v>
      </c>
      <c r="J127" s="795">
        <f>K127-I127</f>
        <v>-6.1999999999999886</v>
      </c>
      <c r="K127" s="796">
        <f t="shared" ref="K127:R127" si="360">SUM(K122:K126)</f>
        <v>-142.1</v>
      </c>
      <c r="L127" s="795">
        <f t="shared" si="360"/>
        <v>-224.60000000000002</v>
      </c>
      <c r="M127" s="795">
        <f>N127-L127</f>
        <v>13.200000000000017</v>
      </c>
      <c r="N127" s="795">
        <f t="shared" si="360"/>
        <v>-211.4</v>
      </c>
      <c r="O127" s="795">
        <f t="shared" si="360"/>
        <v>-343.5</v>
      </c>
      <c r="P127" s="795">
        <f>Q127-O127</f>
        <v>-172.90000000000009</v>
      </c>
      <c r="Q127" s="795">
        <f t="shared" si="360"/>
        <v>-516.40000000000009</v>
      </c>
      <c r="R127" s="795">
        <f t="shared" si="360"/>
        <v>-220.8</v>
      </c>
      <c r="S127" s="795">
        <f>T127-R127</f>
        <v>-180.2</v>
      </c>
      <c r="T127" s="795">
        <f t="shared" ref="T127:AU127" si="361">SUM(T122:T126)</f>
        <v>-401</v>
      </c>
      <c r="U127" s="795">
        <f t="shared" si="361"/>
        <v>-181.7</v>
      </c>
      <c r="V127" s="795">
        <f>W127-U127</f>
        <v>-201.40000000000003</v>
      </c>
      <c r="W127" s="795">
        <f t="shared" si="361"/>
        <v>-383.1</v>
      </c>
      <c r="X127" s="795">
        <f>SUM(X122:X126)</f>
        <v>-240.4</v>
      </c>
      <c r="Y127" s="795">
        <f>Z127-X127</f>
        <v>-178.69999999999996</v>
      </c>
      <c r="Z127" s="795">
        <f t="shared" si="361"/>
        <v>-419.09999999999997</v>
      </c>
      <c r="AA127" s="795">
        <f t="shared" si="361"/>
        <v>-308.40000000000003</v>
      </c>
      <c r="AB127" s="795">
        <f>AC127-AA127</f>
        <v>-189.89999999999998</v>
      </c>
      <c r="AC127" s="795">
        <f t="shared" si="361"/>
        <v>-498.3</v>
      </c>
      <c r="AD127" s="795">
        <f>SUM(AD122:AD126)</f>
        <v>-270.10693048000002</v>
      </c>
      <c r="AE127" s="795">
        <f>AF127-AD127</f>
        <v>-174.50956203999999</v>
      </c>
      <c r="AF127" s="795">
        <f t="shared" si="361"/>
        <v>-444.61649252000001</v>
      </c>
      <c r="AG127" s="795">
        <f t="shared" si="361"/>
        <v>-235.2624714934941</v>
      </c>
      <c r="AH127" s="795">
        <f>AI127-AG127</f>
        <v>-191.98920619679916</v>
      </c>
      <c r="AI127" s="795">
        <f t="shared" si="361"/>
        <v>-427.25167769029326</v>
      </c>
      <c r="AJ127" s="795"/>
      <c r="AK127" s="795"/>
      <c r="AL127" s="795">
        <f t="shared" si="361"/>
        <v>-457.92457524038525</v>
      </c>
      <c r="AM127" s="795"/>
      <c r="AN127" s="795"/>
      <c r="AO127" s="795">
        <f t="shared" si="361"/>
        <v>-482.35788486198101</v>
      </c>
      <c r="AP127" s="795"/>
      <c r="AQ127" s="795"/>
      <c r="AR127" s="795">
        <f t="shared" si="361"/>
        <v>-503.51031981322893</v>
      </c>
      <c r="AS127" s="795"/>
      <c r="AT127" s="795"/>
      <c r="AU127" s="795">
        <f t="shared" si="361"/>
        <v>-520.87953890223002</v>
      </c>
      <c r="AV127" s="795"/>
      <c r="AW127" s="795"/>
      <c r="AX127" s="795">
        <f t="shared" ref="AX127" si="362">SUM(AX122:AX126)</f>
        <v>-540.27131797382094</v>
      </c>
      <c r="AY127" s="795"/>
      <c r="AZ127" s="795"/>
      <c r="BA127" s="795">
        <f t="shared" ref="BA127:BD127" si="363">SUM(BA122:BA126)</f>
        <v>-559.11229476047367</v>
      </c>
      <c r="BB127" s="795"/>
      <c r="BC127" s="795"/>
      <c r="BD127" s="795">
        <f t="shared" si="363"/>
        <v>-578.73806552737778</v>
      </c>
      <c r="BE127" s="795"/>
      <c r="BF127" s="795"/>
      <c r="BG127" s="795">
        <f t="shared" ref="BG127:BJ127" si="364">SUM(BG122:BG126)</f>
        <v>-599.19754463140566</v>
      </c>
      <c r="BH127" s="795"/>
      <c r="BI127" s="795"/>
      <c r="BJ127" s="795">
        <f t="shared" si="364"/>
        <v>-622.81282558973408</v>
      </c>
    </row>
    <row r="128" spans="2:62">
      <c r="B128" s="549"/>
      <c r="C128" s="479"/>
      <c r="D128" s="479"/>
      <c r="E128" s="479"/>
      <c r="F128" s="479"/>
      <c r="G128" s="479"/>
      <c r="H128" s="479"/>
      <c r="I128" s="479"/>
      <c r="J128" s="479"/>
      <c r="K128" s="553"/>
      <c r="L128" s="479"/>
      <c r="M128" s="479"/>
      <c r="N128" s="479"/>
      <c r="O128" s="479"/>
      <c r="P128" s="479"/>
      <c r="Q128" s="479"/>
      <c r="R128" s="479"/>
      <c r="S128" s="479"/>
      <c r="T128" s="479"/>
      <c r="U128" s="479"/>
      <c r="V128" s="479"/>
      <c r="W128" s="479"/>
      <c r="X128" s="479"/>
      <c r="Y128" s="479"/>
      <c r="Z128" s="479"/>
      <c r="AA128" s="479"/>
      <c r="AB128" s="479"/>
      <c r="AC128" s="479"/>
      <c r="AD128" s="479"/>
      <c r="AE128" s="479"/>
      <c r="AF128" s="479"/>
      <c r="AG128" s="479"/>
      <c r="AH128" s="479"/>
      <c r="AI128" s="479"/>
      <c r="AJ128" s="479"/>
      <c r="AK128" s="479"/>
      <c r="AL128" s="479"/>
      <c r="AM128" s="479"/>
      <c r="AN128" s="479"/>
      <c r="AO128" s="479"/>
      <c r="AP128" s="479"/>
      <c r="AQ128" s="479"/>
      <c r="AR128" s="479"/>
      <c r="AS128" s="479"/>
      <c r="AT128" s="479"/>
      <c r="AU128" s="479"/>
      <c r="AV128" s="479"/>
      <c r="AW128" s="479"/>
      <c r="AX128" s="479"/>
      <c r="AY128" s="479"/>
      <c r="AZ128" s="479"/>
      <c r="BA128" s="479"/>
      <c r="BB128" s="479"/>
      <c r="BC128" s="479"/>
      <c r="BD128" s="479"/>
      <c r="BE128" s="479"/>
      <c r="BF128" s="479"/>
      <c r="BG128" s="479"/>
      <c r="BH128" s="479"/>
      <c r="BI128" s="479"/>
      <c r="BJ128" s="479"/>
    </row>
    <row r="129" spans="2:62" s="377" customFormat="1">
      <c r="B129" s="377" t="s">
        <v>116</v>
      </c>
      <c r="C129" s="422">
        <v>13.299999999999983</v>
      </c>
      <c r="D129" s="417">
        <f>E129-C129</f>
        <v>-8.9999999999999716</v>
      </c>
      <c r="E129" s="422">
        <f>E127+E118+E111</f>
        <v>4.3000000000000114</v>
      </c>
      <c r="F129" s="422">
        <f>F127+F118+F111</f>
        <v>10.400000000000034</v>
      </c>
      <c r="G129" s="417">
        <f>H129-F129</f>
        <v>-17.10000000000008</v>
      </c>
      <c r="H129" s="422">
        <f>H127+H118+H111</f>
        <v>-6.7000000000000455</v>
      </c>
      <c r="I129" s="422">
        <f>I127+I118+I111</f>
        <v>48.200000000000017</v>
      </c>
      <c r="J129" s="417">
        <f>K129-I129</f>
        <v>-55.900000000000034</v>
      </c>
      <c r="K129" s="423">
        <f t="shared" ref="K129:AU129" si="365">K127+K118+K111</f>
        <v>-7.7000000000000171</v>
      </c>
      <c r="L129" s="422">
        <f t="shared" si="365"/>
        <v>49.600000000000023</v>
      </c>
      <c r="M129" s="417">
        <f>N129-L129</f>
        <v>227.99999999999994</v>
      </c>
      <c r="N129" s="422">
        <f t="shared" si="365"/>
        <v>277.59999999999997</v>
      </c>
      <c r="O129" s="422">
        <f t="shared" si="365"/>
        <v>131.70000000000005</v>
      </c>
      <c r="P129" s="417">
        <f>Q129-O129</f>
        <v>-174.50000000000011</v>
      </c>
      <c r="Q129" s="422">
        <f t="shared" si="365"/>
        <v>-42.800000000000068</v>
      </c>
      <c r="R129" s="422">
        <f t="shared" si="365"/>
        <v>-148.20000000000002</v>
      </c>
      <c r="S129" s="417">
        <f>T129-R129</f>
        <v>-80.700000000000074</v>
      </c>
      <c r="T129" s="422">
        <f>T127+T118+T111</f>
        <v>-228.90000000000009</v>
      </c>
      <c r="U129" s="422">
        <f>U127+U118+U111</f>
        <v>198.60000000000002</v>
      </c>
      <c r="V129" s="417">
        <f>W129-U129</f>
        <v>-19.700000000000045</v>
      </c>
      <c r="W129" s="422">
        <f t="shared" si="365"/>
        <v>178.89999999999998</v>
      </c>
      <c r="X129" s="422">
        <f t="shared" ref="X129" si="366">X127+X118+X111</f>
        <v>128.89999999999998</v>
      </c>
      <c r="Y129" s="417">
        <f>Z129-X129</f>
        <v>-103.39999999999998</v>
      </c>
      <c r="Z129" s="422">
        <f t="shared" si="365"/>
        <v>25.5</v>
      </c>
      <c r="AA129" s="422">
        <f t="shared" si="365"/>
        <v>-49.800000000000011</v>
      </c>
      <c r="AB129" s="417">
        <f>AC129-AA129</f>
        <v>-104.60000000000008</v>
      </c>
      <c r="AC129" s="422">
        <f>AC127+AC118+AC111</f>
        <v>-154.40000000000009</v>
      </c>
      <c r="AD129" s="422">
        <f>AD127+AD118+AD111</f>
        <v>70.459107756434037</v>
      </c>
      <c r="AE129" s="417">
        <f>AF129-AD129</f>
        <v>-39.278369313629696</v>
      </c>
      <c r="AF129" s="422">
        <f>AF127+AF118+AF111</f>
        <v>31.180738442804341</v>
      </c>
      <c r="AG129" s="422">
        <f t="shared" ref="AG129" si="367">AG127+AG118+AG111</f>
        <v>99.057658430207653</v>
      </c>
      <c r="AH129" s="417">
        <f>AI129-AG129</f>
        <v>-32.279933536234239</v>
      </c>
      <c r="AI129" s="422">
        <f t="shared" si="365"/>
        <v>66.777724893973414</v>
      </c>
      <c r="AJ129" s="422"/>
      <c r="AK129" s="422"/>
      <c r="AL129" s="422">
        <f t="shared" si="365"/>
        <v>68.53357464429871</v>
      </c>
      <c r="AM129" s="422"/>
      <c r="AN129" s="422"/>
      <c r="AO129" s="422">
        <f t="shared" si="365"/>
        <v>73.953783516084968</v>
      </c>
      <c r="AP129" s="422"/>
      <c r="AQ129" s="422"/>
      <c r="AR129" s="422">
        <f t="shared" si="365"/>
        <v>79.740693391282207</v>
      </c>
      <c r="AS129" s="422"/>
      <c r="AT129" s="422"/>
      <c r="AU129" s="422">
        <f t="shared" si="365"/>
        <v>88.07236437437632</v>
      </c>
      <c r="AV129" s="422"/>
      <c r="AW129" s="422"/>
      <c r="AX129" s="422">
        <f t="shared" ref="AX129" si="368">AX127+AX118+AX111</f>
        <v>92.474416950456089</v>
      </c>
      <c r="AY129" s="422"/>
      <c r="AZ129" s="422"/>
      <c r="BA129" s="422">
        <f t="shared" ref="BA129:BD129" si="369">BA127+BA118+BA111</f>
        <v>97.42102632702165</v>
      </c>
      <c r="BB129" s="422"/>
      <c r="BC129" s="422"/>
      <c r="BD129" s="422">
        <f t="shared" si="369"/>
        <v>102.52705226575915</v>
      </c>
      <c r="BE129" s="422"/>
      <c r="BF129" s="422"/>
      <c r="BG129" s="422">
        <f t="shared" ref="BG129:BJ129" si="370">BG127+BG118+BG111</f>
        <v>107.78490502216971</v>
      </c>
      <c r="BH129" s="422"/>
      <c r="BI129" s="422"/>
      <c r="BJ129" s="422">
        <f t="shared" si="370"/>
        <v>110.91543299925104</v>
      </c>
    </row>
    <row r="130" spans="2:62">
      <c r="B130" s="548"/>
      <c r="C130" s="480"/>
      <c r="D130" s="480"/>
      <c r="E130" s="480"/>
      <c r="F130" s="480"/>
      <c r="G130" s="480"/>
      <c r="H130" s="480"/>
      <c r="I130" s="480"/>
      <c r="J130" s="480"/>
      <c r="K130" s="481"/>
      <c r="L130" s="480"/>
      <c r="M130" s="480"/>
      <c r="N130" s="480"/>
      <c r="O130" s="480"/>
      <c r="P130" s="480"/>
      <c r="Q130" s="480"/>
      <c r="R130" s="480"/>
      <c r="S130" s="480"/>
      <c r="T130" s="480"/>
      <c r="U130" s="480"/>
      <c r="V130" s="480"/>
      <c r="W130" s="480"/>
      <c r="X130" s="480"/>
      <c r="Y130" s="480"/>
      <c r="Z130" s="480"/>
      <c r="AA130" s="480"/>
      <c r="AB130" s="480"/>
      <c r="AC130" s="480"/>
      <c r="AD130" s="480"/>
      <c r="AE130" s="480"/>
      <c r="AF130" s="480"/>
      <c r="AG130" s="480"/>
      <c r="AH130" s="480"/>
      <c r="AI130" s="480"/>
      <c r="AJ130" s="480"/>
      <c r="AK130" s="480"/>
      <c r="AL130" s="480"/>
      <c r="AM130" s="480"/>
      <c r="AN130" s="480"/>
      <c r="AO130" s="480"/>
      <c r="AP130" s="480"/>
      <c r="AQ130" s="480"/>
      <c r="AR130" s="480"/>
      <c r="AS130" s="480"/>
      <c r="AT130" s="480"/>
      <c r="AU130" s="480"/>
      <c r="AV130" s="480"/>
      <c r="AW130" s="480"/>
      <c r="AX130" s="480"/>
      <c r="AY130" s="480"/>
      <c r="AZ130" s="480"/>
      <c r="BA130" s="480"/>
      <c r="BB130" s="480"/>
      <c r="BC130" s="480"/>
      <c r="BD130" s="480"/>
      <c r="BE130" s="480"/>
      <c r="BF130" s="480"/>
      <c r="BG130" s="480"/>
      <c r="BH130" s="480"/>
      <c r="BI130" s="480"/>
      <c r="BJ130" s="480"/>
    </row>
    <row r="131" spans="2:62" s="377" customFormat="1">
      <c r="B131" s="377" t="s">
        <v>117</v>
      </c>
      <c r="C131" s="417">
        <v>323.89999999999998</v>
      </c>
      <c r="D131" s="417">
        <f>A132</f>
        <v>0</v>
      </c>
      <c r="E131" s="417">
        <v>400.2</v>
      </c>
      <c r="F131" s="417">
        <f t="shared" ref="F131:Q131" si="371">C132</f>
        <v>242.89999999999995</v>
      </c>
      <c r="G131" s="417">
        <f t="shared" si="371"/>
        <v>380.70000000000005</v>
      </c>
      <c r="H131" s="417">
        <f t="shared" si="371"/>
        <v>380.70000000000005</v>
      </c>
      <c r="I131" s="417">
        <f t="shared" si="371"/>
        <v>199.2</v>
      </c>
      <c r="J131" s="417">
        <f t="shared" si="371"/>
        <v>422.90000000000003</v>
      </c>
      <c r="K131" s="418">
        <f t="shared" si="371"/>
        <v>422.90000000000003</v>
      </c>
      <c r="L131" s="417">
        <f t="shared" si="371"/>
        <v>294</v>
      </c>
      <c r="M131" s="417">
        <f t="shared" si="371"/>
        <v>386.7</v>
      </c>
      <c r="N131" s="417">
        <f t="shared" si="371"/>
        <v>386.7</v>
      </c>
      <c r="O131" s="417">
        <f t="shared" si="371"/>
        <v>1184.5</v>
      </c>
      <c r="P131" s="417">
        <f t="shared" si="371"/>
        <v>902</v>
      </c>
      <c r="Q131" s="417">
        <f t="shared" si="371"/>
        <v>902</v>
      </c>
      <c r="R131" s="417">
        <f>Q132</f>
        <v>747.30000000000018</v>
      </c>
      <c r="S131" s="417">
        <f>P132</f>
        <v>747.30000000000018</v>
      </c>
      <c r="T131" s="417">
        <f>Q132</f>
        <v>747.30000000000018</v>
      </c>
      <c r="U131" s="417">
        <f>T132</f>
        <v>997.30000000000018</v>
      </c>
      <c r="V131" s="417">
        <f>S132</f>
        <v>997.30000000000018</v>
      </c>
      <c r="W131" s="417">
        <f>T150</f>
        <v>13.399999999999807</v>
      </c>
      <c r="X131" s="417">
        <f>W150</f>
        <v>192.29999999999978</v>
      </c>
      <c r="Y131" s="417">
        <f>V132</f>
        <v>842.70000000000027</v>
      </c>
      <c r="Z131" s="417">
        <f>W132</f>
        <v>842.70000000000027</v>
      </c>
      <c r="AA131" s="417">
        <f>Z132</f>
        <v>885.60000000000036</v>
      </c>
      <c r="AB131" s="417">
        <f>Y132</f>
        <v>885.60000000000036</v>
      </c>
      <c r="AC131" s="417">
        <f>Z132</f>
        <v>885.60000000000036</v>
      </c>
      <c r="AD131" s="417">
        <f>AC132</f>
        <v>1172.5000000000002</v>
      </c>
      <c r="AE131" s="417">
        <f>AB132</f>
        <v>1172.5000000000002</v>
      </c>
      <c r="AF131" s="417">
        <f>AC132</f>
        <v>1172.5000000000002</v>
      </c>
      <c r="AG131" s="417">
        <f>AF132</f>
        <v>1181.9529464852315</v>
      </c>
      <c r="AH131" s="417">
        <f>AE132</f>
        <v>1181.9529464852315</v>
      </c>
      <c r="AI131" s="417">
        <f>AF132</f>
        <v>1181.9529464852315</v>
      </c>
      <c r="AJ131" s="417"/>
      <c r="AK131" s="417"/>
      <c r="AL131" s="417">
        <f>AI132</f>
        <v>1139.6223782876455</v>
      </c>
      <c r="AM131" s="417"/>
      <c r="AN131" s="417"/>
      <c r="AO131" s="417">
        <f>AL132</f>
        <v>1115.1902083060302</v>
      </c>
      <c r="AP131" s="417"/>
      <c r="AQ131" s="417"/>
      <c r="AR131" s="417">
        <f>AO132</f>
        <v>1082.9981181592082</v>
      </c>
      <c r="AS131" s="417"/>
      <c r="AT131" s="417"/>
      <c r="AU131" s="417">
        <f>AR132</f>
        <v>1044.8241757447388</v>
      </c>
      <c r="AV131" s="417"/>
      <c r="AW131" s="417"/>
      <c r="AX131" s="417">
        <f>AU132</f>
        <v>997.88869010161216</v>
      </c>
      <c r="AY131" s="417"/>
      <c r="AZ131" s="417"/>
      <c r="BA131" s="417">
        <f>AX132</f>
        <v>945.86340523155559</v>
      </c>
      <c r="BB131" s="417"/>
      <c r="BC131" s="417"/>
      <c r="BD131" s="417">
        <f>BA132</f>
        <v>887.92158121381738</v>
      </c>
      <c r="BE131" s="417"/>
      <c r="BF131" s="417"/>
      <c r="BG131" s="417">
        <f>BD132</f>
        <v>823.59588589851705</v>
      </c>
      <c r="BH131" s="417"/>
      <c r="BI131" s="417"/>
      <c r="BJ131" s="417">
        <f t="shared" ref="BJ131" si="372">BG132</f>
        <v>752.3993589035482</v>
      </c>
    </row>
    <row r="132" spans="2:62" s="377" customFormat="1">
      <c r="B132" s="794" t="s">
        <v>118</v>
      </c>
      <c r="C132" s="795">
        <v>242.89999999999995</v>
      </c>
      <c r="D132" s="795">
        <f t="shared" ref="D132:K132" si="373">D168+D176-D150</f>
        <v>380.70000000000005</v>
      </c>
      <c r="E132" s="795">
        <f t="shared" si="373"/>
        <v>380.70000000000005</v>
      </c>
      <c r="F132" s="795">
        <f t="shared" si="373"/>
        <v>199.2</v>
      </c>
      <c r="G132" s="795">
        <f t="shared" si="373"/>
        <v>422.90000000000003</v>
      </c>
      <c r="H132" s="795">
        <f t="shared" si="373"/>
        <v>422.90000000000003</v>
      </c>
      <c r="I132" s="795">
        <f t="shared" si="373"/>
        <v>294</v>
      </c>
      <c r="J132" s="795">
        <f t="shared" si="373"/>
        <v>386.7</v>
      </c>
      <c r="K132" s="796">
        <f t="shared" si="373"/>
        <v>386.7</v>
      </c>
      <c r="L132" s="795">
        <f>L168+L169+L176+L177-L150</f>
        <v>1184.5</v>
      </c>
      <c r="M132" s="795">
        <f>N132</f>
        <v>902</v>
      </c>
      <c r="N132" s="795">
        <f t="shared" ref="N132:AU132" si="374">N168+N169+N176+N177-N150</f>
        <v>902</v>
      </c>
      <c r="O132" s="795">
        <f t="shared" si="374"/>
        <v>468.99999999999994</v>
      </c>
      <c r="P132" s="795">
        <f>Q132</f>
        <v>747.30000000000018</v>
      </c>
      <c r="Q132" s="795">
        <f t="shared" si="374"/>
        <v>747.30000000000018</v>
      </c>
      <c r="R132" s="795">
        <f>R168+R169+R176+R177-R150</f>
        <v>918.30000000000018</v>
      </c>
      <c r="S132" s="795">
        <f>T132</f>
        <v>997.30000000000018</v>
      </c>
      <c r="T132" s="795">
        <f>T168+T169+T176+T177-T150</f>
        <v>997.30000000000018</v>
      </c>
      <c r="U132" s="795">
        <f t="shared" si="374"/>
        <v>825.80000000000018</v>
      </c>
      <c r="V132" s="795">
        <f>W132</f>
        <v>842.70000000000027</v>
      </c>
      <c r="W132" s="795">
        <f>W168+W169+W176+W177-W150</f>
        <v>842.70000000000027</v>
      </c>
      <c r="X132" s="795">
        <f t="shared" ref="X132" si="375">X168+X169+X176+X177-X150</f>
        <v>768.00000000000023</v>
      </c>
      <c r="Y132" s="795">
        <f>Z132</f>
        <v>885.60000000000036</v>
      </c>
      <c r="Z132" s="795">
        <f>Z168+Z169+Z176+Z177-Z150</f>
        <v>885.60000000000036</v>
      </c>
      <c r="AA132" s="795">
        <f t="shared" ref="AA132" si="376">AA168+AA169+AA176+AA177-AA150</f>
        <v>950.3</v>
      </c>
      <c r="AB132" s="795">
        <f>AC132</f>
        <v>1172.5000000000002</v>
      </c>
      <c r="AC132" s="795">
        <f t="shared" si="374"/>
        <v>1172.5000000000002</v>
      </c>
      <c r="AD132" s="795">
        <f t="shared" si="374"/>
        <v>1122.3077347075839</v>
      </c>
      <c r="AE132" s="795">
        <f>AF132</f>
        <v>1181.9529464852315</v>
      </c>
      <c r="AF132" s="795">
        <f t="shared" si="374"/>
        <v>1181.9529464852315</v>
      </c>
      <c r="AG132" s="795">
        <f t="shared" ref="AG132" si="377">AG168+AG169+AG176+AG177-AG150</f>
        <v>1095.1188664032179</v>
      </c>
      <c r="AH132" s="795">
        <f>AI132</f>
        <v>1139.6223782876455</v>
      </c>
      <c r="AI132" s="795">
        <f t="shared" si="374"/>
        <v>1139.6223782876455</v>
      </c>
      <c r="AJ132" s="795"/>
      <c r="AK132" s="795"/>
      <c r="AL132" s="795">
        <f t="shared" si="374"/>
        <v>1115.1902083060302</v>
      </c>
      <c r="AM132" s="795"/>
      <c r="AN132" s="795"/>
      <c r="AO132" s="795">
        <f t="shared" si="374"/>
        <v>1082.9981181592082</v>
      </c>
      <c r="AP132" s="795"/>
      <c r="AQ132" s="795"/>
      <c r="AR132" s="795">
        <f t="shared" si="374"/>
        <v>1044.8241757447388</v>
      </c>
      <c r="AS132" s="795"/>
      <c r="AT132" s="795"/>
      <c r="AU132" s="795">
        <f t="shared" si="374"/>
        <v>997.88869010161216</v>
      </c>
      <c r="AV132" s="795"/>
      <c r="AW132" s="795"/>
      <c r="AX132" s="795">
        <f t="shared" ref="AX132" si="378">AX168+AX169+AX176+AX177-AX150</f>
        <v>945.86340523155559</v>
      </c>
      <c r="AY132" s="795"/>
      <c r="AZ132" s="795"/>
      <c r="BA132" s="795">
        <f t="shared" ref="BA132:BD132" si="379">BA168+BA169+BA176+BA177-BA150</f>
        <v>887.92158121381738</v>
      </c>
      <c r="BB132" s="795"/>
      <c r="BC132" s="795"/>
      <c r="BD132" s="795">
        <f t="shared" si="379"/>
        <v>823.59588589851705</v>
      </c>
      <c r="BE132" s="795"/>
      <c r="BF132" s="795"/>
      <c r="BG132" s="795">
        <f t="shared" ref="BG132:BJ132" si="380">BG168+BG169+BG176+BG177-BG150</f>
        <v>752.3993589035482</v>
      </c>
      <c r="BH132" s="795"/>
      <c r="BI132" s="795"/>
      <c r="BJ132" s="795">
        <f t="shared" si="380"/>
        <v>676.09542396076836</v>
      </c>
    </row>
    <row r="133" spans="2:62" s="377" customFormat="1">
      <c r="B133" s="377" t="s">
        <v>119</v>
      </c>
      <c r="C133" s="417">
        <v>283.39999999999998</v>
      </c>
      <c r="D133" s="417"/>
      <c r="E133" s="417">
        <f>(E131+E132)/2</f>
        <v>390.45000000000005</v>
      </c>
      <c r="F133" s="417">
        <f>(F131+F132)/2</f>
        <v>221.04999999999995</v>
      </c>
      <c r="G133" s="417"/>
      <c r="H133" s="417">
        <f>(H131+H132)/2</f>
        <v>401.80000000000007</v>
      </c>
      <c r="I133" s="417">
        <f>(I131+I132)/2</f>
        <v>246.6</v>
      </c>
      <c r="J133" s="417"/>
      <c r="K133" s="418">
        <f>(K131+K132)/2</f>
        <v>404.8</v>
      </c>
      <c r="L133" s="417">
        <f>(L131+L132)/2</f>
        <v>739.25</v>
      </c>
      <c r="M133" s="417"/>
      <c r="N133" s="417">
        <f>(N131+N132)/2</f>
        <v>644.35</v>
      </c>
      <c r="O133" s="417">
        <f>(O131+O132)/2</f>
        <v>826.75</v>
      </c>
      <c r="P133" s="417"/>
      <c r="Q133" s="417">
        <f>(Q131+Q132)/2</f>
        <v>824.65000000000009</v>
      </c>
      <c r="R133" s="417">
        <f>(R131+R132)/2</f>
        <v>832.80000000000018</v>
      </c>
      <c r="S133" s="417"/>
      <c r="T133" s="417">
        <f>(T131+T132)/2</f>
        <v>872.30000000000018</v>
      </c>
      <c r="U133" s="417">
        <f>(U131+U132)/2</f>
        <v>911.55000000000018</v>
      </c>
      <c r="V133" s="417"/>
      <c r="W133" s="417">
        <f t="shared" ref="W133:AU133" si="381">(W131+W132)/2</f>
        <v>428.05000000000007</v>
      </c>
      <c r="X133" s="417">
        <f>(X131+X132)/2</f>
        <v>480.15</v>
      </c>
      <c r="Y133" s="417"/>
      <c r="Z133" s="417">
        <f t="shared" si="381"/>
        <v>864.15000000000032</v>
      </c>
      <c r="AA133" s="417">
        <f>(AA131+AA132)/2</f>
        <v>917.95000000000016</v>
      </c>
      <c r="AB133" s="417"/>
      <c r="AC133" s="417">
        <f t="shared" si="381"/>
        <v>1029.0500000000002</v>
      </c>
      <c r="AD133" s="417">
        <f>(AD131+AD132)/2</f>
        <v>1147.4038673537921</v>
      </c>
      <c r="AE133" s="417"/>
      <c r="AF133" s="417">
        <f t="shared" si="381"/>
        <v>1177.2264732426158</v>
      </c>
      <c r="AG133" s="417">
        <f>(AG131+AG132)/2</f>
        <v>1138.5359064442246</v>
      </c>
      <c r="AH133" s="417"/>
      <c r="AI133" s="417">
        <f t="shared" si="381"/>
        <v>1160.7876623864386</v>
      </c>
      <c r="AJ133" s="417"/>
      <c r="AK133" s="417"/>
      <c r="AL133" s="417">
        <f t="shared" si="381"/>
        <v>1127.4062932968377</v>
      </c>
      <c r="AM133" s="417"/>
      <c r="AN133" s="417"/>
      <c r="AO133" s="417">
        <f t="shared" si="381"/>
        <v>1099.0941632326192</v>
      </c>
      <c r="AP133" s="417"/>
      <c r="AQ133" s="417"/>
      <c r="AR133" s="417">
        <f t="shared" si="381"/>
        <v>1063.9111469519735</v>
      </c>
      <c r="AS133" s="417"/>
      <c r="AT133" s="417"/>
      <c r="AU133" s="417">
        <f t="shared" si="381"/>
        <v>1021.3564329231755</v>
      </c>
      <c r="AV133" s="417"/>
      <c r="AW133" s="417"/>
      <c r="AX133" s="417">
        <f t="shared" ref="AX133" si="382">(AX131+AX132)/2</f>
        <v>971.87604766658387</v>
      </c>
      <c r="AY133" s="417"/>
      <c r="AZ133" s="417"/>
      <c r="BA133" s="417">
        <f t="shared" ref="BA133:BD133" si="383">(BA131+BA132)/2</f>
        <v>916.89249322268643</v>
      </c>
      <c r="BB133" s="417"/>
      <c r="BC133" s="417"/>
      <c r="BD133" s="417">
        <f t="shared" si="383"/>
        <v>855.75873355616727</v>
      </c>
      <c r="BE133" s="417"/>
      <c r="BF133" s="417"/>
      <c r="BG133" s="417">
        <f t="shared" ref="BG133:BJ133" si="384">(BG131+BG132)/2</f>
        <v>787.99762240103269</v>
      </c>
      <c r="BH133" s="417"/>
      <c r="BI133" s="417"/>
      <c r="BJ133" s="417">
        <f t="shared" si="384"/>
        <v>714.24739143215834</v>
      </c>
    </row>
    <row r="134" spans="2:62" s="377" customFormat="1">
      <c r="B134" s="377" t="s">
        <v>159</v>
      </c>
      <c r="C134" s="417">
        <v>0.05</v>
      </c>
      <c r="D134" s="417">
        <f>E134-C134</f>
        <v>0.05</v>
      </c>
      <c r="E134" s="417">
        <v>0.1</v>
      </c>
      <c r="F134" s="417">
        <f>H134/2</f>
        <v>0.05</v>
      </c>
      <c r="G134" s="417">
        <f>H134-F134</f>
        <v>0.05</v>
      </c>
      <c r="H134" s="417">
        <v>0.1</v>
      </c>
      <c r="I134" s="417">
        <f>F134</f>
        <v>0.05</v>
      </c>
      <c r="J134" s="417">
        <f>K134-I134</f>
        <v>-0.05</v>
      </c>
      <c r="K134" s="418">
        <v>0</v>
      </c>
      <c r="L134" s="417">
        <f>I134</f>
        <v>0.05</v>
      </c>
      <c r="M134" s="417">
        <f>N134-L134</f>
        <v>-0.05</v>
      </c>
      <c r="N134" s="417">
        <v>0</v>
      </c>
      <c r="O134" s="417">
        <v>0</v>
      </c>
      <c r="P134" s="417">
        <f>Q134-O134</f>
        <v>0</v>
      </c>
      <c r="Q134" s="417">
        <v>0</v>
      </c>
      <c r="R134" s="417">
        <v>0</v>
      </c>
      <c r="S134" s="417">
        <f>T134-R134</f>
        <v>0</v>
      </c>
      <c r="T134" s="419"/>
      <c r="U134" s="417">
        <v>0</v>
      </c>
      <c r="V134" s="417">
        <f>W134-U134</f>
        <v>0</v>
      </c>
      <c r="W134" s="419"/>
      <c r="X134" s="417">
        <v>0</v>
      </c>
      <c r="Y134" s="417">
        <f>Z134-X134</f>
        <v>0</v>
      </c>
      <c r="Z134" s="419"/>
      <c r="AA134" s="417">
        <v>0</v>
      </c>
      <c r="AB134" s="417">
        <f>AC134-AA134</f>
        <v>0</v>
      </c>
      <c r="AC134" s="419"/>
      <c r="AD134" s="417">
        <v>0</v>
      </c>
      <c r="AE134" s="417">
        <f>AF134-AD134</f>
        <v>-0.63300000000000001</v>
      </c>
      <c r="AF134" s="417">
        <f>-AC150*1%</f>
        <v>-0.63300000000000001</v>
      </c>
      <c r="AG134" s="417">
        <v>0</v>
      </c>
      <c r="AH134" s="417">
        <f>AI134-AG134</f>
        <v>-0.94480738442804335</v>
      </c>
      <c r="AI134" s="417">
        <f>-AF150*1%</f>
        <v>-0.94480738442804335</v>
      </c>
      <c r="AJ134" s="417"/>
      <c r="AK134" s="417"/>
      <c r="AL134" s="417">
        <f>-AI150*1%</f>
        <v>-1.6125846333677778</v>
      </c>
      <c r="AM134" s="417"/>
      <c r="AN134" s="417"/>
      <c r="AO134" s="417">
        <f>-AL150*1%</f>
        <v>-2.297920379810765</v>
      </c>
      <c r="AP134" s="417"/>
      <c r="AQ134" s="417"/>
      <c r="AR134" s="417">
        <f>-AO150*1%</f>
        <v>-3.0374582149716147</v>
      </c>
      <c r="AS134" s="417"/>
      <c r="AT134" s="417"/>
      <c r="AU134" s="417">
        <f>-AR150*1%</f>
        <v>-3.8348651488844365</v>
      </c>
      <c r="AV134" s="417"/>
      <c r="AW134" s="417"/>
      <c r="AX134" s="417">
        <f>-AU150*1%</f>
        <v>-4.7155887926281999</v>
      </c>
      <c r="AY134" s="417"/>
      <c r="AZ134" s="417"/>
      <c r="BA134" s="417">
        <f>-AX150*1%</f>
        <v>-5.6403329621327609</v>
      </c>
      <c r="BB134" s="417"/>
      <c r="BC134" s="417"/>
      <c r="BD134" s="417">
        <f>-BA150*1%</f>
        <v>-6.6145432254029775</v>
      </c>
      <c r="BE134" s="417"/>
      <c r="BF134" s="417"/>
      <c r="BG134" s="417">
        <f>-BD150*1%</f>
        <v>-7.6398137480605692</v>
      </c>
      <c r="BH134" s="417"/>
      <c r="BI134" s="417"/>
      <c r="BJ134" s="417">
        <f t="shared" ref="BJ134" si="385">-BG150*1%</f>
        <v>-8.7176627982822659</v>
      </c>
    </row>
    <row r="135" spans="2:62" s="377" customFormat="1">
      <c r="B135" s="377" t="s">
        <v>160</v>
      </c>
      <c r="C135" s="417">
        <v>9.15</v>
      </c>
      <c r="D135" s="417">
        <f t="shared" ref="D135:D136" si="386">E135-C135</f>
        <v>7.9500000000000011</v>
      </c>
      <c r="E135" s="417">
        <v>17.100000000000001</v>
      </c>
      <c r="F135" s="417">
        <f>F136+F134</f>
        <v>-8.35</v>
      </c>
      <c r="G135" s="417">
        <f t="shared" ref="G135:G136" si="387">H135-F135</f>
        <v>24.549999999999997</v>
      </c>
      <c r="H135" s="417">
        <v>16.2</v>
      </c>
      <c r="I135" s="417">
        <f>F135/H135*K135</f>
        <v>-10.978703703703703</v>
      </c>
      <c r="J135" s="417">
        <f t="shared" ref="J135:J136" si="388">K135-I135</f>
        <v>32.278703703703705</v>
      </c>
      <c r="K135" s="418">
        <v>21.3</v>
      </c>
      <c r="L135" s="417">
        <f>L136-L134</f>
        <v>9.35</v>
      </c>
      <c r="M135" s="417">
        <f t="shared" ref="M135:M136" si="389">N135-L135</f>
        <v>8.4500000000000046</v>
      </c>
      <c r="N135" s="417">
        <f>55.1-37.3</f>
        <v>17.800000000000004</v>
      </c>
      <c r="O135" s="417">
        <f>O136-O134</f>
        <v>3.1</v>
      </c>
      <c r="P135" s="417">
        <f t="shared" ref="P135:P136" si="390">Q135-O135</f>
        <v>2.6999999999999997</v>
      </c>
      <c r="Q135" s="417">
        <v>5.8</v>
      </c>
      <c r="R135" s="417">
        <f>R176*R138/2</f>
        <v>0</v>
      </c>
      <c r="S135" s="417">
        <f t="shared" ref="S135:S136" si="391">T135-R135</f>
        <v>8.1</v>
      </c>
      <c r="T135" s="419">
        <v>8.1</v>
      </c>
      <c r="U135" s="417">
        <f>U176*U138/2</f>
        <v>0</v>
      </c>
      <c r="V135" s="417">
        <f t="shared" ref="V135:V136" si="392">W135-U135</f>
        <v>5.5</v>
      </c>
      <c r="W135" s="419">
        <v>5.5</v>
      </c>
      <c r="X135" s="417">
        <v>27</v>
      </c>
      <c r="Y135" s="417">
        <f t="shared" ref="Y135:Y136" si="393">Z135-X135</f>
        <v>-22.8</v>
      </c>
      <c r="Z135" s="419">
        <v>4.2</v>
      </c>
      <c r="AA135" s="417">
        <v>-32.299999999999997</v>
      </c>
      <c r="AB135" s="417">
        <f t="shared" ref="AB135:AB136" si="394">AC135-AA135</f>
        <v>39.799999999999997</v>
      </c>
      <c r="AC135" s="419">
        <v>7.5</v>
      </c>
      <c r="AD135" s="417">
        <f>AD176*AD138/2</f>
        <v>0</v>
      </c>
      <c r="AE135" s="417">
        <f t="shared" ref="AE135:AE136" si="395">AF135-AD135</f>
        <v>7.4790586358197035E-4</v>
      </c>
      <c r="AF135" s="417">
        <f t="shared" ref="AF135:AU135" si="396">AF176*AF138</f>
        <v>7.4790586358197035E-4</v>
      </c>
      <c r="AG135" s="417">
        <f>AG176*AG138/2</f>
        <v>3.7395293179098518E-4</v>
      </c>
      <c r="AH135" s="417">
        <f t="shared" ref="AH135:AH136" si="397">AI135-AG135</f>
        <v>3.7395293179098518E-4</v>
      </c>
      <c r="AI135" s="417">
        <f t="shared" si="396"/>
        <v>7.4790586358197035E-4</v>
      </c>
      <c r="AJ135" s="417"/>
      <c r="AK135" s="417"/>
      <c r="AL135" s="417">
        <f t="shared" si="396"/>
        <v>7.4790586358197035E-4</v>
      </c>
      <c r="AM135" s="417"/>
      <c r="AN135" s="417"/>
      <c r="AO135" s="417">
        <f t="shared" si="396"/>
        <v>7.4790586358197035E-4</v>
      </c>
      <c r="AP135" s="417"/>
      <c r="AQ135" s="417"/>
      <c r="AR135" s="417">
        <f t="shared" si="396"/>
        <v>7.4790586358197035E-4</v>
      </c>
      <c r="AS135" s="417"/>
      <c r="AT135" s="417"/>
      <c r="AU135" s="417">
        <f t="shared" si="396"/>
        <v>7.4790586358197035E-4</v>
      </c>
      <c r="AV135" s="417"/>
      <c r="AW135" s="417"/>
      <c r="AX135" s="417">
        <f t="shared" ref="AX135" si="398">AX176*AX138</f>
        <v>7.4790586358197035E-4</v>
      </c>
      <c r="AY135" s="417"/>
      <c r="AZ135" s="417"/>
      <c r="BA135" s="417">
        <f t="shared" ref="BA135:BD135" si="399">BA176*BA138</f>
        <v>7.4790586358197035E-4</v>
      </c>
      <c r="BB135" s="417"/>
      <c r="BC135" s="417"/>
      <c r="BD135" s="417">
        <f t="shared" si="399"/>
        <v>7.4790586358197035E-4</v>
      </c>
      <c r="BE135" s="417"/>
      <c r="BF135" s="417"/>
      <c r="BG135" s="417">
        <f t="shared" ref="BG135:BJ135" si="400">BG176*BG138</f>
        <v>7.4790586358197035E-4</v>
      </c>
      <c r="BH135" s="417"/>
      <c r="BI135" s="417"/>
      <c r="BJ135" s="417">
        <f t="shared" si="400"/>
        <v>7.4790586358197035E-4</v>
      </c>
    </row>
    <row r="136" spans="2:62" s="377" customFormat="1">
      <c r="B136" s="411" t="s">
        <v>141</v>
      </c>
      <c r="C136" s="422">
        <v>9.1</v>
      </c>
      <c r="D136" s="417">
        <f t="shared" si="386"/>
        <v>7.9</v>
      </c>
      <c r="E136" s="422">
        <f>E135-E134</f>
        <v>17</v>
      </c>
      <c r="F136" s="422">
        <f>F37</f>
        <v>-8.4</v>
      </c>
      <c r="G136" s="417">
        <f t="shared" si="387"/>
        <v>24.5</v>
      </c>
      <c r="H136" s="422">
        <f>H135-H134</f>
        <v>16.099999999999998</v>
      </c>
      <c r="I136" s="422">
        <f>I135-I134</f>
        <v>-11.028703703703703</v>
      </c>
      <c r="J136" s="417">
        <f t="shared" si="388"/>
        <v>32.328703703703702</v>
      </c>
      <c r="K136" s="423">
        <f>K134+K135</f>
        <v>21.3</v>
      </c>
      <c r="L136" s="422">
        <v>9.4</v>
      </c>
      <c r="M136" s="417">
        <f t="shared" si="389"/>
        <v>8.4000000000000039</v>
      </c>
      <c r="N136" s="422">
        <f>N134+N135</f>
        <v>17.800000000000004</v>
      </c>
      <c r="O136" s="422">
        <v>3.1</v>
      </c>
      <c r="P136" s="417">
        <f t="shared" si="390"/>
        <v>2.6999999999999997</v>
      </c>
      <c r="Q136" s="422">
        <f>Q134+Q135</f>
        <v>5.8</v>
      </c>
      <c r="R136" s="422">
        <f t="shared" ref="R136:AU136" si="401">R135+R134</f>
        <v>0</v>
      </c>
      <c r="S136" s="417">
        <f t="shared" si="391"/>
        <v>8.1</v>
      </c>
      <c r="T136" s="422">
        <f t="shared" si="401"/>
        <v>8.1</v>
      </c>
      <c r="U136" s="422">
        <f t="shared" si="401"/>
        <v>0</v>
      </c>
      <c r="V136" s="417">
        <f t="shared" si="392"/>
        <v>5.5</v>
      </c>
      <c r="W136" s="422">
        <f t="shared" si="401"/>
        <v>5.5</v>
      </c>
      <c r="X136" s="422">
        <f>X135</f>
        <v>27</v>
      </c>
      <c r="Y136" s="417">
        <f t="shared" si="393"/>
        <v>-22.8</v>
      </c>
      <c r="Z136" s="422">
        <f t="shared" si="401"/>
        <v>4.2</v>
      </c>
      <c r="AA136" s="422">
        <f t="shared" si="401"/>
        <v>-32.299999999999997</v>
      </c>
      <c r="AB136" s="417">
        <f t="shared" si="394"/>
        <v>39.799999999999997</v>
      </c>
      <c r="AC136" s="422">
        <f>AC135+AC134</f>
        <v>7.5</v>
      </c>
      <c r="AD136" s="422">
        <f t="shared" ref="AD136" si="402">AD135+AD134</f>
        <v>0</v>
      </c>
      <c r="AE136" s="417">
        <f t="shared" si="395"/>
        <v>-0.63225209413641803</v>
      </c>
      <c r="AF136" s="422">
        <f t="shared" si="401"/>
        <v>-0.63225209413641803</v>
      </c>
      <c r="AG136" s="422">
        <f t="shared" si="401"/>
        <v>3.7395293179098518E-4</v>
      </c>
      <c r="AH136" s="417">
        <f t="shared" si="397"/>
        <v>-0.94443343149625236</v>
      </c>
      <c r="AI136" s="422">
        <f t="shared" si="401"/>
        <v>-0.94405947856446137</v>
      </c>
      <c r="AJ136" s="422"/>
      <c r="AK136" s="422"/>
      <c r="AL136" s="422">
        <f t="shared" si="401"/>
        <v>-1.6118367275041958</v>
      </c>
      <c r="AM136" s="422"/>
      <c r="AN136" s="422"/>
      <c r="AO136" s="422">
        <f t="shared" si="401"/>
        <v>-2.297172473947183</v>
      </c>
      <c r="AP136" s="422"/>
      <c r="AQ136" s="422"/>
      <c r="AR136" s="422">
        <f t="shared" si="401"/>
        <v>-3.0367103091080327</v>
      </c>
      <c r="AS136" s="422"/>
      <c r="AT136" s="422"/>
      <c r="AU136" s="422">
        <f t="shared" si="401"/>
        <v>-3.8341172430208545</v>
      </c>
      <c r="AV136" s="422"/>
      <c r="AW136" s="422"/>
      <c r="AX136" s="422">
        <f t="shared" ref="AX136" si="403">AX135+AX134</f>
        <v>-4.7148408867646179</v>
      </c>
      <c r="AY136" s="422"/>
      <c r="AZ136" s="422"/>
      <c r="BA136" s="422">
        <f t="shared" ref="BA136:BD136" si="404">BA135+BA134</f>
        <v>-5.6395850562691789</v>
      </c>
      <c r="BB136" s="422"/>
      <c r="BC136" s="422"/>
      <c r="BD136" s="422">
        <f t="shared" si="404"/>
        <v>-6.6137953195393955</v>
      </c>
      <c r="BE136" s="422"/>
      <c r="BF136" s="422"/>
      <c r="BG136" s="422">
        <f t="shared" ref="BG136:BJ136" si="405">BG135+BG134</f>
        <v>-7.6390658421969873</v>
      </c>
      <c r="BH136" s="422"/>
      <c r="BI136" s="422"/>
      <c r="BJ136" s="422">
        <f t="shared" si="405"/>
        <v>-8.7169148924186839</v>
      </c>
    </row>
    <row r="137" spans="2:62" s="377" customFormat="1">
      <c r="B137" s="411" t="s">
        <v>43</v>
      </c>
      <c r="C137" s="417">
        <v>1.6107427055702914</v>
      </c>
      <c r="D137" s="417">
        <f t="shared" ref="D137:N137" si="406">+D132/D25</f>
        <v>2.9929245283018875</v>
      </c>
      <c r="E137" s="417">
        <f t="shared" si="406"/>
        <v>1.3694244604316548</v>
      </c>
      <c r="F137" s="417">
        <f t="shared" si="406"/>
        <v>1.334226389819156</v>
      </c>
      <c r="G137" s="417">
        <f t="shared" si="406"/>
        <v>2.9205801104972378</v>
      </c>
      <c r="H137" s="417">
        <f t="shared" si="406"/>
        <v>1.4379462767766067</v>
      </c>
      <c r="I137" s="417">
        <f t="shared" si="406"/>
        <v>1.7689530685920578</v>
      </c>
      <c r="J137" s="417">
        <f t="shared" si="406"/>
        <v>2.6040404040404042</v>
      </c>
      <c r="K137" s="418">
        <f t="shared" si="406"/>
        <v>1.228789323164919</v>
      </c>
      <c r="L137" s="417">
        <f t="shared" si="406"/>
        <v>4.5680678750482064</v>
      </c>
      <c r="M137" s="417">
        <f t="shared" si="406"/>
        <v>3.2931726907630519</v>
      </c>
      <c r="N137" s="417">
        <f t="shared" si="406"/>
        <v>1.6916729182295573</v>
      </c>
      <c r="O137" s="417"/>
      <c r="P137" s="417">
        <f>+P132/P25</f>
        <v>2.0868472493716843</v>
      </c>
      <c r="Q137" s="417">
        <f>+Q132/Q25</f>
        <v>0.96276732800824549</v>
      </c>
      <c r="R137" s="417"/>
      <c r="S137" s="417">
        <f>+S132/S25</f>
        <v>2.678034371643395</v>
      </c>
      <c r="T137" s="422"/>
      <c r="U137" s="417"/>
      <c r="V137" s="417">
        <f>+V132/V25</f>
        <v>2.3480078016160499</v>
      </c>
      <c r="W137" s="422"/>
      <c r="X137" s="417"/>
      <c r="Y137" s="417">
        <f>+Y132/Y25</f>
        <v>2.6967113276492096</v>
      </c>
      <c r="Z137" s="422"/>
      <c r="AA137" s="417"/>
      <c r="AB137" s="417">
        <f>+AB132/AB25</f>
        <v>3.2229246838922485</v>
      </c>
      <c r="AC137" s="422"/>
      <c r="AD137" s="417"/>
      <c r="AE137" s="417">
        <f>+AE132/AE25</f>
        <v>3.1804133809041035</v>
      </c>
      <c r="AF137" s="422"/>
      <c r="AG137" s="417"/>
      <c r="AH137" s="417">
        <f>+AH132/AH25</f>
        <v>2.7682314992331314</v>
      </c>
      <c r="AI137" s="422"/>
      <c r="AJ137" s="422"/>
      <c r="AK137" s="422"/>
      <c r="AL137" s="422"/>
      <c r="AM137" s="422"/>
      <c r="AN137" s="422"/>
      <c r="AO137" s="422"/>
      <c r="AP137" s="422"/>
      <c r="AQ137" s="422"/>
      <c r="AR137" s="422"/>
      <c r="AS137" s="422"/>
      <c r="AT137" s="422"/>
      <c r="AU137" s="422"/>
      <c r="AV137" s="422"/>
      <c r="AW137" s="422"/>
      <c r="AX137" s="422"/>
      <c r="AY137" s="422"/>
      <c r="AZ137" s="422"/>
      <c r="BA137" s="422"/>
      <c r="BB137" s="422"/>
      <c r="BC137" s="422"/>
      <c r="BD137" s="422"/>
      <c r="BE137" s="422"/>
      <c r="BF137" s="422"/>
      <c r="BG137" s="422"/>
      <c r="BH137" s="422"/>
      <c r="BI137" s="422"/>
      <c r="BJ137" s="422"/>
    </row>
    <row r="138" spans="2:62">
      <c r="B138" s="122" t="s">
        <v>120</v>
      </c>
      <c r="C138" s="557">
        <v>5.6911833307417205E-2</v>
      </c>
      <c r="D138" s="558"/>
      <c r="E138" s="557" t="e">
        <f>+E135/AVERAGE(#REF!,C132,E132)</f>
        <v>#REF!</v>
      </c>
      <c r="F138" s="557">
        <f>C138</f>
        <v>5.6911833307417205E-2</v>
      </c>
      <c r="G138" s="558"/>
      <c r="H138" s="557">
        <f>+H135/AVERAGE(E132,F132,H132)</f>
        <v>4.846429996011168E-2</v>
      </c>
      <c r="I138" s="558">
        <f>F138</f>
        <v>5.6911833307417205E-2</v>
      </c>
      <c r="J138" s="558"/>
      <c r="K138" s="559">
        <f>+K135/AVERAGE(H132,I132,K132)</f>
        <v>5.7901413555636091E-2</v>
      </c>
      <c r="L138" s="557">
        <f>+L135/AVERAGE(K132,L132)</f>
        <v>1.190173116089613E-2</v>
      </c>
      <c r="M138" s="558"/>
      <c r="N138" s="557">
        <f>+N135/AVERAGE(K132,L132,N132)</f>
        <v>2.1591460456089284E-2</v>
      </c>
      <c r="O138" s="558">
        <f>N138</f>
        <v>2.1591460456089284E-2</v>
      </c>
      <c r="P138" s="558"/>
      <c r="Q138" s="557">
        <f>+Q135/AVERAGE(N132,O132,Q132)</f>
        <v>8.214133975357597E-3</v>
      </c>
      <c r="R138" s="558">
        <f>Q138</f>
        <v>8.214133975357597E-3</v>
      </c>
      <c r="S138" s="558"/>
      <c r="T138" s="557">
        <f>+T135/AVERAGE(Q132,R132,T132)</f>
        <v>9.1253896128281175E-3</v>
      </c>
      <c r="U138" s="558">
        <f>T138</f>
        <v>9.1253896128281175E-3</v>
      </c>
      <c r="V138" s="558"/>
      <c r="W138" s="557">
        <f>+W135/AVERAGE(T132,U132,W132)</f>
        <v>6.1895115912671602E-3</v>
      </c>
      <c r="X138" s="557">
        <f>+X135/AVERAGE(U132,V132,X132)</f>
        <v>3.3244407962240909E-2</v>
      </c>
      <c r="Y138" s="558"/>
      <c r="Z138" s="557">
        <f>+Z135/AVERAGE(W132,X132,Z132)</f>
        <v>5.0474702559788467E-3</v>
      </c>
      <c r="AA138" s="557">
        <f>Z138</f>
        <v>5.0474702559788467E-3</v>
      </c>
      <c r="AB138" s="558"/>
      <c r="AC138" s="557">
        <f>+AC135/AVERAGE(Z132,AA132,AC132)</f>
        <v>7.4790586358197035E-3</v>
      </c>
      <c r="AD138" s="558">
        <f>AC138</f>
        <v>7.4790586358197035E-3</v>
      </c>
      <c r="AE138" s="558"/>
      <c r="AF138" s="558">
        <f>AC138</f>
        <v>7.4790586358197035E-3</v>
      </c>
      <c r="AG138" s="558">
        <f>AF138</f>
        <v>7.4790586358197035E-3</v>
      </c>
      <c r="AH138" s="558"/>
      <c r="AI138" s="558">
        <f>AF138</f>
        <v>7.4790586358197035E-3</v>
      </c>
      <c r="AJ138" s="558"/>
      <c r="AK138" s="558"/>
      <c r="AL138" s="558">
        <f>AI138</f>
        <v>7.4790586358197035E-3</v>
      </c>
      <c r="AM138" s="558"/>
      <c r="AN138" s="558"/>
      <c r="AO138" s="558">
        <f>AL138</f>
        <v>7.4790586358197035E-3</v>
      </c>
      <c r="AP138" s="558"/>
      <c r="AQ138" s="558"/>
      <c r="AR138" s="558">
        <f>AO138</f>
        <v>7.4790586358197035E-3</v>
      </c>
      <c r="AS138" s="558"/>
      <c r="AT138" s="558"/>
      <c r="AU138" s="558">
        <f>AR138</f>
        <v>7.4790586358197035E-3</v>
      </c>
      <c r="AV138" s="558"/>
      <c r="AW138" s="558"/>
      <c r="AX138" s="558">
        <f>AU138</f>
        <v>7.4790586358197035E-3</v>
      </c>
      <c r="AY138" s="558"/>
      <c r="AZ138" s="558"/>
      <c r="BA138" s="558">
        <f>AX138</f>
        <v>7.4790586358197035E-3</v>
      </c>
      <c r="BB138" s="558"/>
      <c r="BC138" s="558"/>
      <c r="BD138" s="558">
        <f>BA138</f>
        <v>7.4790586358197035E-3</v>
      </c>
      <c r="BE138" s="558"/>
      <c r="BF138" s="558"/>
      <c r="BG138" s="558">
        <f>BD138</f>
        <v>7.4790586358197035E-3</v>
      </c>
      <c r="BH138" s="558"/>
      <c r="BI138" s="558"/>
      <c r="BJ138" s="558">
        <f t="shared" ref="BJ138" si="407">BG138</f>
        <v>7.4790586358197035E-3</v>
      </c>
    </row>
    <row r="139" spans="2:62">
      <c r="B139" s="548" t="s">
        <v>121</v>
      </c>
      <c r="C139" s="480">
        <v>12.659340659340659</v>
      </c>
      <c r="D139" s="480"/>
      <c r="E139" s="480" t="str">
        <f>IF(E31/E37&lt;0,"N/A  ",E31/E37)</f>
        <v xml:space="preserve">N/A  </v>
      </c>
      <c r="F139" s="480" t="str">
        <f>IF(F31/F37&lt;0,"N/A  ",F31/F37)</f>
        <v xml:space="preserve">N/A  </v>
      </c>
      <c r="G139" s="480"/>
      <c r="H139" s="480" t="str">
        <f>IF(H31/H37&lt;0,"N/A  ",H31/H37)</f>
        <v xml:space="preserve">N/A  </v>
      </c>
      <c r="I139" s="480" t="str">
        <f>IF(I31/I37&lt;0,"N/A  ",I31/I37)</f>
        <v xml:space="preserve">N/A  </v>
      </c>
      <c r="J139" s="480"/>
      <c r="K139" s="481" t="str">
        <f>IF(K31/K37&lt;0,"N/A  ",K31/K37)</f>
        <v xml:space="preserve">N/A  </v>
      </c>
      <c r="L139" s="480" t="str">
        <f>IF(L31/L37&lt;0,"N/A  ",L31/L37)</f>
        <v xml:space="preserve">N/A  </v>
      </c>
      <c r="M139" s="480"/>
      <c r="N139" s="480" t="str">
        <f>IF(N31/N37&lt;0,"N/A  ",N31/N37)</f>
        <v xml:space="preserve">N/A  </v>
      </c>
      <c r="O139" s="480" t="str">
        <f>IF(O31/O37&lt;0,"N/A  ",O31/O37)</f>
        <v xml:space="preserve">N/A  </v>
      </c>
      <c r="P139" s="480"/>
      <c r="Q139" s="480" t="str">
        <f>IF(Q31/Q37&lt;0,"N/A  ",Q31/Q37)</f>
        <v xml:space="preserve">N/A  </v>
      </c>
      <c r="R139" s="480" t="str">
        <f>IF(R31/R37&lt;0,"N/A  ",R31/R37)</f>
        <v xml:space="preserve">N/A  </v>
      </c>
      <c r="S139" s="480"/>
      <c r="T139" s="480" t="str">
        <f>IF(T31/T37&lt;0,"N/A  ",T31/T37)</f>
        <v xml:space="preserve">N/A  </v>
      </c>
      <c r="U139" s="480" t="str">
        <f>IF(U31/U37&lt;0,"N/A  ",U31/U37)</f>
        <v xml:space="preserve">N/A  </v>
      </c>
      <c r="V139" s="480"/>
      <c r="W139" s="480" t="str">
        <f>IF(W31/W37&lt;0,"N/A  ",W31/W37)</f>
        <v xml:space="preserve">N/A  </v>
      </c>
      <c r="X139" s="480" t="str">
        <f>IF(X31/X37&lt;0,"N/A  ",X31/X37)</f>
        <v xml:space="preserve">N/A  </v>
      </c>
      <c r="Y139" s="480"/>
      <c r="Z139" s="480" t="str">
        <f>IF(Z31/Z37&lt;0,"N/A  ",Z31/Z37)</f>
        <v xml:space="preserve">N/A  </v>
      </c>
      <c r="AA139" s="480" t="str">
        <f>IF(AA31/AA37&lt;0,"N/A  ",AA31/AA37)</f>
        <v xml:space="preserve">N/A  </v>
      </c>
      <c r="AB139" s="480"/>
      <c r="AC139" s="480" t="str">
        <f>IF(AC31/AC37&lt;0,"N/A  ",AC31/AC37)</f>
        <v xml:space="preserve">N/A  </v>
      </c>
      <c r="AD139" s="480" t="str">
        <f>IF(AD31/AD37&lt;0,"N/A  ",AD31/AD37)</f>
        <v xml:space="preserve">N/A  </v>
      </c>
      <c r="AE139" s="480"/>
      <c r="AF139" s="480" t="str">
        <f>IF(AF31/AF37&lt;0,"N/A  ",AF31/AF37)</f>
        <v xml:space="preserve">N/A  </v>
      </c>
      <c r="AG139" s="480" t="str">
        <f>IF(AG31/AG37&lt;0,"N/A  ",AG31/AG37)</f>
        <v xml:space="preserve">N/A  </v>
      </c>
      <c r="AH139" s="480"/>
      <c r="AI139" s="480" t="str">
        <f>IF(AI31/AI37&lt;0,"N/A  ",AI31/AI37)</f>
        <v xml:space="preserve">N/A  </v>
      </c>
      <c r="AJ139" s="480"/>
      <c r="AK139" s="480"/>
      <c r="AL139" s="480" t="str">
        <f>IF(AL31/AL37&lt;0,"N/A  ",AL31/AL37)</f>
        <v xml:space="preserve">N/A  </v>
      </c>
      <c r="AM139" s="480"/>
      <c r="AN139" s="480"/>
      <c r="AO139" s="480" t="str">
        <f>IF(AO31/AO37&lt;0,"N/A  ",AO31/AO37)</f>
        <v xml:space="preserve">N/A  </v>
      </c>
      <c r="AP139" s="480"/>
      <c r="AQ139" s="480"/>
      <c r="AR139" s="480" t="str">
        <f>IF(AR31/AR37&lt;0,"N/A  ",AR31/AR37)</f>
        <v xml:space="preserve">N/A  </v>
      </c>
      <c r="AS139" s="480"/>
      <c r="AT139" s="480"/>
      <c r="AU139" s="480" t="str">
        <f>IF(AU31/AU37&lt;0,"N/A  ",AU31/AU37)</f>
        <v xml:space="preserve">N/A  </v>
      </c>
      <c r="AV139" s="480"/>
      <c r="AW139" s="480"/>
      <c r="AX139" s="480" t="str">
        <f>IF(AX31/AX37&lt;0,"N/A  ",AX31/AX37)</f>
        <v xml:space="preserve">N/A  </v>
      </c>
      <c r="AY139" s="480"/>
      <c r="AZ139" s="480"/>
      <c r="BA139" s="480" t="str">
        <f>IF(BA31/BA37&lt;0,"N/A  ",BA31/BA37)</f>
        <v xml:space="preserve">N/A  </v>
      </c>
      <c r="BB139" s="480"/>
      <c r="BC139" s="480"/>
      <c r="BD139" s="480" t="str">
        <f>IF(BD31/BD37&lt;0,"N/A  ",BD31/BD37)</f>
        <v xml:space="preserve">N/A  </v>
      </c>
      <c r="BE139" s="480"/>
      <c r="BF139" s="480"/>
      <c r="BG139" s="480" t="str">
        <f>IF(BG31/BG37&lt;0,"N/A  ",BG31/BG37)</f>
        <v xml:space="preserve">N/A  </v>
      </c>
      <c r="BH139" s="480"/>
      <c r="BI139" s="480"/>
      <c r="BJ139" s="480" t="str">
        <f>IF(BJ31/BJ37&lt;0,"N/A  ",BJ31/BJ37)</f>
        <v xml:space="preserve">N/A  </v>
      </c>
    </row>
    <row r="140" spans="2:62">
      <c r="B140" s="548" t="s">
        <v>58</v>
      </c>
      <c r="C140" s="473">
        <v>2.7479737553068314E-2</v>
      </c>
      <c r="D140" s="473"/>
      <c r="E140" s="473">
        <f>E106/E6</f>
        <v>2.8678482931779822E-2</v>
      </c>
      <c r="F140" s="473">
        <f>F106/F6</f>
        <v>2.6964917980543804E-2</v>
      </c>
      <c r="G140" s="473"/>
      <c r="H140" s="473">
        <f>H106/H6</f>
        <v>2.898381574852164E-2</v>
      </c>
      <c r="I140" s="473">
        <f>I106/I6</f>
        <v>2.9688167449807769E-2</v>
      </c>
      <c r="J140" s="473"/>
      <c r="K140" s="560">
        <f>K106/K6</f>
        <v>3.1918030370042753E-2</v>
      </c>
      <c r="L140" s="473">
        <f>L106/L6</f>
        <v>9.0883901357716831E-2</v>
      </c>
      <c r="M140" s="473"/>
      <c r="N140" s="473">
        <f>N106/N6</f>
        <v>9.4924612444255707E-2</v>
      </c>
      <c r="O140" s="473">
        <f>O106/O6</f>
        <v>8.2287386728204001E-2</v>
      </c>
      <c r="P140" s="473"/>
      <c r="Q140" s="473">
        <f>Q106/Q6</f>
        <v>8.6704700124525802E-2</v>
      </c>
      <c r="R140" s="473">
        <f>R106/R6</f>
        <v>8.5972319962467736E-2</v>
      </c>
      <c r="S140" s="473"/>
      <c r="T140" s="473">
        <f>T106/T6</f>
        <v>8.59476203886229E-2</v>
      </c>
      <c r="U140" s="473">
        <f>U106/U6</f>
        <v>8.35375816993464E-2</v>
      </c>
      <c r="V140" s="473"/>
      <c r="W140" s="473">
        <f>W106/W6</f>
        <v>8.6672977805827278E-2</v>
      </c>
      <c r="X140" s="473">
        <f>X106/X6</f>
        <v>8.5280142546030488E-2</v>
      </c>
      <c r="Y140" s="473"/>
      <c r="Z140" s="473">
        <f>Z106/Z6</f>
        <v>8.7102091274338114E-2</v>
      </c>
      <c r="AA140" s="473">
        <f>AA106/AA6</f>
        <v>8.30960516324981E-2</v>
      </c>
      <c r="AB140" s="473"/>
      <c r="AC140" s="473">
        <f>AC106/AC6</f>
        <v>8.7928538123634936E-2</v>
      </c>
      <c r="AD140" s="473">
        <f>AD106/AD6</f>
        <v>8.5023001869018941E-2</v>
      </c>
      <c r="AE140" s="473"/>
      <c r="AF140" s="473">
        <f>AF106/AF6</f>
        <v>8.7292001237890424E-2</v>
      </c>
      <c r="AG140" s="473">
        <f>AG106/AG6</f>
        <v>8.5042467988322656E-2</v>
      </c>
      <c r="AH140" s="473"/>
      <c r="AI140" s="473">
        <f>AI106/AI6</f>
        <v>8.6972685118927376E-2</v>
      </c>
      <c r="AJ140" s="473"/>
      <c r="AK140" s="473"/>
      <c r="AL140" s="473">
        <f>AL106/AL6</f>
        <v>8.6894383402150235E-2</v>
      </c>
      <c r="AM140" s="473"/>
      <c r="AN140" s="473"/>
      <c r="AO140" s="473">
        <f>AO106/AO6</f>
        <v>8.6816911605572658E-2</v>
      </c>
      <c r="AP140" s="473"/>
      <c r="AQ140" s="473"/>
      <c r="AR140" s="473">
        <f>AR106/AR6</f>
        <v>8.676705716055437E-2</v>
      </c>
      <c r="AS140" s="473"/>
      <c r="AT140" s="473"/>
      <c r="AU140" s="473">
        <f>AU106/AU6</f>
        <v>8.6748102352883216E-2</v>
      </c>
      <c r="AV140" s="473"/>
      <c r="AW140" s="473"/>
      <c r="AX140" s="473">
        <f>AX106/AX6</f>
        <v>8.677440648717466E-2</v>
      </c>
      <c r="AY140" s="473"/>
      <c r="AZ140" s="473"/>
      <c r="BA140" s="473">
        <f>BA106/BA6</f>
        <v>8.6800989384172911E-2</v>
      </c>
      <c r="BB140" s="473"/>
      <c r="BC140" s="473"/>
      <c r="BD140" s="473">
        <f>BD106/BD6</f>
        <v>8.6827840079502103E-2</v>
      </c>
      <c r="BE140" s="473"/>
      <c r="BF140" s="473"/>
      <c r="BG140" s="473">
        <f>BG106/BG6</f>
        <v>8.6854947790255099E-2</v>
      </c>
      <c r="BH140" s="473"/>
      <c r="BI140" s="473"/>
      <c r="BJ140" s="473">
        <f>BJ106/BJ6</f>
        <v>8.688230191324306E-2</v>
      </c>
    </row>
    <row r="141" spans="2:62">
      <c r="B141" s="548"/>
      <c r="C141" s="473"/>
      <c r="D141" s="473"/>
      <c r="E141" s="473"/>
      <c r="F141" s="473"/>
      <c r="G141" s="473"/>
      <c r="H141" s="473"/>
      <c r="I141" s="473"/>
      <c r="J141" s="473"/>
      <c r="K141" s="560"/>
      <c r="L141" s="473"/>
      <c r="M141" s="473"/>
      <c r="N141" s="473"/>
      <c r="O141" s="473"/>
      <c r="P141" s="473"/>
      <c r="Q141" s="473"/>
      <c r="R141" s="473"/>
      <c r="S141" s="473"/>
      <c r="T141" s="473"/>
      <c r="U141" s="473"/>
      <c r="V141" s="473"/>
      <c r="W141" s="473"/>
      <c r="X141" s="473"/>
      <c r="Y141" s="473"/>
      <c r="Z141" s="473"/>
      <c r="AA141" s="473"/>
      <c r="AB141" s="473"/>
      <c r="AC141" s="473"/>
      <c r="AD141" s="473"/>
      <c r="AE141" s="473"/>
      <c r="AF141" s="473"/>
      <c r="AG141" s="473"/>
      <c r="AH141" s="473"/>
      <c r="AI141" s="473"/>
      <c r="AJ141" s="473"/>
      <c r="AK141" s="473"/>
      <c r="AL141" s="473"/>
      <c r="AM141" s="473"/>
      <c r="AN141" s="473"/>
      <c r="AO141" s="473"/>
      <c r="AP141" s="473"/>
      <c r="AQ141" s="473"/>
      <c r="AR141" s="473"/>
      <c r="AS141" s="473"/>
      <c r="AT141" s="473"/>
      <c r="AU141" s="473"/>
      <c r="AV141" s="473"/>
      <c r="AW141" s="473"/>
      <c r="AX141" s="473"/>
      <c r="AY141" s="473"/>
      <c r="AZ141" s="473"/>
      <c r="BA141" s="473"/>
      <c r="BB141" s="473"/>
      <c r="BC141" s="473"/>
      <c r="BD141" s="473"/>
      <c r="BE141" s="473"/>
      <c r="BF141" s="473"/>
      <c r="BG141" s="473"/>
      <c r="BH141" s="473"/>
      <c r="BI141" s="473"/>
      <c r="BJ141" s="473"/>
    </row>
    <row r="142" spans="2:62" s="123" customFormat="1">
      <c r="B142" s="123" t="s">
        <v>145</v>
      </c>
      <c r="C142" s="499">
        <v>199.5</v>
      </c>
      <c r="D142" s="499">
        <f>E142-C142</f>
        <v>-84.09999999999998</v>
      </c>
      <c r="E142" s="499">
        <f>E111+E113+E114</f>
        <v>115.40000000000002</v>
      </c>
      <c r="F142" s="499">
        <f>F111+F113+F114</f>
        <v>231.50000000000003</v>
      </c>
      <c r="G142" s="499">
        <f>H142-F142</f>
        <v>-48.30000000000004</v>
      </c>
      <c r="H142" s="499">
        <f>H111+H113+H114</f>
        <v>183.2</v>
      </c>
      <c r="I142" s="499">
        <f>I111+I113+I114</f>
        <v>184.5</v>
      </c>
      <c r="J142" s="499">
        <f>K142-I142</f>
        <v>-49.400000000000006</v>
      </c>
      <c r="K142" s="502">
        <f>K111+K113+K114</f>
        <v>135.1</v>
      </c>
      <c r="L142" s="499">
        <f>L111+L113+L114</f>
        <v>274.3</v>
      </c>
      <c r="M142" s="499">
        <f>N142-L142</f>
        <v>214.8</v>
      </c>
      <c r="N142" s="499">
        <f>N111+N113+N114</f>
        <v>489.1</v>
      </c>
      <c r="O142" s="499">
        <f>O111+O113+O114</f>
        <v>475.20000000000005</v>
      </c>
      <c r="P142" s="499">
        <f>Q142-O142</f>
        <v>-2.1000000000000227</v>
      </c>
      <c r="Q142" s="499">
        <f>Q111+Q113+Q114</f>
        <v>473.1</v>
      </c>
      <c r="R142" s="499">
        <f>R111+R113+R114</f>
        <v>72.599999999999994</v>
      </c>
      <c r="S142" s="499">
        <f>T142-R142</f>
        <v>99.19999999999996</v>
      </c>
      <c r="T142" s="499">
        <f>T111+T113+T114</f>
        <v>171.79999999999995</v>
      </c>
      <c r="U142" s="499">
        <f>U111+U113+U114</f>
        <v>379.3</v>
      </c>
      <c r="V142" s="499">
        <f>W142-U142</f>
        <v>182.7</v>
      </c>
      <c r="W142" s="499">
        <f t="shared" ref="W142:AU142" si="408">W111+W113+W114</f>
        <v>562</v>
      </c>
      <c r="X142" s="499">
        <f>X111+X113+X114</f>
        <v>369.29999999999995</v>
      </c>
      <c r="Y142" s="499">
        <f>Z142-X142</f>
        <v>75.300000000000011</v>
      </c>
      <c r="Z142" s="499">
        <f t="shared" ref="Z142" si="409">Z111+Z113+Z114</f>
        <v>444.59999999999997</v>
      </c>
      <c r="AA142" s="499">
        <f>AA111+AA113+AA114</f>
        <v>258.60000000000002</v>
      </c>
      <c r="AB142" s="499">
        <f>AC142-AA142</f>
        <v>85.299999999999955</v>
      </c>
      <c r="AC142" s="499">
        <f t="shared" si="408"/>
        <v>343.9</v>
      </c>
      <c r="AD142" s="499">
        <f>AD111+AD113+AD114</f>
        <v>340.56603823643405</v>
      </c>
      <c r="AE142" s="499">
        <f>AF142-AD142</f>
        <v>135.23119272637024</v>
      </c>
      <c r="AF142" s="499">
        <f t="shared" si="408"/>
        <v>475.79723096280429</v>
      </c>
      <c r="AG142" s="499">
        <f>AG111+AG113+AG114</f>
        <v>334.32012992370176</v>
      </c>
      <c r="AH142" s="499">
        <f>AI142-AG142</f>
        <v>159.70927266056492</v>
      </c>
      <c r="AI142" s="499">
        <f t="shared" si="408"/>
        <v>494.02940258426668</v>
      </c>
      <c r="AJ142" s="499"/>
      <c r="AK142" s="499"/>
      <c r="AL142" s="499">
        <f t="shared" si="408"/>
        <v>526.45814988468396</v>
      </c>
      <c r="AM142" s="499"/>
      <c r="AN142" s="499"/>
      <c r="AO142" s="499">
        <f t="shared" si="408"/>
        <v>556.31166837806597</v>
      </c>
      <c r="AP142" s="499"/>
      <c r="AQ142" s="499"/>
      <c r="AR142" s="499">
        <f t="shared" si="408"/>
        <v>583.25101320451108</v>
      </c>
      <c r="AS142" s="499"/>
      <c r="AT142" s="499"/>
      <c r="AU142" s="499">
        <f t="shared" si="408"/>
        <v>608.95190327660623</v>
      </c>
      <c r="AV142" s="499"/>
      <c r="AW142" s="499"/>
      <c r="AX142" s="499">
        <f t="shared" ref="AX142" si="410">AX111+AX113+AX114</f>
        <v>632.74573492427703</v>
      </c>
      <c r="AY142" s="499"/>
      <c r="AZ142" s="499"/>
      <c r="BA142" s="499">
        <f t="shared" ref="BA142:BD142" si="411">BA111+BA113+BA114</f>
        <v>656.53332108749532</v>
      </c>
      <c r="BB142" s="499"/>
      <c r="BC142" s="499"/>
      <c r="BD142" s="499">
        <f t="shared" si="411"/>
        <v>681.26511779313694</v>
      </c>
      <c r="BE142" s="499"/>
      <c r="BF142" s="499"/>
      <c r="BG142" s="499">
        <f t="shared" ref="BG142:BJ142" si="412">BG111+BG113+BG114</f>
        <v>706.98244965357537</v>
      </c>
      <c r="BH142" s="499"/>
      <c r="BI142" s="499"/>
      <c r="BJ142" s="499">
        <f t="shared" si="412"/>
        <v>733.728258588985</v>
      </c>
    </row>
    <row r="143" spans="2:62" s="123" customFormat="1">
      <c r="B143" s="123" t="s">
        <v>146</v>
      </c>
      <c r="C143" s="499">
        <v>157</v>
      </c>
      <c r="D143" s="499">
        <f>E143-C143</f>
        <v>-126.39999999999998</v>
      </c>
      <c r="E143" s="499">
        <f>E142+E123+E125</f>
        <v>30.600000000000023</v>
      </c>
      <c r="F143" s="499">
        <f>F142+F123+F125</f>
        <v>182.20000000000005</v>
      </c>
      <c r="G143" s="499">
        <f>H143-F143</f>
        <v>-90.70000000000006</v>
      </c>
      <c r="H143" s="499">
        <f>H142+H123+H125</f>
        <v>91.499999999999986</v>
      </c>
      <c r="I143" s="499">
        <f>I142+I123+I125</f>
        <v>130.19999999999999</v>
      </c>
      <c r="J143" s="499">
        <f>K143-I143</f>
        <v>-91.8</v>
      </c>
      <c r="K143" s="502">
        <f>K142+K123+K125</f>
        <v>38.399999999999991</v>
      </c>
      <c r="L143" s="499">
        <f>L142+L123+L125</f>
        <v>218.10000000000002</v>
      </c>
      <c r="M143" s="499">
        <f>N143-L143</f>
        <v>371.79999999999995</v>
      </c>
      <c r="N143" s="499">
        <f>N142+N123+N125</f>
        <v>589.9</v>
      </c>
      <c r="O143" s="499">
        <f>O142+O123+O125</f>
        <v>472.6</v>
      </c>
      <c r="P143" s="499">
        <f>Q143-O143</f>
        <v>-76.600000000000023</v>
      </c>
      <c r="Q143" s="499">
        <f>Q142+Q123+Q125</f>
        <v>396</v>
      </c>
      <c r="R143" s="499">
        <f>R142+R123+R125</f>
        <v>-51.7</v>
      </c>
      <c r="S143" s="499">
        <f>T143-R143</f>
        <v>38.299999999999969</v>
      </c>
      <c r="T143" s="499">
        <f>T142+T123+T125</f>
        <v>-13.400000000000034</v>
      </c>
      <c r="U143" s="499">
        <f>U142+U123+U125</f>
        <v>282.20000000000005</v>
      </c>
      <c r="V143" s="499"/>
      <c r="W143" s="499">
        <f t="shared" ref="W143:AU143" si="413">W142+W123+W125</f>
        <v>388.1</v>
      </c>
      <c r="X143" s="499">
        <f>X142+X123+X125</f>
        <v>213.49999999999994</v>
      </c>
      <c r="Y143" s="499"/>
      <c r="Z143" s="499">
        <f t="shared" ref="Z143" si="414">Z142+Z123+Z125</f>
        <v>216.49999999999997</v>
      </c>
      <c r="AA143" s="499">
        <f>AA142+AA123+AA125</f>
        <v>62.100000000000023</v>
      </c>
      <c r="AB143" s="499"/>
      <c r="AC143" s="499">
        <f t="shared" si="413"/>
        <v>75.099999999999966</v>
      </c>
      <c r="AD143" s="499">
        <f>AD142+AD123+AD125</f>
        <v>194.89385775643404</v>
      </c>
      <c r="AE143" s="499"/>
      <c r="AF143" s="499">
        <f t="shared" si="413"/>
        <v>280.0502384428043</v>
      </c>
      <c r="AG143" s="499">
        <f>AG142+AG123+AG125</f>
        <v>231.86754130700677</v>
      </c>
      <c r="AH143" s="499"/>
      <c r="AI143" s="499">
        <f t="shared" si="413"/>
        <v>332.39749064757166</v>
      </c>
      <c r="AJ143" s="499"/>
      <c r="AK143" s="499"/>
      <c r="AL143" s="499">
        <f t="shared" si="413"/>
        <v>342.81407606307761</v>
      </c>
      <c r="AM143" s="499"/>
      <c r="AN143" s="499"/>
      <c r="AO143" s="499">
        <f t="shared" si="413"/>
        <v>358.89856549930391</v>
      </c>
      <c r="AP143" s="499"/>
      <c r="AQ143" s="499"/>
      <c r="AR143" s="499">
        <f t="shared" si="413"/>
        <v>373.30455238089212</v>
      </c>
      <c r="AS143" s="499"/>
      <c r="AT143" s="499"/>
      <c r="AU143" s="499">
        <f t="shared" si="413"/>
        <v>390.58752017223469</v>
      </c>
      <c r="AV143" s="499"/>
      <c r="AW143" s="499"/>
      <c r="AX143" s="499">
        <f t="shared" ref="AX143" si="415">AX142+AX123+AX125</f>
        <v>404.293673506201</v>
      </c>
      <c r="AY143" s="499"/>
      <c r="AZ143" s="499"/>
      <c r="BA143" s="499">
        <f t="shared" ref="BA143:BD143" si="416">BA142+BA123+BA125</f>
        <v>418.91905302110888</v>
      </c>
      <c r="BB143" s="499"/>
      <c r="BC143" s="499"/>
      <c r="BD143" s="499">
        <f t="shared" si="416"/>
        <v>434.10172701078568</v>
      </c>
      <c r="BE143" s="499"/>
      <c r="BF143" s="499"/>
      <c r="BG143" s="499">
        <f t="shared" ref="BG143:BJ143" si="417">BG142+BG123+BG125</f>
        <v>449.85872144332035</v>
      </c>
      <c r="BH143" s="499"/>
      <c r="BI143" s="499"/>
      <c r="BJ143" s="499">
        <f t="shared" si="417"/>
        <v>463.93697402314194</v>
      </c>
    </row>
    <row r="144" spans="2:62" s="123" customFormat="1">
      <c r="C144" s="499"/>
      <c r="D144" s="499"/>
      <c r="E144" s="499"/>
      <c r="F144" s="499"/>
      <c r="G144" s="499"/>
      <c r="H144" s="499"/>
      <c r="I144" s="499"/>
      <c r="J144" s="499"/>
      <c r="K144" s="502"/>
      <c r="L144" s="499"/>
      <c r="M144" s="499"/>
      <c r="N144" s="499"/>
      <c r="O144" s="499"/>
      <c r="P144" s="499"/>
      <c r="Q144" s="499"/>
      <c r="R144" s="499"/>
      <c r="S144" s="499"/>
      <c r="T144" s="499"/>
      <c r="U144" s="499"/>
      <c r="V144" s="499"/>
      <c r="W144" s="499"/>
      <c r="X144" s="499"/>
      <c r="Y144" s="499"/>
      <c r="Z144" s="499"/>
      <c r="AA144" s="499"/>
      <c r="AB144" s="499"/>
      <c r="AC144" s="499"/>
      <c r="AD144" s="499"/>
      <c r="AE144" s="499"/>
      <c r="AF144" s="499"/>
      <c r="AG144" s="499"/>
      <c r="AH144" s="499"/>
      <c r="AI144" s="499"/>
      <c r="AJ144" s="499"/>
      <c r="AK144" s="499"/>
      <c r="AL144" s="499"/>
      <c r="AM144" s="499"/>
      <c r="AN144" s="499"/>
      <c r="AO144" s="499"/>
      <c r="AP144" s="499"/>
      <c r="AQ144" s="499"/>
      <c r="AR144" s="499"/>
      <c r="AS144" s="499"/>
      <c r="AT144" s="499"/>
      <c r="AU144" s="499"/>
      <c r="AV144" s="499"/>
      <c r="AW144" s="499"/>
      <c r="AX144" s="499"/>
      <c r="AY144" s="499"/>
      <c r="AZ144" s="499"/>
      <c r="BA144" s="499"/>
      <c r="BB144" s="499"/>
      <c r="BC144" s="499"/>
      <c r="BD144" s="499"/>
      <c r="BE144" s="499"/>
      <c r="BF144" s="499"/>
      <c r="BG144" s="499"/>
      <c r="BH144" s="499"/>
      <c r="BI144" s="499"/>
      <c r="BJ144" s="499"/>
    </row>
    <row r="145" spans="2:62">
      <c r="B145" s="123" t="s">
        <v>423</v>
      </c>
      <c r="C145" s="473">
        <v>1.6074270557029178</v>
      </c>
      <c r="D145" s="473" t="e">
        <v>#DIV/0!</v>
      </c>
      <c r="E145" s="473">
        <f>E111/E99</f>
        <v>0.78237410071942448</v>
      </c>
      <c r="F145" s="473">
        <f>F111/F99</f>
        <v>1.9276624246483589</v>
      </c>
      <c r="G145" s="473"/>
      <c r="H145" s="473">
        <f>H111/H99</f>
        <v>0.98707922475348497</v>
      </c>
      <c r="I145" s="473">
        <f>I111/I99</f>
        <v>1.3531889290012036</v>
      </c>
      <c r="J145" s="480"/>
      <c r="K145" s="560">
        <f>K111/K99</f>
        <v>0.7146488719415317</v>
      </c>
      <c r="L145" s="473">
        <f>L111/L99</f>
        <v>1.2036251446201311</v>
      </c>
      <c r="M145" s="480"/>
      <c r="N145" s="473">
        <f>N111/N99</f>
        <v>1.0444486121530381</v>
      </c>
      <c r="O145" s="473">
        <f>O111/O99</f>
        <v>1.2068883042334371</v>
      </c>
      <c r="P145" s="480"/>
      <c r="Q145" s="473">
        <f>Q111/Q99</f>
        <v>0.71901571759855709</v>
      </c>
      <c r="R145" s="473">
        <f>R111/R99</f>
        <v>0.41256830601092903</v>
      </c>
      <c r="S145" s="480"/>
      <c r="T145" s="473">
        <f>T111/T99</f>
        <v>0.4229125106868053</v>
      </c>
      <c r="U145" s="473">
        <f t="shared" ref="U145:AU145" si="418">U111/U99</f>
        <v>1.03114956736712</v>
      </c>
      <c r="V145" s="473">
        <f t="shared" si="418"/>
        <v>0.70604625243800501</v>
      </c>
      <c r="W145" s="473">
        <f t="shared" si="418"/>
        <v>0.8783075713911449</v>
      </c>
      <c r="X145" s="473">
        <f t="shared" ref="X145" si="419">X111/X99</f>
        <v>1.1253731343283582</v>
      </c>
      <c r="Y145" s="473">
        <f t="shared" ref="Y145:Z145" si="420">Y111/Y99</f>
        <v>0.38702801461632164</v>
      </c>
      <c r="Z145" s="473">
        <f t="shared" si="420"/>
        <v>0.79340087623220157</v>
      </c>
      <c r="AA145" s="473">
        <f t="shared" si="418"/>
        <v>0.91430033256587373</v>
      </c>
      <c r="AB145" s="473">
        <f t="shared" si="418"/>
        <v>0.41753710830126411</v>
      </c>
      <c r="AC145" s="473">
        <f>AC111/AC99</f>
        <v>0.67483768384788645</v>
      </c>
      <c r="AD145" s="473">
        <f t="shared" ref="AD145:AE145" si="421">AD111/AD99</f>
        <v>1.0364510380313445</v>
      </c>
      <c r="AE145" s="473">
        <f t="shared" si="421"/>
        <v>0.57108781554137011</v>
      </c>
      <c r="AF145" s="473">
        <f t="shared" si="418"/>
        <v>0.81315769958448902</v>
      </c>
      <c r="AG145" s="473">
        <f t="shared" si="418"/>
        <v>0.95107375610682932</v>
      </c>
      <c r="AH145" s="473">
        <f t="shared" si="418"/>
        <v>0.58399017583496859</v>
      </c>
      <c r="AI145" s="473">
        <f t="shared" si="418"/>
        <v>0.77287742165851292</v>
      </c>
      <c r="AJ145" s="473"/>
      <c r="AK145" s="473"/>
      <c r="AL145" s="473">
        <f t="shared" si="418"/>
        <v>0.77613700201617564</v>
      </c>
      <c r="AM145" s="473"/>
      <c r="AN145" s="473"/>
      <c r="AO145" s="473">
        <f t="shared" si="418"/>
        <v>0.78065731438607389</v>
      </c>
      <c r="AP145" s="473"/>
      <c r="AQ145" s="473"/>
      <c r="AR145" s="473">
        <f t="shared" si="418"/>
        <v>0.78345733547718754</v>
      </c>
      <c r="AS145" s="473"/>
      <c r="AT145" s="473"/>
      <c r="AU145" s="473">
        <f t="shared" si="418"/>
        <v>0.78626289570100916</v>
      </c>
      <c r="AV145" s="473"/>
      <c r="AW145" s="473"/>
      <c r="AX145" s="473">
        <f t="shared" ref="AX145" si="422">AX111/AX99</f>
        <v>0.78904771387745121</v>
      </c>
      <c r="AY145" s="473"/>
      <c r="AZ145" s="473"/>
      <c r="BA145" s="473">
        <f t="shared" ref="BA145:BD145" si="423">BA111/BA99</f>
        <v>0.79097473347497183</v>
      </c>
      <c r="BB145" s="473"/>
      <c r="BC145" s="473"/>
      <c r="BD145" s="473">
        <f t="shared" si="423"/>
        <v>0.792942717371249</v>
      </c>
      <c r="BE145" s="473"/>
      <c r="BF145" s="473"/>
      <c r="BG145" s="473">
        <f t="shared" ref="BG145:BJ145" si="424">BG111/BG99</f>
        <v>0.79495416832240007</v>
      </c>
      <c r="BH145" s="473"/>
      <c r="BI145" s="473"/>
      <c r="BJ145" s="473">
        <f t="shared" si="424"/>
        <v>0.79701129930169268</v>
      </c>
    </row>
    <row r="146" spans="2:62">
      <c r="B146" s="548"/>
      <c r="C146" s="482"/>
      <c r="D146" s="482"/>
      <c r="E146" s="482"/>
      <c r="F146" s="482"/>
      <c r="G146" s="482"/>
      <c r="H146" s="482"/>
      <c r="I146" s="482"/>
      <c r="J146" s="482"/>
      <c r="K146" s="556"/>
      <c r="L146" s="482"/>
      <c r="M146" s="482"/>
      <c r="N146" s="482"/>
      <c r="O146" s="482"/>
      <c r="P146" s="482"/>
      <c r="Q146" s="482"/>
      <c r="R146" s="482"/>
      <c r="S146" s="482"/>
      <c r="T146" s="482"/>
      <c r="U146" s="482"/>
      <c r="V146" s="482"/>
      <c r="W146" s="482"/>
      <c r="X146" s="482"/>
      <c r="Y146" s="482"/>
      <c r="Z146" s="482"/>
      <c r="AA146" s="482"/>
      <c r="AB146" s="482"/>
      <c r="AC146" s="482"/>
      <c r="AD146" s="482"/>
      <c r="AE146" s="482"/>
      <c r="AF146" s="482"/>
      <c r="AG146" s="482"/>
      <c r="AH146" s="482"/>
      <c r="AI146" s="482"/>
      <c r="AJ146" s="482"/>
      <c r="AK146" s="482"/>
      <c r="AL146" s="482"/>
      <c r="AM146" s="482"/>
      <c r="AN146" s="482"/>
      <c r="AO146" s="482"/>
      <c r="AP146" s="482"/>
      <c r="AQ146" s="482"/>
      <c r="AR146" s="482"/>
      <c r="AS146" s="482"/>
      <c r="AT146" s="482"/>
      <c r="AU146" s="482"/>
      <c r="AV146" s="482"/>
      <c r="AW146" s="482"/>
      <c r="AX146" s="482"/>
      <c r="AY146" s="482"/>
      <c r="AZ146" s="482"/>
      <c r="BA146" s="482"/>
      <c r="BB146" s="482"/>
      <c r="BC146" s="482"/>
      <c r="BD146" s="482"/>
      <c r="BE146" s="482"/>
      <c r="BF146" s="482"/>
      <c r="BG146" s="482"/>
      <c r="BH146" s="482"/>
      <c r="BI146" s="482"/>
      <c r="BJ146" s="482"/>
    </row>
    <row r="147" spans="2:62" s="543" customFormat="1">
      <c r="B147" s="619" t="s">
        <v>122</v>
      </c>
      <c r="C147" s="629"/>
      <c r="D147" s="629"/>
      <c r="E147" s="629"/>
      <c r="F147" s="629"/>
      <c r="G147" s="629"/>
      <c r="H147" s="629"/>
      <c r="I147" s="629"/>
      <c r="J147" s="629"/>
      <c r="K147" s="630"/>
      <c r="L147" s="629"/>
      <c r="M147" s="631"/>
      <c r="N147" s="629"/>
      <c r="O147" s="629"/>
      <c r="P147" s="629"/>
      <c r="Q147" s="629"/>
      <c r="R147" s="629"/>
      <c r="S147" s="629"/>
      <c r="T147" s="629"/>
      <c r="U147" s="629"/>
      <c r="V147" s="629"/>
      <c r="W147" s="629"/>
      <c r="X147" s="629"/>
      <c r="Y147" s="629"/>
      <c r="Z147" s="629"/>
      <c r="AA147" s="629"/>
      <c r="AB147" s="629"/>
      <c r="AC147" s="629"/>
      <c r="AD147" s="629"/>
      <c r="AE147" s="629"/>
      <c r="AF147" s="629"/>
      <c r="AG147" s="629"/>
      <c r="AH147" s="629"/>
      <c r="AI147" s="629"/>
      <c r="AJ147" s="629"/>
      <c r="AK147" s="629"/>
      <c r="AL147" s="629"/>
      <c r="AM147" s="629"/>
      <c r="AN147" s="629"/>
      <c r="AO147" s="629"/>
      <c r="AP147" s="629"/>
      <c r="AQ147" s="629"/>
      <c r="AR147" s="629"/>
      <c r="AS147" s="629"/>
      <c r="AT147" s="629"/>
      <c r="AU147" s="629"/>
      <c r="AV147" s="629"/>
      <c r="AW147" s="629"/>
      <c r="AX147" s="629"/>
      <c r="AY147" s="629"/>
      <c r="AZ147" s="629"/>
      <c r="BA147" s="629"/>
      <c r="BB147" s="629"/>
      <c r="BC147" s="629"/>
      <c r="BD147" s="629"/>
      <c r="BE147" s="629"/>
      <c r="BF147" s="629"/>
      <c r="BG147" s="629"/>
      <c r="BH147" s="629"/>
      <c r="BI147" s="629"/>
      <c r="BJ147" s="629"/>
    </row>
    <row r="148" spans="2:62">
      <c r="B148" s="125"/>
      <c r="C148" s="561"/>
      <c r="L148" s="480"/>
      <c r="M148" s="480"/>
    </row>
    <row r="149" spans="2:62">
      <c r="B149" s="125" t="s">
        <v>123</v>
      </c>
      <c r="C149" s="561"/>
    </row>
    <row r="150" spans="2:62" s="377" customFormat="1">
      <c r="B150" s="377" t="s">
        <v>0</v>
      </c>
      <c r="C150" s="417">
        <v>28.9</v>
      </c>
      <c r="D150" s="417">
        <f>E150</f>
        <v>19.899999999999999</v>
      </c>
      <c r="E150" s="417">
        <v>19.899999999999999</v>
      </c>
      <c r="F150" s="417">
        <v>30.3</v>
      </c>
      <c r="G150" s="417">
        <f>H150</f>
        <v>15.2</v>
      </c>
      <c r="H150" s="417">
        <v>15.2</v>
      </c>
      <c r="I150" s="417">
        <f>H150+I129</f>
        <v>63.40000000000002</v>
      </c>
      <c r="J150" s="417">
        <f>K150</f>
        <v>7.5</v>
      </c>
      <c r="K150" s="418">
        <v>7.5</v>
      </c>
      <c r="L150" s="417">
        <f>K150+L129</f>
        <v>57.100000000000023</v>
      </c>
      <c r="M150" s="417">
        <f>N150</f>
        <v>285.09999999999997</v>
      </c>
      <c r="N150" s="417">
        <f>K150+N129</f>
        <v>285.09999999999997</v>
      </c>
      <c r="O150" s="417">
        <f>N150+O129</f>
        <v>416.8</v>
      </c>
      <c r="P150" s="417">
        <f>Q150</f>
        <v>242.2999999999999</v>
      </c>
      <c r="Q150" s="417">
        <f>N150+Q129</f>
        <v>242.2999999999999</v>
      </c>
      <c r="R150" s="417">
        <f>Q150+R129</f>
        <v>94.099999999999881</v>
      </c>
      <c r="S150" s="417">
        <f>T150</f>
        <v>13.399999999999807</v>
      </c>
      <c r="T150" s="417">
        <f>Q150+T129</f>
        <v>13.399999999999807</v>
      </c>
      <c r="U150" s="417">
        <f>T150+U129</f>
        <v>211.99999999999983</v>
      </c>
      <c r="V150" s="417">
        <f>W150</f>
        <v>192.29999999999978</v>
      </c>
      <c r="W150" s="417">
        <f>T150+W129</f>
        <v>192.29999999999978</v>
      </c>
      <c r="X150" s="417">
        <f>W150+X129</f>
        <v>321.19999999999976</v>
      </c>
      <c r="Y150" s="417">
        <f>Z150</f>
        <v>217.79999999999978</v>
      </c>
      <c r="Z150" s="417">
        <f>W150+Z129</f>
        <v>217.79999999999978</v>
      </c>
      <c r="AA150" s="417">
        <v>167.7</v>
      </c>
      <c r="AB150" s="417">
        <f>AC150</f>
        <v>63.3</v>
      </c>
      <c r="AC150" s="419">
        <v>63.3</v>
      </c>
      <c r="AD150" s="417">
        <f>AC150+AD129</f>
        <v>133.75910775643405</v>
      </c>
      <c r="AE150" s="417">
        <f>AF150</f>
        <v>94.480738442804338</v>
      </c>
      <c r="AF150" s="417">
        <f>AC150+AF129</f>
        <v>94.480738442804338</v>
      </c>
      <c r="AG150" s="417">
        <f>AF150+AG129</f>
        <v>193.538396873012</v>
      </c>
      <c r="AH150" s="417">
        <f>AI150</f>
        <v>161.25846333677777</v>
      </c>
      <c r="AI150" s="417">
        <f>AF150+AI129</f>
        <v>161.25846333677777</v>
      </c>
      <c r="AJ150" s="417"/>
      <c r="AK150" s="417"/>
      <c r="AL150" s="417">
        <f>AI150+AL129</f>
        <v>229.79203798107648</v>
      </c>
      <c r="AM150" s="417"/>
      <c r="AN150" s="417"/>
      <c r="AO150" s="417">
        <f>AL150+AO129</f>
        <v>303.74582149716144</v>
      </c>
      <c r="AP150" s="417"/>
      <c r="AQ150" s="417"/>
      <c r="AR150" s="417">
        <f>AO150+AR129</f>
        <v>383.48651488844365</v>
      </c>
      <c r="AS150" s="417"/>
      <c r="AT150" s="417"/>
      <c r="AU150" s="417">
        <f>AR150+AU129</f>
        <v>471.55887926281997</v>
      </c>
      <c r="AV150" s="417"/>
      <c r="AW150" s="417"/>
      <c r="AX150" s="417">
        <f>AU150+AX129</f>
        <v>564.03329621327612</v>
      </c>
      <c r="AY150" s="417"/>
      <c r="AZ150" s="417"/>
      <c r="BA150" s="417">
        <f>AX150+BA129</f>
        <v>661.45432254029777</v>
      </c>
      <c r="BB150" s="417"/>
      <c r="BC150" s="417"/>
      <c r="BD150" s="417">
        <f>BA150+BD129</f>
        <v>763.98137480605692</v>
      </c>
      <c r="BE150" s="417"/>
      <c r="BF150" s="417"/>
      <c r="BG150" s="417">
        <f>BD150+BG129</f>
        <v>871.76627982822663</v>
      </c>
      <c r="BH150" s="417"/>
      <c r="BI150" s="417"/>
      <c r="BJ150" s="417">
        <f t="shared" ref="BJ150" si="425">BG150+BJ129</f>
        <v>982.68171282747767</v>
      </c>
    </row>
    <row r="151" spans="2:62" s="377" customFormat="1">
      <c r="B151" s="377" t="s">
        <v>73</v>
      </c>
      <c r="C151" s="417">
        <v>32.299999999999997</v>
      </c>
      <c r="D151" s="417">
        <f t="shared" ref="D151:D154" si="426">E151</f>
        <v>42.6</v>
      </c>
      <c r="E151" s="417">
        <v>42.6</v>
      </c>
      <c r="F151" s="417">
        <v>30.7</v>
      </c>
      <c r="G151" s="417">
        <f t="shared" ref="G151:G154" si="427">H151</f>
        <v>23.8</v>
      </c>
      <c r="H151" s="417">
        <v>23.8</v>
      </c>
      <c r="I151" s="417">
        <v>43</v>
      </c>
      <c r="J151" s="417">
        <f t="shared" ref="J151:J154" si="428">K151</f>
        <v>37.6</v>
      </c>
      <c r="K151" s="418">
        <v>37.6</v>
      </c>
      <c r="L151" s="417">
        <v>49.5</v>
      </c>
      <c r="M151" s="417">
        <f t="shared" ref="M151:M154" si="429">N151</f>
        <v>26.3</v>
      </c>
      <c r="N151" s="417">
        <v>26.3</v>
      </c>
      <c r="O151" s="417">
        <v>52</v>
      </c>
      <c r="P151" s="417">
        <f t="shared" ref="P151:P154" si="430">Q151</f>
        <v>38.4</v>
      </c>
      <c r="Q151" s="417">
        <v>38.4</v>
      </c>
      <c r="R151" s="417">
        <v>66.8</v>
      </c>
      <c r="S151" s="417">
        <f t="shared" ref="S151:S154" si="431">T151</f>
        <v>53.6</v>
      </c>
      <c r="T151" s="419">
        <v>53.6</v>
      </c>
      <c r="U151" s="419">
        <v>57.3</v>
      </c>
      <c r="V151" s="417">
        <f t="shared" ref="V151:V154" si="432">W151</f>
        <v>58.1</v>
      </c>
      <c r="W151" s="419">
        <v>58.1</v>
      </c>
      <c r="X151" s="419">
        <v>58.2</v>
      </c>
      <c r="Y151" s="417">
        <f t="shared" ref="Y151:Y154" si="433">Z151</f>
        <v>49.9</v>
      </c>
      <c r="Z151" s="419">
        <v>49.9</v>
      </c>
      <c r="AA151" s="419">
        <v>60.2</v>
      </c>
      <c r="AB151" s="417">
        <f t="shared" ref="AB151:AB154" si="434">AC151</f>
        <v>51</v>
      </c>
      <c r="AC151" s="419">
        <v>51</v>
      </c>
      <c r="AD151" s="417">
        <f>AD6/181*AD198</f>
        <v>62.740120643786113</v>
      </c>
      <c r="AE151" s="417">
        <f t="shared" ref="AE151:AE154" si="435">AF151</f>
        <v>53.542644371365704</v>
      </c>
      <c r="AF151" s="417">
        <f>AF6/365*AF198</f>
        <v>53.542644371365704</v>
      </c>
      <c r="AG151" s="417">
        <f>AG6/181*AG198</f>
        <v>65.683341691893688</v>
      </c>
      <c r="AH151" s="417">
        <f t="shared" ref="AH151:AH154" si="436">AI151</f>
        <v>56.27308171937311</v>
      </c>
      <c r="AI151" s="417">
        <f>AI6/365*AI198</f>
        <v>56.27308171937311</v>
      </c>
      <c r="AJ151" s="417"/>
      <c r="AK151" s="417"/>
      <c r="AL151" s="417">
        <f>AL6/365*AL198</f>
        <v>58.959189285309918</v>
      </c>
      <c r="AM151" s="417"/>
      <c r="AN151" s="417"/>
      <c r="AO151" s="417">
        <f>AO6/365*AO198</f>
        <v>61.596637872739024</v>
      </c>
      <c r="AP151" s="417"/>
      <c r="AQ151" s="417"/>
      <c r="AR151" s="417">
        <f>AR6/365*AR198</f>
        <v>64.129030552438991</v>
      </c>
      <c r="AS151" s="417"/>
      <c r="AT151" s="417"/>
      <c r="AU151" s="417">
        <f>AU6/365*AU198</f>
        <v>66.509581523997909</v>
      </c>
      <c r="AV151" s="417"/>
      <c r="AW151" s="417"/>
      <c r="AX151" s="417">
        <f>AX6/365*AX198</f>
        <v>68.707712876373861</v>
      </c>
      <c r="AY151" s="417"/>
      <c r="AZ151" s="417"/>
      <c r="BA151" s="417">
        <f>BA6/365*BA198</f>
        <v>70.979554410287989</v>
      </c>
      <c r="BB151" s="417"/>
      <c r="BC151" s="417"/>
      <c r="BD151" s="417">
        <f>BD6/365*BD198</f>
        <v>73.327599736825135</v>
      </c>
      <c r="BE151" s="417"/>
      <c r="BF151" s="417"/>
      <c r="BG151" s="417">
        <f>BG6/365*BG198</f>
        <v>75.754427136629502</v>
      </c>
      <c r="BH151" s="417"/>
      <c r="BI151" s="417"/>
      <c r="BJ151" s="417">
        <f>BJ6/365*BJ198</f>
        <v>78.262702435760019</v>
      </c>
    </row>
    <row r="152" spans="2:62" s="377" customFormat="1">
      <c r="B152" s="377" t="s">
        <v>71</v>
      </c>
      <c r="C152" s="417">
        <v>543</v>
      </c>
      <c r="D152" s="417">
        <f t="shared" si="426"/>
        <v>481.5</v>
      </c>
      <c r="E152" s="417">
        <v>481.5</v>
      </c>
      <c r="F152" s="417">
        <v>546.6</v>
      </c>
      <c r="G152" s="417">
        <f t="shared" si="427"/>
        <v>545.5</v>
      </c>
      <c r="H152" s="417">
        <v>545.5</v>
      </c>
      <c r="I152" s="417">
        <f>206.7+200.6+210.6</f>
        <v>617.9</v>
      </c>
      <c r="J152" s="417">
        <f t="shared" si="428"/>
        <v>560.20000000000005</v>
      </c>
      <c r="K152" s="418">
        <v>560.20000000000005</v>
      </c>
      <c r="L152" s="417">
        <v>621.1</v>
      </c>
      <c r="M152" s="417">
        <f t="shared" si="429"/>
        <v>502.4</v>
      </c>
      <c r="N152" s="417">
        <v>502.4</v>
      </c>
      <c r="O152" s="417">
        <v>640.5</v>
      </c>
      <c r="P152" s="417">
        <f t="shared" si="430"/>
        <v>696.4</v>
      </c>
      <c r="Q152" s="417">
        <v>696.4</v>
      </c>
      <c r="R152" s="417">
        <v>909.2</v>
      </c>
      <c r="S152" s="417">
        <f t="shared" si="431"/>
        <v>799.6</v>
      </c>
      <c r="T152" s="419">
        <v>799.6</v>
      </c>
      <c r="U152" s="419">
        <v>875.9</v>
      </c>
      <c r="V152" s="417">
        <f t="shared" si="432"/>
        <v>788.6</v>
      </c>
      <c r="W152" s="419">
        <v>788.6</v>
      </c>
      <c r="X152" s="419">
        <v>902.2</v>
      </c>
      <c r="Y152" s="417">
        <f t="shared" si="433"/>
        <v>846.1</v>
      </c>
      <c r="Z152" s="419">
        <v>846.1</v>
      </c>
      <c r="AA152" s="419">
        <v>970.7</v>
      </c>
      <c r="AB152" s="417">
        <f t="shared" si="434"/>
        <v>886.8</v>
      </c>
      <c r="AC152" s="419">
        <v>886.8</v>
      </c>
      <c r="AD152" s="417">
        <f>AD9/-181*AD199</f>
        <v>1008.1660710025252</v>
      </c>
      <c r="AE152" s="417">
        <f t="shared" si="435"/>
        <v>921.79405086575821</v>
      </c>
      <c r="AF152" s="417">
        <f>AF9/-365*AF199</f>
        <v>921.79405086575821</v>
      </c>
      <c r="AG152" s="417">
        <f>AG9/-181*AG199</f>
        <v>1055.3045321902321</v>
      </c>
      <c r="AH152" s="417">
        <f t="shared" si="436"/>
        <v>968.25810864054654</v>
      </c>
      <c r="AI152" s="417">
        <f>AI9/-365*AI199</f>
        <v>968.25810864054654</v>
      </c>
      <c r="AJ152" s="417"/>
      <c r="AK152" s="417"/>
      <c r="AL152" s="417">
        <f>AL9/-365*AL199</f>
        <v>1013.9633277810674</v>
      </c>
      <c r="AM152" s="417"/>
      <c r="AN152" s="417"/>
      <c r="AO152" s="417">
        <f>AO9/-365*AO199</f>
        <v>1058.8793972436113</v>
      </c>
      <c r="AP152" s="417"/>
      <c r="AQ152" s="417"/>
      <c r="AR152" s="417">
        <f>AR9/-365*AR199</f>
        <v>1102.0334388928375</v>
      </c>
      <c r="AS152" s="417"/>
      <c r="AT152" s="417"/>
      <c r="AU152" s="417">
        <f>AU9/-365*AU199</f>
        <v>1142.6975316117703</v>
      </c>
      <c r="AV152" s="417"/>
      <c r="AW152" s="417"/>
      <c r="AX152" s="417">
        <f>AX9/-365*AX199</f>
        <v>1180.6740906430978</v>
      </c>
      <c r="AY152" s="417"/>
      <c r="AZ152" s="417"/>
      <c r="BA152" s="417">
        <f>BA9/-365*BA199</f>
        <v>1219.9247280951695</v>
      </c>
      <c r="BB152" s="417"/>
      <c r="BC152" s="417"/>
      <c r="BD152" s="417">
        <f>BD9/-365*BD199</f>
        <v>1260.492399923211</v>
      </c>
      <c r="BE152" s="417"/>
      <c r="BF152" s="417"/>
      <c r="BG152" s="417">
        <f>BG9/-365*BG199</f>
        <v>1302.4215113050238</v>
      </c>
      <c r="BH152" s="417"/>
      <c r="BI152" s="417"/>
      <c r="BJ152" s="417">
        <f>BJ9/-365*BJ199</f>
        <v>1345.7579654478623</v>
      </c>
    </row>
    <row r="153" spans="2:62" s="377" customFormat="1">
      <c r="B153" s="377" t="s">
        <v>72</v>
      </c>
      <c r="C153" s="417">
        <v>1.8</v>
      </c>
      <c r="D153" s="417">
        <f t="shared" si="426"/>
        <v>0</v>
      </c>
      <c r="E153" s="417">
        <v>0</v>
      </c>
      <c r="F153" s="417">
        <v>0</v>
      </c>
      <c r="G153" s="417">
        <f t="shared" si="427"/>
        <v>6.8</v>
      </c>
      <c r="H153" s="417">
        <v>6.8</v>
      </c>
      <c r="I153" s="417">
        <v>5.4</v>
      </c>
      <c r="J153" s="417">
        <f t="shared" si="428"/>
        <v>4.6999999999999993</v>
      </c>
      <c r="K153" s="418">
        <f>1.9+2.8</f>
        <v>4.6999999999999993</v>
      </c>
      <c r="L153" s="417">
        <v>7.4</v>
      </c>
      <c r="M153" s="417">
        <f t="shared" si="429"/>
        <v>0</v>
      </c>
      <c r="N153" s="417">
        <v>0</v>
      </c>
      <c r="O153" s="417">
        <v>0</v>
      </c>
      <c r="P153" s="417">
        <f t="shared" si="430"/>
        <v>3.6</v>
      </c>
      <c r="Q153" s="417">
        <v>3.6</v>
      </c>
      <c r="R153" s="417">
        <v>3.7</v>
      </c>
      <c r="S153" s="417">
        <f t="shared" si="431"/>
        <v>11.9</v>
      </c>
      <c r="T153" s="419">
        <v>11.9</v>
      </c>
      <c r="U153" s="419">
        <v>0</v>
      </c>
      <c r="V153" s="417">
        <f t="shared" si="432"/>
        <v>2.7</v>
      </c>
      <c r="W153" s="419">
        <v>2.7</v>
      </c>
      <c r="X153" s="419">
        <v>0</v>
      </c>
      <c r="Y153" s="417">
        <f t="shared" si="433"/>
        <v>0.2</v>
      </c>
      <c r="Z153" s="419">
        <v>0.2</v>
      </c>
      <c r="AA153" s="419">
        <v>8.5</v>
      </c>
      <c r="AB153" s="417">
        <f t="shared" si="434"/>
        <v>0</v>
      </c>
      <c r="AC153" s="419">
        <v>0</v>
      </c>
      <c r="AD153" s="417">
        <f>AC153</f>
        <v>0</v>
      </c>
      <c r="AE153" s="417">
        <f t="shared" si="435"/>
        <v>0</v>
      </c>
      <c r="AF153" s="417">
        <f>AC153</f>
        <v>0</v>
      </c>
      <c r="AG153" s="417">
        <f>AF153</f>
        <v>0</v>
      </c>
      <c r="AH153" s="417">
        <f t="shared" si="436"/>
        <v>0</v>
      </c>
      <c r="AI153" s="417">
        <f>AF153</f>
        <v>0</v>
      </c>
      <c r="AJ153" s="417"/>
      <c r="AK153" s="417"/>
      <c r="AL153" s="417">
        <f>AI153</f>
        <v>0</v>
      </c>
      <c r="AM153" s="417"/>
      <c r="AN153" s="417"/>
      <c r="AO153" s="417">
        <f>AL153</f>
        <v>0</v>
      </c>
      <c r="AP153" s="417"/>
      <c r="AQ153" s="417"/>
      <c r="AR153" s="417">
        <f>AO153</f>
        <v>0</v>
      </c>
      <c r="AS153" s="417"/>
      <c r="AT153" s="417"/>
      <c r="AU153" s="417">
        <f>AR153</f>
        <v>0</v>
      </c>
      <c r="AV153" s="417"/>
      <c r="AW153" s="417"/>
      <c r="AX153" s="417">
        <f>AU153</f>
        <v>0</v>
      </c>
      <c r="AY153" s="417"/>
      <c r="AZ153" s="417"/>
      <c r="BA153" s="417">
        <f>AX153</f>
        <v>0</v>
      </c>
      <c r="BB153" s="417"/>
      <c r="BC153" s="417"/>
      <c r="BD153" s="417">
        <f>BA153</f>
        <v>0</v>
      </c>
      <c r="BE153" s="417"/>
      <c r="BF153" s="417"/>
      <c r="BG153" s="417">
        <f>BD153</f>
        <v>0</v>
      </c>
      <c r="BH153" s="417"/>
      <c r="BI153" s="417"/>
      <c r="BJ153" s="417">
        <f t="shared" ref="BJ153" si="437">BG153</f>
        <v>0</v>
      </c>
    </row>
    <row r="154" spans="2:62" s="377" customFormat="1">
      <c r="B154" s="411" t="s">
        <v>1</v>
      </c>
      <c r="C154" s="422">
        <v>606</v>
      </c>
      <c r="D154" s="417">
        <f t="shared" si="426"/>
        <v>544</v>
      </c>
      <c r="E154" s="422">
        <f>SUM(E150:E153)</f>
        <v>544</v>
      </c>
      <c r="F154" s="422">
        <f>SUM(F150:F153)</f>
        <v>607.6</v>
      </c>
      <c r="G154" s="417">
        <f t="shared" si="427"/>
        <v>591.29999999999995</v>
      </c>
      <c r="H154" s="422">
        <f>SUM(H150:H153)</f>
        <v>591.29999999999995</v>
      </c>
      <c r="I154" s="422">
        <f>SUM(I150:I153)</f>
        <v>729.69999999999993</v>
      </c>
      <c r="J154" s="417">
        <f t="shared" si="428"/>
        <v>610.00000000000011</v>
      </c>
      <c r="K154" s="423">
        <f>SUM(K150:K153)</f>
        <v>610.00000000000011</v>
      </c>
      <c r="L154" s="422">
        <f>SUM(L150:L153)</f>
        <v>735.1</v>
      </c>
      <c r="M154" s="417">
        <f t="shared" si="429"/>
        <v>813.8</v>
      </c>
      <c r="N154" s="422">
        <f>SUM(N150:N153)</f>
        <v>813.8</v>
      </c>
      <c r="O154" s="422">
        <f>SUM(O150:O153)</f>
        <v>1109.3</v>
      </c>
      <c r="P154" s="417">
        <f t="shared" si="430"/>
        <v>980.69999999999993</v>
      </c>
      <c r="Q154" s="422">
        <f>SUM(Q150:Q153)</f>
        <v>980.69999999999993</v>
      </c>
      <c r="R154" s="422">
        <f>SUM(R150:R153)</f>
        <v>1073.8</v>
      </c>
      <c r="S154" s="417">
        <f t="shared" si="431"/>
        <v>878.49999999999977</v>
      </c>
      <c r="T154" s="422">
        <f>SUM(T150:T153)</f>
        <v>878.49999999999977</v>
      </c>
      <c r="U154" s="422">
        <f>SUM(U150:U153)</f>
        <v>1145.1999999999998</v>
      </c>
      <c r="V154" s="417">
        <f t="shared" si="432"/>
        <v>1041.6999999999998</v>
      </c>
      <c r="W154" s="422">
        <f t="shared" ref="W154:AU154" si="438">SUM(W150:W153)</f>
        <v>1041.6999999999998</v>
      </c>
      <c r="X154" s="422">
        <f>SUM(X150:X153)</f>
        <v>1281.5999999999999</v>
      </c>
      <c r="Y154" s="417">
        <f t="shared" si="433"/>
        <v>1113.9999999999998</v>
      </c>
      <c r="Z154" s="422">
        <f t="shared" si="438"/>
        <v>1113.9999999999998</v>
      </c>
      <c r="AA154" s="422">
        <f>SUM(AA150:AA153)</f>
        <v>1207.0999999999999</v>
      </c>
      <c r="AB154" s="417">
        <f t="shared" si="434"/>
        <v>1001.0999999999999</v>
      </c>
      <c r="AC154" s="422">
        <f t="shared" si="438"/>
        <v>1001.0999999999999</v>
      </c>
      <c r="AD154" s="422">
        <f>SUM(AD150:AD153)</f>
        <v>1204.6652994027454</v>
      </c>
      <c r="AE154" s="417">
        <f t="shared" si="435"/>
        <v>1069.8174336799282</v>
      </c>
      <c r="AF154" s="422">
        <f t="shared" si="438"/>
        <v>1069.8174336799282</v>
      </c>
      <c r="AG154" s="422">
        <f>SUM(AG150:AG153)</f>
        <v>1314.5262707551378</v>
      </c>
      <c r="AH154" s="417">
        <f t="shared" si="436"/>
        <v>1185.7896536966973</v>
      </c>
      <c r="AI154" s="422">
        <f t="shared" si="438"/>
        <v>1185.7896536966973</v>
      </c>
      <c r="AJ154" s="422"/>
      <c r="AK154" s="422"/>
      <c r="AL154" s="422">
        <f t="shared" si="438"/>
        <v>1302.7145550474538</v>
      </c>
      <c r="AM154" s="422"/>
      <c r="AN154" s="422"/>
      <c r="AO154" s="422">
        <f t="shared" si="438"/>
        <v>1424.2218566135116</v>
      </c>
      <c r="AP154" s="422"/>
      <c r="AQ154" s="422"/>
      <c r="AR154" s="422">
        <f t="shared" si="438"/>
        <v>1549.6489843337201</v>
      </c>
      <c r="AS154" s="422"/>
      <c r="AT154" s="422"/>
      <c r="AU154" s="422">
        <f t="shared" si="438"/>
        <v>1680.7659923985882</v>
      </c>
      <c r="AV154" s="422"/>
      <c r="AW154" s="422"/>
      <c r="AX154" s="422">
        <f t="shared" ref="AX154" si="439">SUM(AX150:AX153)</f>
        <v>1813.4150997327479</v>
      </c>
      <c r="AY154" s="422"/>
      <c r="AZ154" s="422"/>
      <c r="BA154" s="422">
        <f t="shared" ref="BA154:BD154" si="440">SUM(BA150:BA153)</f>
        <v>1952.3586050457552</v>
      </c>
      <c r="BB154" s="422"/>
      <c r="BC154" s="422"/>
      <c r="BD154" s="422">
        <f t="shared" si="440"/>
        <v>2097.801374466093</v>
      </c>
      <c r="BE154" s="422"/>
      <c r="BF154" s="422"/>
      <c r="BG154" s="422">
        <f t="shared" ref="BG154:BJ154" si="441">SUM(BG150:BG153)</f>
        <v>2249.94221826988</v>
      </c>
      <c r="BH154" s="422"/>
      <c r="BI154" s="422"/>
      <c r="BJ154" s="422">
        <f t="shared" si="441"/>
        <v>2406.7023807111</v>
      </c>
    </row>
    <row r="155" spans="2:62" s="377" customFormat="1">
      <c r="C155" s="417"/>
      <c r="D155" s="417"/>
      <c r="E155" s="417"/>
      <c r="F155" s="417"/>
      <c r="G155" s="417"/>
      <c r="H155" s="417"/>
      <c r="I155" s="417"/>
      <c r="J155" s="417"/>
      <c r="K155" s="418"/>
      <c r="L155" s="417"/>
      <c r="M155" s="417"/>
      <c r="N155" s="417"/>
      <c r="O155" s="417"/>
      <c r="P155" s="417"/>
      <c r="Q155" s="417"/>
      <c r="R155" s="417"/>
      <c r="S155" s="417"/>
      <c r="T155" s="417"/>
      <c r="U155" s="417"/>
      <c r="V155" s="417"/>
      <c r="W155" s="417"/>
      <c r="X155" s="417"/>
      <c r="Y155" s="417"/>
      <c r="Z155" s="417"/>
      <c r="AA155" s="417"/>
      <c r="AB155" s="417"/>
      <c r="AC155" s="417"/>
      <c r="AD155" s="417"/>
      <c r="AE155" s="417"/>
      <c r="AF155" s="417"/>
      <c r="AG155" s="417"/>
      <c r="AH155" s="417"/>
      <c r="AI155" s="417"/>
      <c r="AJ155" s="417"/>
      <c r="AK155" s="417"/>
      <c r="AL155" s="417"/>
      <c r="AM155" s="417"/>
      <c r="AN155" s="417"/>
      <c r="AO155" s="417"/>
      <c r="AP155" s="417"/>
      <c r="AQ155" s="417"/>
      <c r="AR155" s="417"/>
      <c r="AS155" s="417"/>
      <c r="AT155" s="417"/>
      <c r="AU155" s="417"/>
      <c r="AV155" s="417"/>
      <c r="AW155" s="417"/>
      <c r="AX155" s="417"/>
      <c r="AY155" s="417"/>
      <c r="AZ155" s="417"/>
      <c r="BA155" s="417"/>
      <c r="BB155" s="417"/>
      <c r="BC155" s="417"/>
      <c r="BD155" s="417"/>
      <c r="BE155" s="417"/>
      <c r="BF155" s="417"/>
      <c r="BG155" s="417"/>
      <c r="BH155" s="417"/>
      <c r="BI155" s="417"/>
      <c r="BJ155" s="417"/>
    </row>
    <row r="156" spans="2:62" s="377" customFormat="1">
      <c r="B156" s="411" t="s">
        <v>2</v>
      </c>
      <c r="C156" s="417"/>
      <c r="D156" s="417"/>
      <c r="E156" s="417"/>
      <c r="F156" s="417"/>
      <c r="G156" s="417"/>
      <c r="H156" s="417"/>
      <c r="I156" s="417"/>
      <c r="J156" s="417"/>
      <c r="K156" s="418"/>
      <c r="L156" s="417"/>
      <c r="M156" s="417"/>
      <c r="N156" s="417"/>
      <c r="O156" s="417"/>
      <c r="P156" s="417"/>
      <c r="Q156" s="417"/>
      <c r="R156" s="417"/>
      <c r="S156" s="417"/>
      <c r="T156" s="417"/>
      <c r="U156" s="417"/>
      <c r="V156" s="417"/>
      <c r="W156" s="417"/>
      <c r="X156" s="417"/>
      <c r="Y156" s="417"/>
      <c r="Z156" s="417"/>
      <c r="AA156" s="417"/>
      <c r="AB156" s="417"/>
      <c r="AC156" s="417"/>
      <c r="AD156" s="417"/>
      <c r="AE156" s="417"/>
      <c r="AF156" s="417"/>
      <c r="AG156" s="417"/>
      <c r="AH156" s="417"/>
      <c r="AI156" s="417"/>
      <c r="AJ156" s="417"/>
      <c r="AK156" s="417"/>
      <c r="AL156" s="417"/>
      <c r="AM156" s="417"/>
      <c r="AN156" s="417"/>
      <c r="AO156" s="417"/>
      <c r="AP156" s="417"/>
      <c r="AQ156" s="417"/>
      <c r="AR156" s="417"/>
      <c r="AS156" s="417"/>
      <c r="AT156" s="417"/>
      <c r="AU156" s="417"/>
      <c r="AV156" s="417"/>
      <c r="AW156" s="417"/>
      <c r="AX156" s="417"/>
      <c r="AY156" s="417"/>
      <c r="AZ156" s="417"/>
      <c r="BA156" s="417"/>
      <c r="BB156" s="417"/>
      <c r="BC156" s="417"/>
      <c r="BD156" s="417"/>
      <c r="BE156" s="417"/>
      <c r="BF156" s="417"/>
      <c r="BG156" s="417"/>
      <c r="BH156" s="417"/>
      <c r="BI156" s="417"/>
      <c r="BJ156" s="417"/>
    </row>
    <row r="157" spans="2:62" s="377" customFormat="1">
      <c r="B157" s="377" t="s">
        <v>56</v>
      </c>
      <c r="C157" s="417">
        <v>246.89999999999998</v>
      </c>
      <c r="D157" s="417">
        <f t="shared" ref="D157:D159" si="442">E157</f>
        <v>264.50000000000006</v>
      </c>
      <c r="E157" s="417">
        <v>264.50000000000006</v>
      </c>
      <c r="F157" s="417">
        <v>267.7</v>
      </c>
      <c r="G157" s="417">
        <f t="shared" ref="G157:G159" si="443">H157</f>
        <v>270.39999999999998</v>
      </c>
      <c r="H157" s="417">
        <v>270.39999999999998</v>
      </c>
      <c r="I157" s="417">
        <v>265.59999999999997</v>
      </c>
      <c r="J157" s="417">
        <f t="shared" ref="J157:J159" si="444">K157</f>
        <v>267.89999999999998</v>
      </c>
      <c r="K157" s="418">
        <v>267.89999999999998</v>
      </c>
      <c r="L157" s="417">
        <v>244.1</v>
      </c>
      <c r="M157" s="417">
        <f t="shared" ref="M157:M159" si="445">N157</f>
        <v>227.8</v>
      </c>
      <c r="N157" s="417">
        <v>227.8</v>
      </c>
      <c r="O157" s="417">
        <v>212.5</v>
      </c>
      <c r="P157" s="417">
        <f t="shared" ref="P157:P159" si="446">Q157</f>
        <v>219.9</v>
      </c>
      <c r="Q157" s="417">
        <v>219.9</v>
      </c>
      <c r="R157" s="417">
        <v>224.4</v>
      </c>
      <c r="S157" s="417">
        <f t="shared" ref="S157:S159" si="447">T157</f>
        <v>235.7</v>
      </c>
      <c r="T157" s="419">
        <v>235.7</v>
      </c>
      <c r="U157" s="419">
        <v>237.2</v>
      </c>
      <c r="V157" s="417">
        <f t="shared" ref="V157:V159" si="448">W157</f>
        <v>270.39999999999998</v>
      </c>
      <c r="W157" s="419">
        <v>270.39999999999998</v>
      </c>
      <c r="X157" s="419">
        <v>284.39999999999998</v>
      </c>
      <c r="Y157" s="417">
        <f t="shared" ref="Y157:Y159" si="449">Z157</f>
        <v>298.7</v>
      </c>
      <c r="Z157" s="419">
        <v>298.7</v>
      </c>
      <c r="AA157" s="419">
        <v>331.7</v>
      </c>
      <c r="AB157" s="417">
        <f t="shared" ref="AB157:AB159" si="450">AC157</f>
        <v>356.6</v>
      </c>
      <c r="AC157" s="419">
        <v>356.6</v>
      </c>
      <c r="AD157" s="417">
        <f>'PPE &amp; Leases'!AD10</f>
        <v>373.82628251585845</v>
      </c>
      <c r="AE157" s="417">
        <f t="shared" ref="AE157:AE159" si="451">AF157</f>
        <v>406.45357125869668</v>
      </c>
      <c r="AF157" s="417">
        <f>'PPE &amp; Leases'!AF10</f>
        <v>406.45357125869668</v>
      </c>
      <c r="AG157" s="417">
        <f>'PPE &amp; Leases'!AG10</f>
        <v>417.875838152847</v>
      </c>
      <c r="AH157" s="417">
        <f t="shared" ref="AH157:AH159" si="452">AI157</f>
        <v>445.43953208046406</v>
      </c>
      <c r="AI157" s="417">
        <f>'PPE &amp; Leases'!AI10</f>
        <v>445.43953208046406</v>
      </c>
      <c r="AJ157" s="417"/>
      <c r="AK157" s="417"/>
      <c r="AL157" s="417">
        <f>'PPE &amp; Leases'!AL10</f>
        <v>472.73770736078239</v>
      </c>
      <c r="AM157" s="417"/>
      <c r="AN157" s="417"/>
      <c r="AO157" s="417">
        <f>'PPE &amp; Leases'!AO10</f>
        <v>495.63835510560534</v>
      </c>
      <c r="AP157" s="417"/>
      <c r="AQ157" s="417"/>
      <c r="AR157" s="417">
        <f>'PPE &amp; Leases'!AR10</f>
        <v>514.64336931483444</v>
      </c>
      <c r="AS157" s="417"/>
      <c r="AT157" s="417"/>
      <c r="AU157" s="417">
        <f>'PPE &amp; Leases'!AU10</f>
        <v>530.43159127726449</v>
      </c>
      <c r="AV157" s="417"/>
      <c r="AW157" s="417"/>
      <c r="AX157" s="417">
        <f>'PPE &amp; Leases'!AX10</f>
        <v>543.72113897528288</v>
      </c>
      <c r="AY157" s="417"/>
      <c r="AZ157" s="417"/>
      <c r="BA157" s="417">
        <f>'PPE &amp; Leases'!BA10</f>
        <v>554.26530677200253</v>
      </c>
      <c r="BB157" s="417"/>
      <c r="BC157" s="417"/>
      <c r="BD157" s="417">
        <f>'PPE &amp; Leases'!BD10</f>
        <v>561.80350897386529</v>
      </c>
      <c r="BE157" s="417"/>
      <c r="BF157" s="417"/>
      <c r="BG157" s="417">
        <f>'PPE &amp; Leases'!BG10</f>
        <v>566.06082186772778</v>
      </c>
      <c r="BH157" s="417"/>
      <c r="BI157" s="417"/>
      <c r="BJ157" s="417">
        <f>'PPE &amp; Leases'!BJ10</f>
        <v>566.74751412641422</v>
      </c>
    </row>
    <row r="158" spans="2:62" s="377" customFormat="1">
      <c r="B158" s="377" t="s">
        <v>74</v>
      </c>
      <c r="C158" s="417">
        <v>447.59999999999997</v>
      </c>
      <c r="D158" s="417">
        <f t="shared" si="442"/>
        <v>447.59999999999997</v>
      </c>
      <c r="E158" s="417">
        <v>447.59999999999997</v>
      </c>
      <c r="F158" s="417">
        <v>447.59999999999997</v>
      </c>
      <c r="G158" s="417">
        <f t="shared" si="443"/>
        <v>525.9</v>
      </c>
      <c r="H158" s="417">
        <v>525.9</v>
      </c>
      <c r="I158" s="417">
        <v>525.9</v>
      </c>
      <c r="J158" s="417">
        <f t="shared" si="444"/>
        <v>526.5</v>
      </c>
      <c r="K158" s="418">
        <v>526.5</v>
      </c>
      <c r="L158" s="417">
        <v>526.5</v>
      </c>
      <c r="M158" s="417">
        <f t="shared" si="445"/>
        <v>526.5</v>
      </c>
      <c r="N158" s="417">
        <v>526.5</v>
      </c>
      <c r="O158" s="417">
        <v>526.6</v>
      </c>
      <c r="P158" s="417">
        <f t="shared" si="446"/>
        <v>526.6</v>
      </c>
      <c r="Q158" s="417">
        <v>526.6</v>
      </c>
      <c r="R158" s="417">
        <v>526.6</v>
      </c>
      <c r="S158" s="417">
        <f t="shared" si="447"/>
        <v>526.6</v>
      </c>
      <c r="T158" s="419">
        <v>526.6</v>
      </c>
      <c r="U158" s="419">
        <v>527.4</v>
      </c>
      <c r="V158" s="417">
        <f t="shared" si="448"/>
        <v>527.4</v>
      </c>
      <c r="W158" s="419">
        <v>527.4</v>
      </c>
      <c r="X158" s="419">
        <f>'PPE &amp; Leases'!X24</f>
        <v>527.4</v>
      </c>
      <c r="Y158" s="417">
        <f t="shared" si="449"/>
        <v>527.4</v>
      </c>
      <c r="Z158" s="419">
        <f>'PPE &amp; Leases'!Z24</f>
        <v>527.4</v>
      </c>
      <c r="AA158" s="419">
        <f>'PPE &amp; Leases'!AA24</f>
        <v>527.4</v>
      </c>
      <c r="AB158" s="417">
        <f t="shared" si="450"/>
        <v>527.4</v>
      </c>
      <c r="AC158" s="419">
        <f>'PPE &amp; Leases'!AC24</f>
        <v>527.4</v>
      </c>
      <c r="AD158" s="417">
        <f>'PPE &amp; Leases'!AD24</f>
        <v>527.4</v>
      </c>
      <c r="AE158" s="417">
        <f t="shared" si="451"/>
        <v>527.4</v>
      </c>
      <c r="AF158" s="417">
        <f>'PPE &amp; Leases'!AF24</f>
        <v>527.4</v>
      </c>
      <c r="AG158" s="417">
        <f>'PPE &amp; Leases'!AG24</f>
        <v>527.4</v>
      </c>
      <c r="AH158" s="417">
        <f t="shared" si="452"/>
        <v>527.4</v>
      </c>
      <c r="AI158" s="417">
        <f>'PPE &amp; Leases'!AI24</f>
        <v>527.4</v>
      </c>
      <c r="AJ158" s="417"/>
      <c r="AK158" s="417"/>
      <c r="AL158" s="417">
        <f>'PPE &amp; Leases'!AL24</f>
        <v>527.4</v>
      </c>
      <c r="AM158" s="417"/>
      <c r="AN158" s="417"/>
      <c r="AO158" s="417">
        <f>'PPE &amp; Leases'!AO24</f>
        <v>527.4</v>
      </c>
      <c r="AP158" s="417"/>
      <c r="AQ158" s="417"/>
      <c r="AR158" s="417">
        <f>'PPE &amp; Leases'!AR24</f>
        <v>527.4</v>
      </c>
      <c r="AS158" s="417"/>
      <c r="AT158" s="417"/>
      <c r="AU158" s="417">
        <f>'PPE &amp; Leases'!AU24</f>
        <v>527.4</v>
      </c>
      <c r="AV158" s="417"/>
      <c r="AW158" s="417"/>
      <c r="AX158" s="417">
        <f>'PPE &amp; Leases'!AX24</f>
        <v>527.4</v>
      </c>
      <c r="AY158" s="417"/>
      <c r="AZ158" s="417"/>
      <c r="BA158" s="417">
        <f>'PPE &amp; Leases'!BA24</f>
        <v>527.4</v>
      </c>
      <c r="BB158" s="417"/>
      <c r="BC158" s="417"/>
      <c r="BD158" s="417">
        <f>'PPE &amp; Leases'!BD24</f>
        <v>527.4</v>
      </c>
      <c r="BE158" s="417"/>
      <c r="BF158" s="417"/>
      <c r="BG158" s="417">
        <f>'PPE &amp; Leases'!BG24</f>
        <v>527.4</v>
      </c>
      <c r="BH158" s="417"/>
      <c r="BI158" s="417"/>
      <c r="BJ158" s="417">
        <f>'PPE &amp; Leases'!BJ24</f>
        <v>527.4</v>
      </c>
    </row>
    <row r="159" spans="2:62" s="377" customFormat="1">
      <c r="B159" s="377" t="s">
        <v>184</v>
      </c>
      <c r="C159" s="417">
        <v>323.89999999999998</v>
      </c>
      <c r="D159" s="417">
        <f t="shared" si="442"/>
        <v>302.5</v>
      </c>
      <c r="E159" s="417">
        <v>302.5</v>
      </c>
      <c r="F159" s="417">
        <v>307.39999999999998</v>
      </c>
      <c r="G159" s="417">
        <f t="shared" si="443"/>
        <v>365.70000000000005</v>
      </c>
      <c r="H159" s="417">
        <v>365.70000000000005</v>
      </c>
      <c r="I159" s="417">
        <v>365.79999999999995</v>
      </c>
      <c r="J159" s="417">
        <f t="shared" si="444"/>
        <v>367.70000000000005</v>
      </c>
      <c r="K159" s="418">
        <v>367.70000000000005</v>
      </c>
      <c r="L159" s="417">
        <v>364.79999999999995</v>
      </c>
      <c r="M159" s="417">
        <f t="shared" si="445"/>
        <v>347.79999999999995</v>
      </c>
      <c r="N159" s="417">
        <v>347.79999999999995</v>
      </c>
      <c r="O159" s="417">
        <v>340.5</v>
      </c>
      <c r="P159" s="417">
        <f t="shared" si="446"/>
        <v>340.3</v>
      </c>
      <c r="Q159" s="417">
        <v>340.3</v>
      </c>
      <c r="R159" s="417">
        <v>341.6</v>
      </c>
      <c r="S159" s="417">
        <f t="shared" si="447"/>
        <v>339.4</v>
      </c>
      <c r="T159" s="419">
        <f>86.1+253.3</f>
        <v>339.4</v>
      </c>
      <c r="U159" s="419">
        <f>851.4-U158</f>
        <v>324</v>
      </c>
      <c r="V159" s="417">
        <f t="shared" si="448"/>
        <v>319</v>
      </c>
      <c r="W159" s="419">
        <f>65.7+253.3</f>
        <v>319</v>
      </c>
      <c r="X159" s="419">
        <f>843.2-X158</f>
        <v>315.80000000000007</v>
      </c>
      <c r="Y159" s="417">
        <f t="shared" si="449"/>
        <v>319</v>
      </c>
      <c r="Z159" s="419">
        <f>'PPE &amp; Leases'!Z25</f>
        <v>319</v>
      </c>
      <c r="AA159" s="419">
        <f>843.6-AA158</f>
        <v>316.20000000000005</v>
      </c>
      <c r="AB159" s="417">
        <f t="shared" si="450"/>
        <v>310.8</v>
      </c>
      <c r="AC159" s="419">
        <f>'PPE &amp; Leases'!AC25</f>
        <v>310.8</v>
      </c>
      <c r="AD159" s="417">
        <f>'PPE &amp; Leases'!AD25</f>
        <v>314.06919502660139</v>
      </c>
      <c r="AE159" s="417">
        <f t="shared" si="451"/>
        <v>317.23839005320303</v>
      </c>
      <c r="AF159" s="417">
        <f>'PPE &amp; Leases'!AF25</f>
        <v>317.23839005320303</v>
      </c>
      <c r="AG159" s="417">
        <f>'PPE &amp; Leases'!AG25</f>
        <v>321.05552110704184</v>
      </c>
      <c r="AH159" s="417">
        <f t="shared" si="452"/>
        <v>324.87265216088065</v>
      </c>
      <c r="AI159" s="417">
        <f>'PPE &amp; Leases'!AI25</f>
        <v>324.87265216088065</v>
      </c>
      <c r="AJ159" s="417"/>
      <c r="AK159" s="417"/>
      <c r="AL159" s="417">
        <f>'PPE &amp; Leases'!AL25</f>
        <v>333.73088280410343</v>
      </c>
      <c r="AM159" s="417"/>
      <c r="AN159" s="417"/>
      <c r="AO159" s="417">
        <f>'PPE &amp; Leases'!AO25</f>
        <v>343.83945098094375</v>
      </c>
      <c r="AP159" s="417"/>
      <c r="AQ159" s="417"/>
      <c r="AR159" s="417">
        <f>'PPE &amp; Leases'!AR25</f>
        <v>355.10176801286184</v>
      </c>
      <c r="AS159" s="417"/>
      <c r="AT159" s="417"/>
      <c r="AU159" s="417">
        <f>'PPE &amp; Leases'!AU25</f>
        <v>367.39729850482684</v>
      </c>
      <c r="AV159" s="417"/>
      <c r="AW159" s="417"/>
      <c r="AX159" s="417">
        <f>'PPE &amp; Leases'!AX25</f>
        <v>380.59153144262893</v>
      </c>
      <c r="AY159" s="417"/>
      <c r="AZ159" s="417"/>
      <c r="BA159" s="417">
        <f>'PPE &amp; Leases'!BA25</f>
        <v>394.70040892983945</v>
      </c>
      <c r="BB159" s="417"/>
      <c r="BC159" s="417"/>
      <c r="BD159" s="417">
        <f>'PPE &amp; Leases'!BD25</f>
        <v>409.74083439587707</v>
      </c>
      <c r="BE159" s="417"/>
      <c r="BF159" s="417"/>
      <c r="BG159" s="417">
        <f>'PPE &amp; Leases'!BG25</f>
        <v>425.73069298029361</v>
      </c>
      <c r="BH159" s="417"/>
      <c r="BI159" s="417"/>
      <c r="BJ159" s="417">
        <f>'PPE &amp; Leases'!BJ25</f>
        <v>442.68887296742764</v>
      </c>
    </row>
    <row r="160" spans="2:62" s="377" customFormat="1">
      <c r="B160" s="377" t="s">
        <v>571</v>
      </c>
      <c r="C160" s="417"/>
      <c r="D160" s="417"/>
      <c r="E160" s="417"/>
      <c r="F160" s="417"/>
      <c r="G160" s="417"/>
      <c r="H160" s="417"/>
      <c r="I160" s="417"/>
      <c r="J160" s="417"/>
      <c r="K160" s="418"/>
      <c r="L160" s="417">
        <v>847.6</v>
      </c>
      <c r="M160" s="417"/>
      <c r="N160" s="417">
        <v>848</v>
      </c>
      <c r="O160" s="417">
        <v>792.9</v>
      </c>
      <c r="P160" s="417"/>
      <c r="Q160" s="417">
        <v>894.3</v>
      </c>
      <c r="R160" s="417">
        <v>913.1</v>
      </c>
      <c r="S160" s="417"/>
      <c r="T160" s="419">
        <v>923.7</v>
      </c>
      <c r="U160" s="419">
        <v>928.8</v>
      </c>
      <c r="V160" s="417"/>
      <c r="W160" s="419">
        <v>944.4</v>
      </c>
      <c r="X160" s="419">
        <v>976.4</v>
      </c>
      <c r="Y160" s="417"/>
      <c r="Z160" s="419">
        <f>'PPE &amp; Leases'!Z33</f>
        <v>986.59999999999957</v>
      </c>
      <c r="AA160" s="419">
        <v>997.4</v>
      </c>
      <c r="AB160" s="417"/>
      <c r="AC160" s="419">
        <f>'PPE &amp; Leases'!AC33</f>
        <v>1109.7999999999997</v>
      </c>
      <c r="AD160" s="417">
        <f>'PPE &amp; Leases'!AD33</f>
        <v>1116.690552022096</v>
      </c>
      <c r="AE160" s="417"/>
      <c r="AF160" s="417">
        <f>'PPE &amp; Leases'!AF33</f>
        <v>1123.5811040441918</v>
      </c>
      <c r="AG160" s="417">
        <f>'PPE &amp; Leases'!AG33</f>
        <v>1130.48745934062</v>
      </c>
      <c r="AH160" s="417"/>
      <c r="AI160" s="417">
        <f>'PPE &amp; Leases'!AI33</f>
        <v>1137.3938146370483</v>
      </c>
      <c r="AJ160" s="417"/>
      <c r="AK160" s="417"/>
      <c r="AL160" s="417">
        <f>'PPE &amp; Leases'!AL33</f>
        <v>1178.9218893433258</v>
      </c>
      <c r="AM160" s="417"/>
      <c r="AN160" s="417"/>
      <c r="AO160" s="417">
        <f>'PPE &amp; Leases'!AO33</f>
        <v>1221.5357774327799</v>
      </c>
      <c r="AP160" s="417"/>
      <c r="AQ160" s="417"/>
      <c r="AR160" s="417">
        <f>'PPE &amp; Leases'!AR33</f>
        <v>1265.24846568927</v>
      </c>
      <c r="AS160" s="417"/>
      <c r="AT160" s="417"/>
      <c r="AU160" s="417">
        <f>'PPE &amp; Leases'!AU33</f>
        <v>1310.0726441061101</v>
      </c>
      <c r="AV160" s="417"/>
      <c r="AW160" s="417"/>
      <c r="AX160" s="417">
        <f>'PPE &amp; Leases'!AX33</f>
        <v>1356.0206947977811</v>
      </c>
      <c r="AY160" s="417"/>
      <c r="AZ160" s="417"/>
      <c r="BA160" s="417">
        <f>'PPE &amp; Leases'!BA33</f>
        <v>1403.1046811895251</v>
      </c>
      <c r="BB160" s="417"/>
      <c r="BC160" s="417"/>
      <c r="BD160" s="417">
        <f>'PPE &amp; Leases'!BD33</f>
        <v>1451.3363374976318</v>
      </c>
      <c r="BE160" s="417"/>
      <c r="BF160" s="417"/>
      <c r="BG160" s="417">
        <f>'PPE &amp; Leases'!BG33</f>
        <v>1500.7270585126341</v>
      </c>
      <c r="BH160" s="417"/>
      <c r="BI160" s="417"/>
      <c r="BJ160" s="417">
        <f>'PPE &amp; Leases'!BJ33</f>
        <v>1551.2878896970292</v>
      </c>
    </row>
    <row r="161" spans="2:62" s="377" customFormat="1" ht="13.5" customHeight="1">
      <c r="B161" s="377" t="s">
        <v>4</v>
      </c>
      <c r="C161" s="417">
        <v>0</v>
      </c>
      <c r="D161" s="417">
        <f t="shared" ref="D161:D163" si="453">E161</f>
        <v>0</v>
      </c>
      <c r="E161" s="417">
        <v>0</v>
      </c>
      <c r="F161" s="417">
        <v>0</v>
      </c>
      <c r="G161" s="417">
        <f t="shared" ref="G161:G163" si="454">H161</f>
        <v>0</v>
      </c>
      <c r="H161" s="417">
        <v>0</v>
      </c>
      <c r="I161" s="417">
        <v>0</v>
      </c>
      <c r="J161" s="417">
        <f t="shared" ref="J161:J163" si="455">K161</f>
        <v>0</v>
      </c>
      <c r="K161" s="418">
        <v>0</v>
      </c>
      <c r="L161" s="417">
        <v>0</v>
      </c>
      <c r="M161" s="417">
        <f t="shared" ref="M161:M163" si="456">N161</f>
        <v>4.9000000000000004</v>
      </c>
      <c r="N161" s="417">
        <v>4.9000000000000004</v>
      </c>
      <c r="O161" s="417">
        <v>9.4</v>
      </c>
      <c r="P161" s="417">
        <f t="shared" ref="P161:P163" si="457">Q161</f>
        <v>4.7</v>
      </c>
      <c r="Q161" s="417">
        <v>4.7</v>
      </c>
      <c r="R161" s="417">
        <v>4.7</v>
      </c>
      <c r="S161" s="417">
        <f t="shared" ref="S161:S163" si="458">T161</f>
        <v>5.3000000000000007</v>
      </c>
      <c r="T161" s="419">
        <f>15.4-10.1</f>
        <v>5.3000000000000007</v>
      </c>
      <c r="U161" s="419">
        <v>25.2</v>
      </c>
      <c r="V161" s="417">
        <f t="shared" ref="V161:V163" si="459">W161</f>
        <v>0</v>
      </c>
      <c r="W161" s="419">
        <v>0</v>
      </c>
      <c r="X161" s="419">
        <f>W161</f>
        <v>0</v>
      </c>
      <c r="Y161" s="417">
        <f t="shared" ref="Y161" si="460">V161</f>
        <v>0</v>
      </c>
      <c r="Z161" s="419">
        <v>17.600000000000001</v>
      </c>
      <c r="AA161" s="419">
        <v>16.2</v>
      </c>
      <c r="AB161" s="417">
        <f t="shared" ref="AB161" si="461">Y161</f>
        <v>0</v>
      </c>
      <c r="AC161" s="419">
        <v>30.9</v>
      </c>
      <c r="AD161" s="417">
        <f>AC161</f>
        <v>30.9</v>
      </c>
      <c r="AE161" s="417">
        <f t="shared" ref="AE161" si="462">AB161</f>
        <v>0</v>
      </c>
      <c r="AF161" s="417">
        <f>AC161</f>
        <v>30.9</v>
      </c>
      <c r="AG161" s="417">
        <f>AF161</f>
        <v>30.9</v>
      </c>
      <c r="AH161" s="417">
        <f t="shared" ref="AH161" si="463">AE161</f>
        <v>0</v>
      </c>
      <c r="AI161" s="417">
        <f>AF161</f>
        <v>30.9</v>
      </c>
      <c r="AJ161" s="417"/>
      <c r="AK161" s="417"/>
      <c r="AL161" s="417">
        <f>AI161</f>
        <v>30.9</v>
      </c>
      <c r="AM161" s="417"/>
      <c r="AN161" s="417"/>
      <c r="AO161" s="417">
        <f>AL161</f>
        <v>30.9</v>
      </c>
      <c r="AP161" s="417"/>
      <c r="AQ161" s="417"/>
      <c r="AR161" s="417">
        <f>AO161</f>
        <v>30.9</v>
      </c>
      <c r="AS161" s="417"/>
      <c r="AT161" s="417"/>
      <c r="AU161" s="417">
        <f>AR161</f>
        <v>30.9</v>
      </c>
      <c r="AV161" s="417"/>
      <c r="AW161" s="417"/>
      <c r="AX161" s="417">
        <f>AU161</f>
        <v>30.9</v>
      </c>
      <c r="AY161" s="417"/>
      <c r="AZ161" s="417"/>
      <c r="BA161" s="417">
        <f>AX161</f>
        <v>30.9</v>
      </c>
      <c r="BB161" s="417"/>
      <c r="BC161" s="417"/>
      <c r="BD161" s="417">
        <f>BA161</f>
        <v>30.9</v>
      </c>
      <c r="BE161" s="417"/>
      <c r="BF161" s="417"/>
      <c r="BG161" s="417">
        <f>BD161</f>
        <v>30.9</v>
      </c>
      <c r="BH161" s="417"/>
      <c r="BI161" s="417"/>
      <c r="BJ161" s="417">
        <f t="shared" ref="BJ161" si="464">BG161</f>
        <v>30.9</v>
      </c>
    </row>
    <row r="162" spans="2:62" s="377" customFormat="1">
      <c r="B162" s="377" t="s">
        <v>72</v>
      </c>
      <c r="C162" s="417">
        <v>0</v>
      </c>
      <c r="D162" s="417">
        <f t="shared" si="453"/>
        <v>0</v>
      </c>
      <c r="E162" s="417">
        <v>0</v>
      </c>
      <c r="F162" s="417">
        <v>0.3</v>
      </c>
      <c r="G162" s="417">
        <f t="shared" si="454"/>
        <v>9.3000000000000007</v>
      </c>
      <c r="H162" s="417">
        <v>9.3000000000000007</v>
      </c>
      <c r="I162" s="417">
        <v>8.3000000000000007</v>
      </c>
      <c r="J162" s="417">
        <f t="shared" si="455"/>
        <v>6.9</v>
      </c>
      <c r="K162" s="418">
        <v>6.9</v>
      </c>
      <c r="L162" s="417">
        <v>6.4</v>
      </c>
      <c r="M162" s="417">
        <f t="shared" si="456"/>
        <v>6.3</v>
      </c>
      <c r="N162" s="417">
        <v>6.3</v>
      </c>
      <c r="O162" s="417">
        <v>6.2</v>
      </c>
      <c r="P162" s="417">
        <f t="shared" si="457"/>
        <v>6.1</v>
      </c>
      <c r="Q162" s="417">
        <v>6.1</v>
      </c>
      <c r="R162" s="417">
        <v>5.9</v>
      </c>
      <c r="S162" s="417">
        <f t="shared" si="458"/>
        <v>0</v>
      </c>
      <c r="T162" s="419">
        <v>0</v>
      </c>
      <c r="U162" s="417">
        <f>T162</f>
        <v>0</v>
      </c>
      <c r="V162" s="417">
        <f t="shared" si="459"/>
        <v>0</v>
      </c>
      <c r="W162" s="419">
        <f>T162+W35</f>
        <v>0</v>
      </c>
      <c r="X162" s="417">
        <f>W162</f>
        <v>0</v>
      </c>
      <c r="Y162" s="417">
        <f t="shared" ref="Y162:Y163" si="465">Z162</f>
        <v>0</v>
      </c>
      <c r="Z162" s="419">
        <f>W162+Z35</f>
        <v>0</v>
      </c>
      <c r="AA162" s="417">
        <f>Z162</f>
        <v>0</v>
      </c>
      <c r="AB162" s="417">
        <f t="shared" ref="AB162:AB163" si="466">AC162</f>
        <v>0</v>
      </c>
      <c r="AC162" s="419">
        <f>Z162+AC35</f>
        <v>0</v>
      </c>
      <c r="AD162" s="417">
        <v>7.3895881577991531</v>
      </c>
      <c r="AE162" s="417">
        <f t="shared" ref="AE162:AE163" si="467">AF162</f>
        <v>0</v>
      </c>
      <c r="AF162" s="417">
        <f>AC162+AF35</f>
        <v>0</v>
      </c>
      <c r="AG162" s="417">
        <v>7.8959467079530397</v>
      </c>
      <c r="AH162" s="417">
        <f t="shared" ref="AH162:AH163" si="468">AI162</f>
        <v>0</v>
      </c>
      <c r="AI162" s="417">
        <f>AF162+AI35</f>
        <v>0</v>
      </c>
      <c r="AJ162" s="417"/>
      <c r="AK162" s="417"/>
      <c r="AL162" s="417">
        <f>AI162+AL35</f>
        <v>0</v>
      </c>
      <c r="AM162" s="417"/>
      <c r="AN162" s="417"/>
      <c r="AO162" s="417">
        <f>AL162+AO35</f>
        <v>0</v>
      </c>
      <c r="AP162" s="417"/>
      <c r="AQ162" s="417"/>
      <c r="AR162" s="417">
        <f>AO162+AR35</f>
        <v>0</v>
      </c>
      <c r="AS162" s="417"/>
      <c r="AT162" s="417"/>
      <c r="AU162" s="417">
        <f>AR162+AU35</f>
        <v>0</v>
      </c>
      <c r="AV162" s="417"/>
      <c r="AW162" s="417"/>
      <c r="AX162" s="417">
        <f>AU162+AX35</f>
        <v>0</v>
      </c>
      <c r="AY162" s="417"/>
      <c r="AZ162" s="417"/>
      <c r="BA162" s="417">
        <f>AX162+BA35</f>
        <v>0</v>
      </c>
      <c r="BB162" s="417"/>
      <c r="BC162" s="417"/>
      <c r="BD162" s="417">
        <f>BA162+BD35</f>
        <v>0</v>
      </c>
      <c r="BE162" s="417"/>
      <c r="BF162" s="417"/>
      <c r="BG162" s="417">
        <f>BD162+BG35</f>
        <v>0</v>
      </c>
      <c r="BH162" s="417"/>
      <c r="BI162" s="417"/>
      <c r="BJ162" s="417">
        <f>BG162+BJ35</f>
        <v>0</v>
      </c>
    </row>
    <row r="163" spans="2:62" s="377" customFormat="1">
      <c r="B163" s="411" t="s">
        <v>5</v>
      </c>
      <c r="C163" s="422">
        <v>1018.3999999999999</v>
      </c>
      <c r="D163" s="417">
        <f t="shared" si="453"/>
        <v>1014.5999999999999</v>
      </c>
      <c r="E163" s="422">
        <f>E157+E159+E158+E161+E162</f>
        <v>1014.5999999999999</v>
      </c>
      <c r="F163" s="422">
        <f>F157+F159+F158+F161+F162</f>
        <v>1022.9999999999998</v>
      </c>
      <c r="G163" s="417">
        <f t="shared" si="454"/>
        <v>1171.3</v>
      </c>
      <c r="H163" s="422">
        <f>H157+H159+H158+H161+H162</f>
        <v>1171.3</v>
      </c>
      <c r="I163" s="422">
        <f>I157+I159+I158+I161+I162</f>
        <v>1165.5999999999997</v>
      </c>
      <c r="J163" s="417">
        <f t="shared" si="455"/>
        <v>1169</v>
      </c>
      <c r="K163" s="423">
        <f>K157+K159+K158+K161+K162</f>
        <v>1169</v>
      </c>
      <c r="L163" s="422">
        <f>L157+L159+L158+L161+L162+L160</f>
        <v>1989.4</v>
      </c>
      <c r="M163" s="417">
        <f t="shared" si="456"/>
        <v>1961.3</v>
      </c>
      <c r="N163" s="422">
        <f>N157+N159+N158+N161+N162+N160</f>
        <v>1961.3</v>
      </c>
      <c r="O163" s="422">
        <f>O157+O159+O158+O161+O162+O160</f>
        <v>1888.1</v>
      </c>
      <c r="P163" s="417">
        <f t="shared" si="457"/>
        <v>1991.9</v>
      </c>
      <c r="Q163" s="422">
        <f>Q157+Q159+Q158+Q161+Q162+Q160</f>
        <v>1991.9</v>
      </c>
      <c r="R163" s="422">
        <f>R157+R159+R158+R161+R162+R160</f>
        <v>2016.3000000000002</v>
      </c>
      <c r="S163" s="417">
        <f t="shared" si="458"/>
        <v>2030.6999999999998</v>
      </c>
      <c r="T163" s="422">
        <f>T157+T159+T158+T161+T162+T160</f>
        <v>2030.6999999999998</v>
      </c>
      <c r="U163" s="422">
        <f>U157+U159+U158+U161+U162+U160</f>
        <v>2042.6</v>
      </c>
      <c r="V163" s="417">
        <f t="shared" si="459"/>
        <v>2061.1999999999998</v>
      </c>
      <c r="W163" s="422">
        <f t="shared" ref="W163:AU163" si="469">W157+W159+W158+W161+W162+W160</f>
        <v>2061.1999999999998</v>
      </c>
      <c r="X163" s="422">
        <f>X157+X159+X158+X161+X162+X160</f>
        <v>2104</v>
      </c>
      <c r="Y163" s="417">
        <f t="shared" si="465"/>
        <v>2149.2999999999993</v>
      </c>
      <c r="Z163" s="422">
        <f t="shared" si="469"/>
        <v>2149.2999999999993</v>
      </c>
      <c r="AA163" s="422">
        <f>AA157+AA159+AA158+AA161+AA162+AA160</f>
        <v>2188.9</v>
      </c>
      <c r="AB163" s="417">
        <f t="shared" si="466"/>
        <v>2335.5</v>
      </c>
      <c r="AC163" s="422">
        <f t="shared" si="469"/>
        <v>2335.5</v>
      </c>
      <c r="AD163" s="422">
        <f>AD157+AD159+AD158+AD161+AD162+AD160</f>
        <v>2370.275617722355</v>
      </c>
      <c r="AE163" s="417">
        <f t="shared" si="467"/>
        <v>2405.5730653560913</v>
      </c>
      <c r="AF163" s="422">
        <f t="shared" si="469"/>
        <v>2405.5730653560913</v>
      </c>
      <c r="AG163" s="422">
        <f>AG157+AG159+AG158+AG161+AG162+AG160</f>
        <v>2435.6147653084618</v>
      </c>
      <c r="AH163" s="417">
        <f t="shared" si="468"/>
        <v>2466.0059988783933</v>
      </c>
      <c r="AI163" s="422">
        <f t="shared" si="469"/>
        <v>2466.0059988783933</v>
      </c>
      <c r="AJ163" s="422"/>
      <c r="AK163" s="422"/>
      <c r="AL163" s="422">
        <f t="shared" si="469"/>
        <v>2543.6904795082119</v>
      </c>
      <c r="AM163" s="422"/>
      <c r="AN163" s="422"/>
      <c r="AO163" s="422">
        <f t="shared" si="469"/>
        <v>2619.3135835193289</v>
      </c>
      <c r="AP163" s="422"/>
      <c r="AQ163" s="422"/>
      <c r="AR163" s="422">
        <f t="shared" si="469"/>
        <v>2693.2936030169667</v>
      </c>
      <c r="AS163" s="422"/>
      <c r="AT163" s="422"/>
      <c r="AU163" s="422">
        <f t="shared" si="469"/>
        <v>2766.2015338882015</v>
      </c>
      <c r="AV163" s="422"/>
      <c r="AW163" s="422"/>
      <c r="AX163" s="422">
        <f t="shared" ref="AX163" si="470">AX157+AX159+AX158+AX161+AX162+AX160</f>
        <v>2838.6333652156927</v>
      </c>
      <c r="AY163" s="422"/>
      <c r="AZ163" s="422"/>
      <c r="BA163" s="422">
        <f t="shared" ref="BA163:BD163" si="471">BA157+BA159+BA158+BA161+BA162+BA160</f>
        <v>2910.3703968913669</v>
      </c>
      <c r="BB163" s="422"/>
      <c r="BC163" s="422"/>
      <c r="BD163" s="422">
        <f t="shared" si="471"/>
        <v>2981.1806808673746</v>
      </c>
      <c r="BE163" s="422"/>
      <c r="BF163" s="422"/>
      <c r="BG163" s="422">
        <f t="shared" ref="BG163:BJ163" si="472">BG157+BG159+BG158+BG161+BG162+BG160</f>
        <v>3050.8185733606556</v>
      </c>
      <c r="BH163" s="422"/>
      <c r="BI163" s="422"/>
      <c r="BJ163" s="422">
        <f t="shared" si="472"/>
        <v>3119.0242767908712</v>
      </c>
    </row>
    <row r="164" spans="2:62" s="377" customFormat="1">
      <c r="B164" s="411"/>
      <c r="C164" s="417"/>
      <c r="D164" s="417"/>
      <c r="E164" s="417"/>
      <c r="F164" s="417"/>
      <c r="G164" s="417"/>
      <c r="H164" s="417"/>
      <c r="I164" s="417"/>
      <c r="J164" s="417"/>
      <c r="K164" s="418"/>
      <c r="L164" s="417"/>
      <c r="M164" s="417"/>
      <c r="N164" s="417"/>
      <c r="O164" s="417"/>
      <c r="P164" s="417"/>
      <c r="Q164" s="417"/>
      <c r="R164" s="417"/>
      <c r="S164" s="417"/>
      <c r="T164" s="417"/>
      <c r="U164" s="417"/>
      <c r="V164" s="417"/>
      <c r="W164" s="417"/>
      <c r="X164" s="417"/>
      <c r="Y164" s="417"/>
      <c r="Z164" s="417"/>
      <c r="AA164" s="417"/>
      <c r="AB164" s="417"/>
      <c r="AC164" s="417"/>
      <c r="AD164" s="417"/>
      <c r="AE164" s="417"/>
      <c r="AF164" s="417"/>
      <c r="AG164" s="417"/>
      <c r="AH164" s="417"/>
      <c r="AI164" s="417"/>
      <c r="AJ164" s="417"/>
      <c r="AK164" s="417"/>
      <c r="AL164" s="417"/>
      <c r="AM164" s="417"/>
      <c r="AN164" s="417"/>
      <c r="AO164" s="417"/>
      <c r="AP164" s="417"/>
      <c r="AQ164" s="417"/>
      <c r="AR164" s="417"/>
      <c r="AS164" s="417"/>
      <c r="AT164" s="417"/>
      <c r="AU164" s="417"/>
      <c r="AV164" s="417"/>
      <c r="AW164" s="417"/>
      <c r="AX164" s="417"/>
      <c r="AY164" s="417"/>
      <c r="AZ164" s="417"/>
      <c r="BA164" s="417"/>
      <c r="BB164" s="417"/>
      <c r="BC164" s="417"/>
      <c r="BD164" s="417"/>
      <c r="BE164" s="417"/>
      <c r="BF164" s="417"/>
      <c r="BG164" s="417"/>
      <c r="BH164" s="417"/>
      <c r="BI164" s="417"/>
      <c r="BJ164" s="417"/>
    </row>
    <row r="165" spans="2:62" s="377" customFormat="1">
      <c r="B165" s="411" t="s">
        <v>6</v>
      </c>
      <c r="C165" s="422">
        <v>1624.3999999999999</v>
      </c>
      <c r="D165" s="417">
        <f>E165</f>
        <v>1558.6</v>
      </c>
      <c r="E165" s="422">
        <f>SUM(E163+E154)</f>
        <v>1558.6</v>
      </c>
      <c r="F165" s="422">
        <f>SUM(F163+F154)</f>
        <v>1630.6</v>
      </c>
      <c r="G165" s="417">
        <f>H165</f>
        <v>1762.6</v>
      </c>
      <c r="H165" s="422">
        <f>SUM(H163+H154)</f>
        <v>1762.6</v>
      </c>
      <c r="I165" s="422">
        <f>SUM(I163+I154)</f>
        <v>1895.2999999999997</v>
      </c>
      <c r="J165" s="417">
        <f>K165</f>
        <v>1779</v>
      </c>
      <c r="K165" s="423">
        <f>SUM(K163+K154)</f>
        <v>1779</v>
      </c>
      <c r="L165" s="422">
        <f>SUM(L163+L154)</f>
        <v>2724.5</v>
      </c>
      <c r="M165" s="417">
        <f>N165</f>
        <v>2775.1</v>
      </c>
      <c r="N165" s="422">
        <f>SUM(N163+N154)</f>
        <v>2775.1</v>
      </c>
      <c r="O165" s="422">
        <f>SUM(O163+O154)</f>
        <v>2997.3999999999996</v>
      </c>
      <c r="P165" s="417">
        <f>Q165</f>
        <v>2972.6</v>
      </c>
      <c r="Q165" s="422">
        <f>SUM(Q163+Q154)</f>
        <v>2972.6</v>
      </c>
      <c r="R165" s="422">
        <f>SUM(R163+R154)</f>
        <v>3090.1000000000004</v>
      </c>
      <c r="S165" s="417">
        <f>T165</f>
        <v>2909.2</v>
      </c>
      <c r="T165" s="422">
        <f>SUM(T163+T154)</f>
        <v>2909.2</v>
      </c>
      <c r="U165" s="422">
        <f>SUM(U163+U154)</f>
        <v>3187.7999999999997</v>
      </c>
      <c r="V165" s="417">
        <f>W165</f>
        <v>3102.8999999999996</v>
      </c>
      <c r="W165" s="422">
        <f t="shared" ref="W165:AU165" si="473">SUM(W163+W154)</f>
        <v>3102.8999999999996</v>
      </c>
      <c r="X165" s="422">
        <f>SUM(X163+X154)</f>
        <v>3385.6</v>
      </c>
      <c r="Y165" s="417">
        <f>Z165</f>
        <v>3263.2999999999993</v>
      </c>
      <c r="Z165" s="422">
        <f>SUM(Z163+Z154)</f>
        <v>3263.2999999999993</v>
      </c>
      <c r="AA165" s="422">
        <f>SUM(AA163+AA154)</f>
        <v>3396</v>
      </c>
      <c r="AB165" s="417">
        <f>AC165</f>
        <v>3336.6</v>
      </c>
      <c r="AC165" s="422">
        <f t="shared" si="473"/>
        <v>3336.6</v>
      </c>
      <c r="AD165" s="422">
        <f>SUM(AD163+AD154)</f>
        <v>3574.9409171251004</v>
      </c>
      <c r="AE165" s="417">
        <f>AF165</f>
        <v>3475.3904990360197</v>
      </c>
      <c r="AF165" s="422">
        <f t="shared" si="473"/>
        <v>3475.3904990360197</v>
      </c>
      <c r="AG165" s="422">
        <f>SUM(AG163+AG154)</f>
        <v>3750.1410360635996</v>
      </c>
      <c r="AH165" s="417">
        <f>AI165</f>
        <v>3651.7956525750906</v>
      </c>
      <c r="AI165" s="422">
        <f t="shared" si="473"/>
        <v>3651.7956525750906</v>
      </c>
      <c r="AJ165" s="422"/>
      <c r="AK165" s="422"/>
      <c r="AL165" s="422">
        <f t="shared" si="473"/>
        <v>3846.4050345556657</v>
      </c>
      <c r="AM165" s="422"/>
      <c r="AN165" s="422"/>
      <c r="AO165" s="422">
        <f t="shared" si="473"/>
        <v>4043.5354401328404</v>
      </c>
      <c r="AP165" s="422"/>
      <c r="AQ165" s="422"/>
      <c r="AR165" s="422">
        <f t="shared" si="473"/>
        <v>4242.9425873506871</v>
      </c>
      <c r="AS165" s="422"/>
      <c r="AT165" s="422"/>
      <c r="AU165" s="422">
        <f t="shared" si="473"/>
        <v>4446.9675262867895</v>
      </c>
      <c r="AV165" s="422"/>
      <c r="AW165" s="422"/>
      <c r="AX165" s="422">
        <f t="shared" ref="AX165" si="474">SUM(AX163+AX154)</f>
        <v>4652.0484649484406</v>
      </c>
      <c r="AY165" s="422"/>
      <c r="AZ165" s="422"/>
      <c r="BA165" s="422">
        <f t="shared" ref="BA165:BD165" si="475">SUM(BA163+BA154)</f>
        <v>4862.7290019371221</v>
      </c>
      <c r="BB165" s="422"/>
      <c r="BC165" s="422"/>
      <c r="BD165" s="422">
        <f t="shared" si="475"/>
        <v>5078.9820553334675</v>
      </c>
      <c r="BE165" s="422"/>
      <c r="BF165" s="422"/>
      <c r="BG165" s="422">
        <f t="shared" ref="BG165:BJ165" si="476">SUM(BG163+BG154)</f>
        <v>5300.7607916305351</v>
      </c>
      <c r="BH165" s="422"/>
      <c r="BI165" s="422"/>
      <c r="BJ165" s="422">
        <f t="shared" si="476"/>
        <v>5525.7266575019712</v>
      </c>
    </row>
    <row r="166" spans="2:62" s="377" customFormat="1">
      <c r="C166" s="417"/>
      <c r="D166" s="417"/>
      <c r="E166" s="417"/>
      <c r="F166" s="417"/>
      <c r="G166" s="417"/>
      <c r="H166" s="417"/>
      <c r="I166" s="417"/>
      <c r="J166" s="417"/>
      <c r="K166" s="418"/>
      <c r="L166" s="417"/>
      <c r="M166" s="417"/>
      <c r="N166" s="417"/>
      <c r="O166" s="417"/>
      <c r="P166" s="417"/>
      <c r="Q166" s="417"/>
      <c r="R166" s="417"/>
      <c r="S166" s="417"/>
      <c r="T166" s="417"/>
      <c r="U166" s="417"/>
      <c r="V166" s="417"/>
      <c r="W166" s="417"/>
      <c r="X166" s="417"/>
      <c r="Y166" s="417"/>
      <c r="Z166" s="417"/>
      <c r="AA166" s="417"/>
      <c r="AB166" s="417"/>
      <c r="AC166" s="417"/>
      <c r="AD166" s="417"/>
      <c r="AE166" s="417"/>
      <c r="AF166" s="417"/>
      <c r="AG166" s="417"/>
      <c r="AH166" s="417"/>
      <c r="AI166" s="417"/>
      <c r="AJ166" s="417"/>
      <c r="AK166" s="417"/>
      <c r="AL166" s="417"/>
      <c r="AM166" s="417"/>
      <c r="AN166" s="417"/>
      <c r="AO166" s="417"/>
      <c r="AP166" s="417"/>
      <c r="AQ166" s="417"/>
      <c r="AR166" s="417"/>
      <c r="AS166" s="417"/>
      <c r="AT166" s="417"/>
      <c r="AU166" s="417"/>
      <c r="AV166" s="417"/>
      <c r="AW166" s="417"/>
      <c r="AX166" s="417"/>
      <c r="AY166" s="417"/>
      <c r="AZ166" s="417"/>
      <c r="BA166" s="417"/>
      <c r="BB166" s="417"/>
      <c r="BC166" s="417"/>
      <c r="BD166" s="417"/>
      <c r="BE166" s="417"/>
      <c r="BF166" s="417"/>
      <c r="BG166" s="417"/>
      <c r="BH166" s="417"/>
      <c r="BI166" s="417"/>
      <c r="BJ166" s="417"/>
    </row>
    <row r="167" spans="2:62" s="377" customFormat="1">
      <c r="B167" s="411" t="s">
        <v>7</v>
      </c>
      <c r="C167" s="417"/>
      <c r="D167" s="417"/>
      <c r="E167" s="417"/>
      <c r="F167" s="417"/>
      <c r="G167" s="417"/>
      <c r="H167" s="417"/>
      <c r="I167" s="417"/>
      <c r="J167" s="417"/>
      <c r="K167" s="418"/>
      <c r="L167" s="417"/>
      <c r="M167" s="417"/>
      <c r="N167" s="417"/>
      <c r="O167" s="417"/>
      <c r="P167" s="417"/>
      <c r="Q167" s="417"/>
      <c r="R167" s="417"/>
      <c r="S167" s="417"/>
      <c r="T167" s="417"/>
      <c r="U167" s="417"/>
      <c r="V167" s="417"/>
      <c r="W167" s="417"/>
      <c r="X167" s="417"/>
      <c r="Y167" s="417"/>
      <c r="Z167" s="417"/>
      <c r="AA167" s="417"/>
      <c r="AB167" s="417"/>
      <c r="AC167" s="417"/>
      <c r="AD167" s="417"/>
      <c r="AE167" s="417"/>
      <c r="AF167" s="417"/>
      <c r="AG167" s="417"/>
      <c r="AH167" s="417"/>
      <c r="AI167" s="417"/>
      <c r="AJ167" s="417"/>
      <c r="AK167" s="417"/>
      <c r="AL167" s="417"/>
      <c r="AM167" s="417"/>
      <c r="AN167" s="417"/>
      <c r="AO167" s="417"/>
      <c r="AP167" s="417"/>
      <c r="AQ167" s="417"/>
      <c r="AR167" s="417"/>
      <c r="AS167" s="417"/>
      <c r="AT167" s="417"/>
      <c r="AU167" s="417"/>
      <c r="AV167" s="417"/>
      <c r="AW167" s="417"/>
      <c r="AX167" s="417"/>
      <c r="AY167" s="417"/>
      <c r="AZ167" s="417"/>
      <c r="BA167" s="417"/>
      <c r="BB167" s="417"/>
      <c r="BC167" s="417"/>
      <c r="BD167" s="417"/>
      <c r="BE167" s="417"/>
      <c r="BF167" s="417"/>
      <c r="BG167" s="417"/>
      <c r="BH167" s="417"/>
      <c r="BI167" s="417"/>
      <c r="BJ167" s="417"/>
    </row>
    <row r="168" spans="2:62" s="377" customFormat="1">
      <c r="B168" s="377" t="s">
        <v>76</v>
      </c>
      <c r="C168" s="417">
        <v>0.4</v>
      </c>
      <c r="D168" s="417">
        <f>E168</f>
        <v>2.6</v>
      </c>
      <c r="E168" s="417">
        <v>2.6</v>
      </c>
      <c r="F168" s="417">
        <v>2.6</v>
      </c>
      <c r="G168" s="417">
        <f>H168</f>
        <v>3</v>
      </c>
      <c r="H168" s="417">
        <v>3</v>
      </c>
      <c r="I168" s="417">
        <v>3.3</v>
      </c>
      <c r="J168" s="417">
        <f>K168</f>
        <v>3.4</v>
      </c>
      <c r="K168" s="418">
        <v>3.4</v>
      </c>
      <c r="L168" s="417"/>
      <c r="M168" s="417">
        <f>N168</f>
        <v>0</v>
      </c>
      <c r="N168" s="417"/>
      <c r="O168" s="417"/>
      <c r="P168" s="417">
        <f>Q168</f>
        <v>0</v>
      </c>
      <c r="Q168" s="417">
        <v>0</v>
      </c>
      <c r="R168" s="417">
        <v>0</v>
      </c>
      <c r="S168" s="417">
        <f>T168</f>
        <v>0</v>
      </c>
      <c r="T168" s="419">
        <v>0</v>
      </c>
      <c r="U168" s="417">
        <f>Debt!U10</f>
        <v>0</v>
      </c>
      <c r="V168" s="417">
        <f>W168</f>
        <v>0</v>
      </c>
      <c r="W168" s="419">
        <f>Debt!W10</f>
        <v>0</v>
      </c>
      <c r="X168" s="417">
        <f>Debt!X10</f>
        <v>0</v>
      </c>
      <c r="Y168" s="417">
        <f>Z168</f>
        <v>0</v>
      </c>
      <c r="Z168" s="419">
        <f>Debt!Z10</f>
        <v>0</v>
      </c>
      <c r="AA168" s="417">
        <f>Debt!AA10</f>
        <v>0</v>
      </c>
      <c r="AB168" s="417">
        <f>AC168</f>
        <v>0</v>
      </c>
      <c r="AC168" s="419">
        <f>Debt!AC10</f>
        <v>0</v>
      </c>
      <c r="AD168" s="417">
        <f>Debt!AD10</f>
        <v>0</v>
      </c>
      <c r="AE168" s="417">
        <f>AF168</f>
        <v>0</v>
      </c>
      <c r="AF168" s="417">
        <f>Debt!AF10</f>
        <v>0</v>
      </c>
      <c r="AG168" s="417">
        <f>Debt!AG10</f>
        <v>0</v>
      </c>
      <c r="AH168" s="417">
        <f>AI168</f>
        <v>0</v>
      </c>
      <c r="AI168" s="417">
        <f>Debt!AI10</f>
        <v>0</v>
      </c>
      <c r="AJ168" s="417"/>
      <c r="AK168" s="417"/>
      <c r="AL168" s="417">
        <f>Debt!AL10</f>
        <v>0</v>
      </c>
      <c r="AM168" s="417"/>
      <c r="AN168" s="417"/>
      <c r="AO168" s="417">
        <f>Debt!AO10</f>
        <v>0</v>
      </c>
      <c r="AP168" s="417"/>
      <c r="AQ168" s="417"/>
      <c r="AR168" s="417">
        <f>Debt!AR10</f>
        <v>0</v>
      </c>
      <c r="AS168" s="417"/>
      <c r="AT168" s="417"/>
      <c r="AU168" s="417">
        <f>Debt!AU10</f>
        <v>0</v>
      </c>
      <c r="AV168" s="417"/>
      <c r="AW168" s="417"/>
      <c r="AX168" s="417">
        <f>Debt!AX10</f>
        <v>0</v>
      </c>
      <c r="AY168" s="417"/>
      <c r="AZ168" s="417"/>
      <c r="BA168" s="417">
        <f>Debt!BA10</f>
        <v>0</v>
      </c>
      <c r="BB168" s="417"/>
      <c r="BC168" s="417"/>
      <c r="BD168" s="417">
        <f>Debt!BD10</f>
        <v>0</v>
      </c>
      <c r="BE168" s="417"/>
      <c r="BF168" s="417"/>
      <c r="BG168" s="417">
        <f>Debt!BG10</f>
        <v>0</v>
      </c>
      <c r="BH168" s="417"/>
      <c r="BI168" s="417"/>
      <c r="BJ168" s="417">
        <f>Debt!BJ10</f>
        <v>0</v>
      </c>
    </row>
    <row r="169" spans="2:62" s="377" customFormat="1">
      <c r="B169" s="377" t="s">
        <v>572</v>
      </c>
      <c r="C169" s="417"/>
      <c r="D169" s="417">
        <f t="shared" ref="D169:D173" si="477">E169</f>
        <v>0</v>
      </c>
      <c r="E169" s="417"/>
      <c r="F169" s="417"/>
      <c r="G169" s="417">
        <f t="shared" ref="G169:G173" si="478">H169</f>
        <v>0</v>
      </c>
      <c r="H169" s="417"/>
      <c r="I169" s="417"/>
      <c r="J169" s="417">
        <f t="shared" ref="J169:J173" si="479">K169</f>
        <v>0</v>
      </c>
      <c r="K169" s="418"/>
      <c r="L169" s="417">
        <v>191.9</v>
      </c>
      <c r="M169" s="417">
        <f t="shared" ref="M169:M173" si="480">N169</f>
        <v>178.4</v>
      </c>
      <c r="N169" s="417">
        <v>178.4</v>
      </c>
      <c r="O169" s="417">
        <v>188</v>
      </c>
      <c r="P169" s="417">
        <f t="shared" ref="P169:P173" si="481">Q169</f>
        <v>193.9</v>
      </c>
      <c r="Q169" s="417">
        <v>193.9</v>
      </c>
      <c r="R169" s="417">
        <v>191.2</v>
      </c>
      <c r="S169" s="417">
        <f t="shared" ref="S169:S173" si="482">T169</f>
        <v>193.4</v>
      </c>
      <c r="T169" s="419">
        <v>193.4</v>
      </c>
      <c r="U169" s="419">
        <v>200.1</v>
      </c>
      <c r="V169" s="417">
        <f t="shared" ref="V169:V173" si="483">W169</f>
        <v>175.8</v>
      </c>
      <c r="W169" s="419">
        <v>175.8</v>
      </c>
      <c r="X169" s="419">
        <v>195.9</v>
      </c>
      <c r="Y169" s="417">
        <f t="shared" ref="Y169:Y173" si="484">Z169</f>
        <v>200.3</v>
      </c>
      <c r="Z169" s="419">
        <v>200.3</v>
      </c>
      <c r="AA169" s="419">
        <v>211.3</v>
      </c>
      <c r="AB169" s="417">
        <f t="shared" ref="AB169:AB173" si="485">AC169</f>
        <v>223.6</v>
      </c>
      <c r="AC169" s="419">
        <v>223.6</v>
      </c>
      <c r="AD169" s="417">
        <f>'PPE &amp; Leases'!AD40*0.2</f>
        <v>251.21336849280362</v>
      </c>
      <c r="AE169" s="417">
        <f t="shared" ref="AE169:AE173" si="486">AF169</f>
        <v>255.26673698560717</v>
      </c>
      <c r="AF169" s="417">
        <f>'PPE &amp; Leases'!AF40*0.2</f>
        <v>255.26673698560717</v>
      </c>
      <c r="AG169" s="417">
        <f>'PPE &amp; Leases'!AG40*0.2</f>
        <v>257.71145265524598</v>
      </c>
      <c r="AH169" s="417">
        <f t="shared" ref="AH169:AH173" si="487">AI169</f>
        <v>260.15616832488467</v>
      </c>
      <c r="AI169" s="417">
        <f>'PPE &amp; Leases'!AI40*0.2</f>
        <v>260.15616832488467</v>
      </c>
      <c r="AJ169" s="417"/>
      <c r="AK169" s="417"/>
      <c r="AL169" s="417">
        <f>'PPE &amp; Leases'!AL40*0.2</f>
        <v>268.97644925742134</v>
      </c>
      <c r="AM169" s="417"/>
      <c r="AN169" s="417"/>
      <c r="AO169" s="417">
        <f>'PPE &amp; Leases'!AO40*0.2</f>
        <v>277.32878793127389</v>
      </c>
      <c r="AP169" s="417"/>
      <c r="AQ169" s="417"/>
      <c r="AR169" s="417">
        <f>'PPE &amp; Leases'!AR40*0.2</f>
        <v>285.64213812663655</v>
      </c>
      <c r="AS169" s="417"/>
      <c r="AT169" s="417"/>
      <c r="AU169" s="417">
        <f>'PPE &amp; Leases'!AU40*0.2</f>
        <v>293.86951387288644</v>
      </c>
      <c r="AV169" s="417"/>
      <c r="AW169" s="417"/>
      <c r="AX169" s="417">
        <f>'PPE &amp; Leases'!AX40*0.2</f>
        <v>301.95934028896636</v>
      </c>
      <c r="AY169" s="417"/>
      <c r="AZ169" s="417"/>
      <c r="BA169" s="417">
        <f>'PPE &amp; Leases'!BA40*0.2</f>
        <v>309.85518075082308</v>
      </c>
      <c r="BB169" s="417"/>
      <c r="BC169" s="417"/>
      <c r="BD169" s="417">
        <f>'PPE &amp; Leases'!BD40*0.2</f>
        <v>317.49545214091478</v>
      </c>
      <c r="BE169" s="417"/>
      <c r="BF169" s="417"/>
      <c r="BG169" s="417">
        <f>'PPE &amp; Leases'!BG40*0.2</f>
        <v>324.81312774635495</v>
      </c>
      <c r="BH169" s="417"/>
      <c r="BI169" s="417"/>
      <c r="BJ169" s="417">
        <f>'PPE &amp; Leases'!BJ40*0.2</f>
        <v>331.73542735764926</v>
      </c>
    </row>
    <row r="170" spans="2:62" s="377" customFormat="1">
      <c r="B170" s="377" t="s">
        <v>8</v>
      </c>
      <c r="C170" s="417">
        <v>416.6</v>
      </c>
      <c r="D170" s="417">
        <f t="shared" si="477"/>
        <v>253.7</v>
      </c>
      <c r="E170" s="417">
        <v>253.7</v>
      </c>
      <c r="F170" s="417">
        <v>472.8</v>
      </c>
      <c r="G170" s="417">
        <f t="shared" si="478"/>
        <v>342.3</v>
      </c>
      <c r="H170" s="417">
        <v>342.3</v>
      </c>
      <c r="I170" s="417">
        <v>526.79999999999995</v>
      </c>
      <c r="J170" s="417">
        <f t="shared" si="479"/>
        <v>362.7</v>
      </c>
      <c r="K170" s="418">
        <v>362.7</v>
      </c>
      <c r="L170" s="417">
        <v>543.20000000000005</v>
      </c>
      <c r="M170" s="417">
        <f t="shared" si="480"/>
        <v>442.3</v>
      </c>
      <c r="N170" s="417">
        <v>442.3</v>
      </c>
      <c r="O170" s="417">
        <v>775.6</v>
      </c>
      <c r="P170" s="417">
        <f t="shared" si="481"/>
        <v>563.4</v>
      </c>
      <c r="Q170" s="417">
        <v>563.4</v>
      </c>
      <c r="R170" s="417">
        <v>733.4</v>
      </c>
      <c r="S170" s="417">
        <f t="shared" si="482"/>
        <v>451.4</v>
      </c>
      <c r="T170" s="419">
        <v>451.4</v>
      </c>
      <c r="U170" s="419">
        <v>620.79999999999995</v>
      </c>
      <c r="V170" s="417">
        <f t="shared" si="483"/>
        <v>490.1</v>
      </c>
      <c r="W170" s="419">
        <v>490.1</v>
      </c>
      <c r="X170" s="419">
        <v>755.7</v>
      </c>
      <c r="Y170" s="417">
        <f t="shared" si="484"/>
        <v>578.9</v>
      </c>
      <c r="Z170" s="419">
        <v>578.9</v>
      </c>
      <c r="AA170" s="419">
        <v>793.1</v>
      </c>
      <c r="AB170" s="417">
        <f t="shared" si="485"/>
        <v>585.5</v>
      </c>
      <c r="AC170" s="419">
        <v>585.5</v>
      </c>
      <c r="AD170" s="417">
        <f>-AD9/181*AD203</f>
        <v>823.71125055331481</v>
      </c>
      <c r="AE170" s="417">
        <f t="shared" si="486"/>
        <v>616.64843402743827</v>
      </c>
      <c r="AF170" s="417">
        <f>-AF9/365*AF203</f>
        <v>616.64843402743827</v>
      </c>
      <c r="AG170" s="417">
        <f>-AG9/181*AG203</f>
        <v>862.22522352948715</v>
      </c>
      <c r="AH170" s="417">
        <f t="shared" si="487"/>
        <v>647.73128646988278</v>
      </c>
      <c r="AI170" s="417">
        <f>-AI9/365*AI203</f>
        <v>647.73128646988278</v>
      </c>
      <c r="AJ170" s="417"/>
      <c r="AK170" s="417"/>
      <c r="AL170" s="417">
        <f>-AL9/365*AL203</f>
        <v>678.30650203285199</v>
      </c>
      <c r="AM170" s="417"/>
      <c r="AN170" s="417"/>
      <c r="AO170" s="417">
        <f>-AO9/365*AO203</f>
        <v>708.35380367331231</v>
      </c>
      <c r="AP170" s="417"/>
      <c r="AQ170" s="417"/>
      <c r="AR170" s="417">
        <f>-AR9/365*AR203</f>
        <v>737.22236946624298</v>
      </c>
      <c r="AS170" s="417"/>
      <c r="AT170" s="417"/>
      <c r="AU170" s="417">
        <f>-AU9/365*AU203</f>
        <v>764.42524528511535</v>
      </c>
      <c r="AV170" s="417"/>
      <c r="AW170" s="417"/>
      <c r="AX170" s="417">
        <f>-AX9/365*AX203</f>
        <v>789.83025374055501</v>
      </c>
      <c r="AY170" s="417"/>
      <c r="AZ170" s="417"/>
      <c r="BA170" s="417">
        <f>-BA9/365*BA203</f>
        <v>816.08757672573415</v>
      </c>
      <c r="BB170" s="417"/>
      <c r="BC170" s="417"/>
      <c r="BD170" s="417">
        <f>-BD9/365*BD203</f>
        <v>843.22595029345837</v>
      </c>
      <c r="BE170" s="417"/>
      <c r="BF170" s="417"/>
      <c r="BG170" s="417">
        <f>-BG9/365*BG203</f>
        <v>871.27507997646421</v>
      </c>
      <c r="BH170" s="417"/>
      <c r="BI170" s="417"/>
      <c r="BJ170" s="417">
        <f>-BJ9/365*BJ203</f>
        <v>900.2656734375355</v>
      </c>
    </row>
    <row r="171" spans="2:62" s="377" customFormat="1">
      <c r="B171" s="377" t="s">
        <v>77</v>
      </c>
      <c r="C171" s="417">
        <v>56.9</v>
      </c>
      <c r="D171" s="417">
        <f t="shared" si="477"/>
        <v>62.3</v>
      </c>
      <c r="E171" s="417">
        <v>62.3</v>
      </c>
      <c r="F171" s="417">
        <v>52.6</v>
      </c>
      <c r="G171" s="417">
        <f t="shared" si="478"/>
        <v>105</v>
      </c>
      <c r="H171" s="417">
        <f>71+34</f>
        <v>105</v>
      </c>
      <c r="I171" s="417">
        <v>111.8</v>
      </c>
      <c r="J171" s="417">
        <f t="shared" si="479"/>
        <v>107.3</v>
      </c>
      <c r="K171" s="418">
        <v>107.3</v>
      </c>
      <c r="L171" s="417">
        <v>106.7</v>
      </c>
      <c r="M171" s="417">
        <f t="shared" si="480"/>
        <v>111.1</v>
      </c>
      <c r="N171" s="417">
        <v>111.1</v>
      </c>
      <c r="O171" s="417">
        <v>86</v>
      </c>
      <c r="P171" s="417">
        <f t="shared" si="481"/>
        <v>97</v>
      </c>
      <c r="Q171" s="417">
        <v>97</v>
      </c>
      <c r="R171" s="417">
        <v>84.2</v>
      </c>
      <c r="S171" s="417">
        <f t="shared" si="482"/>
        <v>97.9</v>
      </c>
      <c r="T171" s="419">
        <v>97.9</v>
      </c>
      <c r="U171" s="419">
        <v>93.4</v>
      </c>
      <c r="V171" s="417">
        <f t="shared" si="483"/>
        <v>106.3</v>
      </c>
      <c r="W171" s="419">
        <v>106.3</v>
      </c>
      <c r="X171" s="419">
        <v>105.1</v>
      </c>
      <c r="Y171" s="417">
        <f t="shared" si="484"/>
        <v>115.3</v>
      </c>
      <c r="Z171" s="419">
        <v>115.3</v>
      </c>
      <c r="AA171" s="419">
        <v>99.3</v>
      </c>
      <c r="AB171" s="417">
        <f t="shared" si="485"/>
        <v>108.8</v>
      </c>
      <c r="AC171" s="419">
        <v>108.8</v>
      </c>
      <c r="AD171" s="417">
        <f>AD6*MODEL!AD207</f>
        <v>103.48993322139468</v>
      </c>
      <c r="AE171" s="417">
        <f t="shared" si="486"/>
        <v>136.89783312870784</v>
      </c>
      <c r="AF171" s="417">
        <f>AF6*MODEL!AF207</f>
        <v>136.89783312870784</v>
      </c>
      <c r="AG171" s="417">
        <f>AG6*MODEL!AG207</f>
        <v>108.34478122931962</v>
      </c>
      <c r="AH171" s="417">
        <f t="shared" si="487"/>
        <v>143.87901534009319</v>
      </c>
      <c r="AI171" s="417">
        <f>AI6*MODEL!AI207</f>
        <v>143.87901534009319</v>
      </c>
      <c r="AJ171" s="417"/>
      <c r="AK171" s="417"/>
      <c r="AL171" s="417">
        <f>AL6*MODEL!AL207</f>
        <v>150.7468551646804</v>
      </c>
      <c r="AM171" s="417"/>
      <c r="AN171" s="417"/>
      <c r="AO171" s="417">
        <f>AO6*MODEL!AO207</f>
        <v>157.49028371301912</v>
      </c>
      <c r="AP171" s="417"/>
      <c r="AQ171" s="417"/>
      <c r="AR171" s="417">
        <f>AR6*MODEL!AR207</f>
        <v>163.96510531647598</v>
      </c>
      <c r="AS171" s="417"/>
      <c r="AT171" s="417"/>
      <c r="AU171" s="417">
        <f>AU6*MODEL!AU207</f>
        <v>170.05169804055785</v>
      </c>
      <c r="AV171" s="417"/>
      <c r="AW171" s="417"/>
      <c r="AX171" s="417">
        <f>AX6*MODEL!AX207</f>
        <v>175.67188028231271</v>
      </c>
      <c r="AY171" s="417"/>
      <c r="AZ171" s="417"/>
      <c r="BA171" s="417">
        <f>BA6*MODEL!BA207</f>
        <v>181.48052471622432</v>
      </c>
      <c r="BB171" s="417"/>
      <c r="BC171" s="417"/>
      <c r="BD171" s="417">
        <f>BD6*MODEL!BD207</f>
        <v>187.48400700711454</v>
      </c>
      <c r="BE171" s="417"/>
      <c r="BF171" s="417"/>
      <c r="BG171" s="417">
        <f>BG6*MODEL!BG207</f>
        <v>193.68891930293432</v>
      </c>
      <c r="BH171" s="417"/>
      <c r="BI171" s="417"/>
      <c r="BJ171" s="417">
        <f>BJ6*MODEL!BJ207</f>
        <v>200.10207758775121</v>
      </c>
    </row>
    <row r="172" spans="2:62" s="377" customFormat="1">
      <c r="B172" s="377" t="s">
        <v>9</v>
      </c>
      <c r="C172" s="417">
        <v>8.1999999999999993</v>
      </c>
      <c r="D172" s="417">
        <f t="shared" si="477"/>
        <v>4.5999999999999996</v>
      </c>
      <c r="E172" s="417">
        <f>1.5+3.1</f>
        <v>4.5999999999999996</v>
      </c>
      <c r="F172" s="417">
        <f>3.2+2.3</f>
        <v>5.5</v>
      </c>
      <c r="G172" s="417">
        <f t="shared" si="478"/>
        <v>11.1</v>
      </c>
      <c r="H172" s="417">
        <f>9.6+1.5</f>
        <v>11.1</v>
      </c>
      <c r="I172" s="417">
        <f>12.1+2.2</f>
        <v>14.3</v>
      </c>
      <c r="J172" s="417">
        <f t="shared" si="479"/>
        <v>6.2</v>
      </c>
      <c r="K172" s="418">
        <v>6.2</v>
      </c>
      <c r="L172" s="417">
        <v>5.5</v>
      </c>
      <c r="M172" s="417">
        <f t="shared" si="480"/>
        <v>19</v>
      </c>
      <c r="N172" s="417">
        <f>17.1+1.9</f>
        <v>19</v>
      </c>
      <c r="O172" s="417">
        <f>54.7+10.1</f>
        <v>64.8</v>
      </c>
      <c r="P172" s="417">
        <f t="shared" si="481"/>
        <v>69.5</v>
      </c>
      <c r="Q172" s="417">
        <v>69.5</v>
      </c>
      <c r="R172" s="417">
        <v>17.100000000000001</v>
      </c>
      <c r="S172" s="417">
        <f t="shared" si="482"/>
        <v>19.8</v>
      </c>
      <c r="T172" s="419">
        <v>19.8</v>
      </c>
      <c r="U172" s="419">
        <f>57.7+1.2</f>
        <v>58.900000000000006</v>
      </c>
      <c r="V172" s="417">
        <f t="shared" si="483"/>
        <v>30.3</v>
      </c>
      <c r="W172" s="419">
        <v>30.3</v>
      </c>
      <c r="X172" s="419">
        <f>29.7+5.7</f>
        <v>35.4</v>
      </c>
      <c r="Y172" s="417">
        <f t="shared" si="484"/>
        <v>36.9</v>
      </c>
      <c r="Z172" s="419">
        <v>36.9</v>
      </c>
      <c r="AA172" s="419">
        <v>18.600000000000001</v>
      </c>
      <c r="AB172" s="417">
        <f t="shared" si="485"/>
        <v>20.5</v>
      </c>
      <c r="AC172" s="419">
        <f>17.3+3.2</f>
        <v>20.5</v>
      </c>
      <c r="AD172" s="417">
        <f>AC172</f>
        <v>20.5</v>
      </c>
      <c r="AE172" s="417">
        <f t="shared" si="486"/>
        <v>20.5</v>
      </c>
      <c r="AF172" s="417">
        <f>AC172</f>
        <v>20.5</v>
      </c>
      <c r="AG172" s="417">
        <f>AF172</f>
        <v>20.5</v>
      </c>
      <c r="AH172" s="417">
        <f t="shared" si="487"/>
        <v>20.5</v>
      </c>
      <c r="AI172" s="417">
        <f>AF172</f>
        <v>20.5</v>
      </c>
      <c r="AJ172" s="417"/>
      <c r="AK172" s="417"/>
      <c r="AL172" s="417">
        <f>AI172</f>
        <v>20.5</v>
      </c>
      <c r="AM172" s="417"/>
      <c r="AN172" s="417"/>
      <c r="AO172" s="417">
        <f>AL172</f>
        <v>20.5</v>
      </c>
      <c r="AP172" s="417"/>
      <c r="AQ172" s="417"/>
      <c r="AR172" s="417">
        <f>AO172</f>
        <v>20.5</v>
      </c>
      <c r="AS172" s="417"/>
      <c r="AT172" s="417"/>
      <c r="AU172" s="417">
        <f>AR172</f>
        <v>20.5</v>
      </c>
      <c r="AV172" s="417"/>
      <c r="AW172" s="417"/>
      <c r="AX172" s="417">
        <f>AU172</f>
        <v>20.5</v>
      </c>
      <c r="AY172" s="417"/>
      <c r="AZ172" s="417"/>
      <c r="BA172" s="417">
        <f>AX172</f>
        <v>20.5</v>
      </c>
      <c r="BB172" s="417"/>
      <c r="BC172" s="417"/>
      <c r="BD172" s="417">
        <f>BA172</f>
        <v>20.5</v>
      </c>
      <c r="BE172" s="417"/>
      <c r="BF172" s="417"/>
      <c r="BG172" s="417">
        <f>BD172</f>
        <v>20.5</v>
      </c>
      <c r="BH172" s="417"/>
      <c r="BI172" s="417"/>
      <c r="BJ172" s="417">
        <f t="shared" ref="BJ172" si="488">BG172</f>
        <v>20.5</v>
      </c>
    </row>
    <row r="173" spans="2:62" s="377" customFormat="1">
      <c r="B173" s="411" t="s">
        <v>10</v>
      </c>
      <c r="C173" s="422">
        <v>482.09999999999997</v>
      </c>
      <c r="D173" s="417">
        <f t="shared" si="477"/>
        <v>323.20000000000005</v>
      </c>
      <c r="E173" s="422">
        <f>SUM(E168:E172)</f>
        <v>323.20000000000005</v>
      </c>
      <c r="F173" s="422">
        <f>SUM(F168:F172)</f>
        <v>533.5</v>
      </c>
      <c r="G173" s="417">
        <f t="shared" si="478"/>
        <v>461.40000000000003</v>
      </c>
      <c r="H173" s="422">
        <f>SUM(H168:H172)</f>
        <v>461.40000000000003</v>
      </c>
      <c r="I173" s="422">
        <f>SUM(I168:I172)</f>
        <v>656.19999999999982</v>
      </c>
      <c r="J173" s="417">
        <f t="shared" si="479"/>
        <v>479.59999999999997</v>
      </c>
      <c r="K173" s="423">
        <f>SUM(K168:K172)</f>
        <v>479.59999999999997</v>
      </c>
      <c r="L173" s="422">
        <f>SUM(L168:L172)</f>
        <v>847.30000000000007</v>
      </c>
      <c r="M173" s="417">
        <f t="shared" si="480"/>
        <v>750.80000000000007</v>
      </c>
      <c r="N173" s="422">
        <f>SUM(N168:N172)</f>
        <v>750.80000000000007</v>
      </c>
      <c r="O173" s="422">
        <f>SUM(O168:O172)</f>
        <v>1114.3999999999999</v>
      </c>
      <c r="P173" s="417">
        <f t="shared" si="481"/>
        <v>923.8</v>
      </c>
      <c r="Q173" s="422">
        <f>SUM(Q168:Q172)</f>
        <v>923.8</v>
      </c>
      <c r="R173" s="422">
        <f>SUM(R168:R172)</f>
        <v>1025.8999999999999</v>
      </c>
      <c r="S173" s="417">
        <f t="shared" si="482"/>
        <v>762.49999999999989</v>
      </c>
      <c r="T173" s="422">
        <f>SUM(T168:T172)</f>
        <v>762.49999999999989</v>
      </c>
      <c r="U173" s="422">
        <f>SUM(U168:U172)</f>
        <v>973.19999999999993</v>
      </c>
      <c r="V173" s="417">
        <f t="shared" si="483"/>
        <v>802.5</v>
      </c>
      <c r="W173" s="422">
        <f t="shared" ref="W173:AU173" si="489">SUM(W168:W172)</f>
        <v>802.5</v>
      </c>
      <c r="X173" s="422">
        <f>SUM(X168:X172)</f>
        <v>1092.1000000000001</v>
      </c>
      <c r="Y173" s="417">
        <f t="shared" si="484"/>
        <v>931.4</v>
      </c>
      <c r="Z173" s="422">
        <f>SUM(Z168:Z172)</f>
        <v>931.4</v>
      </c>
      <c r="AA173" s="422">
        <f>SUM(AA168:AA172)</f>
        <v>1122.3</v>
      </c>
      <c r="AB173" s="417">
        <f t="shared" si="485"/>
        <v>938.4</v>
      </c>
      <c r="AC173" s="422">
        <f t="shared" si="489"/>
        <v>938.4</v>
      </c>
      <c r="AD173" s="422">
        <f>SUM(AD168:AD172)</f>
        <v>1198.9145522675133</v>
      </c>
      <c r="AE173" s="417">
        <f t="shared" si="486"/>
        <v>1029.3130041417533</v>
      </c>
      <c r="AF173" s="422">
        <f t="shared" si="489"/>
        <v>1029.3130041417533</v>
      </c>
      <c r="AG173" s="422">
        <f>SUM(AG168:AG172)</f>
        <v>1248.7814574140527</v>
      </c>
      <c r="AH173" s="417">
        <f t="shared" si="487"/>
        <v>1072.2664701348606</v>
      </c>
      <c r="AI173" s="422">
        <f t="shared" si="489"/>
        <v>1072.2664701348606</v>
      </c>
      <c r="AJ173" s="422"/>
      <c r="AK173" s="422"/>
      <c r="AL173" s="422">
        <f t="shared" si="489"/>
        <v>1118.5298064549538</v>
      </c>
      <c r="AM173" s="422"/>
      <c r="AN173" s="422"/>
      <c r="AO173" s="422">
        <f t="shared" si="489"/>
        <v>1163.6728753176053</v>
      </c>
      <c r="AP173" s="422"/>
      <c r="AQ173" s="422"/>
      <c r="AR173" s="422">
        <f t="shared" si="489"/>
        <v>1207.3296129093555</v>
      </c>
      <c r="AS173" s="422"/>
      <c r="AT173" s="422"/>
      <c r="AU173" s="422">
        <f t="shared" si="489"/>
        <v>1248.8464571985596</v>
      </c>
      <c r="AV173" s="422"/>
      <c r="AW173" s="422"/>
      <c r="AX173" s="422">
        <f t="shared" ref="AX173" si="490">SUM(AX168:AX172)</f>
        <v>1287.9614743118341</v>
      </c>
      <c r="AY173" s="422"/>
      <c r="AZ173" s="422"/>
      <c r="BA173" s="422">
        <f t="shared" ref="BA173:BD173" si="491">SUM(BA168:BA172)</f>
        <v>1327.9232821927817</v>
      </c>
      <c r="BB173" s="422"/>
      <c r="BC173" s="422"/>
      <c r="BD173" s="422">
        <f t="shared" si="491"/>
        <v>1368.7054094414877</v>
      </c>
      <c r="BE173" s="422"/>
      <c r="BF173" s="422"/>
      <c r="BG173" s="422">
        <f t="shared" ref="BG173:BJ173" si="492">SUM(BG168:BG172)</f>
        <v>1410.2771270257535</v>
      </c>
      <c r="BH173" s="422"/>
      <c r="BI173" s="422"/>
      <c r="BJ173" s="422">
        <f t="shared" si="492"/>
        <v>1452.603178382936</v>
      </c>
    </row>
    <row r="174" spans="2:62" s="377" customFormat="1">
      <c r="C174" s="417"/>
      <c r="D174" s="417"/>
      <c r="E174" s="417"/>
      <c r="F174" s="417"/>
      <c r="G174" s="417"/>
      <c r="H174" s="417"/>
      <c r="I174" s="417"/>
      <c r="J174" s="417"/>
      <c r="K174" s="418"/>
      <c r="L174" s="417"/>
      <c r="M174" s="417"/>
      <c r="N174" s="417"/>
      <c r="O174" s="417"/>
      <c r="P174" s="417"/>
      <c r="Q174" s="417"/>
      <c r="R174" s="417"/>
      <c r="S174" s="417"/>
      <c r="T174" s="417"/>
      <c r="U174" s="417"/>
      <c r="V174" s="417"/>
      <c r="W174" s="417"/>
      <c r="X174" s="417"/>
      <c r="Y174" s="417"/>
      <c r="Z174" s="417"/>
      <c r="AA174" s="417"/>
      <c r="AB174" s="417"/>
      <c r="AC174" s="417"/>
      <c r="AD174" s="417"/>
      <c r="AE174" s="417"/>
      <c r="AF174" s="417"/>
      <c r="AG174" s="417"/>
      <c r="AH174" s="417"/>
      <c r="AI174" s="417"/>
      <c r="AJ174" s="417"/>
      <c r="AK174" s="417"/>
      <c r="AL174" s="417"/>
      <c r="AM174" s="417"/>
      <c r="AN174" s="417"/>
      <c r="AO174" s="417"/>
      <c r="AP174" s="417"/>
      <c r="AQ174" s="417"/>
      <c r="AR174" s="417"/>
      <c r="AS174" s="417"/>
      <c r="AT174" s="417"/>
      <c r="AU174" s="417"/>
      <c r="AV174" s="417"/>
      <c r="AW174" s="417"/>
      <c r="AX174" s="417"/>
      <c r="AY174" s="417"/>
      <c r="AZ174" s="417"/>
      <c r="BA174" s="417"/>
      <c r="BB174" s="417"/>
      <c r="BC174" s="417"/>
      <c r="BD174" s="417"/>
      <c r="BE174" s="417"/>
      <c r="BF174" s="417"/>
      <c r="BG174" s="417"/>
      <c r="BH174" s="417"/>
      <c r="BI174" s="417"/>
      <c r="BJ174" s="417"/>
    </row>
    <row r="175" spans="2:62" s="377" customFormat="1">
      <c r="B175" s="411" t="s">
        <v>11</v>
      </c>
      <c r="C175" s="417"/>
      <c r="D175" s="417"/>
      <c r="E175" s="417"/>
      <c r="F175" s="417"/>
      <c r="G175" s="417"/>
      <c r="H175" s="417"/>
      <c r="I175" s="417"/>
      <c r="J175" s="417"/>
      <c r="K175" s="418"/>
      <c r="L175" s="417"/>
      <c r="M175" s="417"/>
      <c r="N175" s="417"/>
      <c r="O175" s="417"/>
      <c r="P175" s="417"/>
      <c r="Q175" s="417"/>
      <c r="R175" s="417"/>
      <c r="S175" s="417"/>
      <c r="T175" s="417"/>
      <c r="U175" s="417"/>
      <c r="V175" s="417"/>
      <c r="W175" s="417"/>
      <c r="X175" s="417"/>
      <c r="Y175" s="417"/>
      <c r="Z175" s="417"/>
      <c r="AA175" s="417"/>
      <c r="AB175" s="417"/>
      <c r="AC175" s="417"/>
      <c r="AD175" s="417"/>
      <c r="AE175" s="417"/>
      <c r="AF175" s="417"/>
      <c r="AG175" s="417"/>
      <c r="AH175" s="417"/>
      <c r="AI175" s="417"/>
      <c r="AJ175" s="417"/>
      <c r="AK175" s="417"/>
      <c r="AL175" s="417"/>
      <c r="AM175" s="417"/>
      <c r="AN175" s="417"/>
      <c r="AO175" s="417"/>
      <c r="AP175" s="417"/>
      <c r="AQ175" s="417"/>
      <c r="AR175" s="417"/>
      <c r="AS175" s="417"/>
      <c r="AT175" s="417"/>
      <c r="AU175" s="417"/>
      <c r="AV175" s="417"/>
      <c r="AW175" s="417"/>
      <c r="AX175" s="417"/>
      <c r="AY175" s="417"/>
      <c r="AZ175" s="417"/>
      <c r="BA175" s="417"/>
      <c r="BB175" s="417"/>
      <c r="BC175" s="417"/>
      <c r="BD175" s="417"/>
      <c r="BE175" s="417"/>
      <c r="BF175" s="417"/>
      <c r="BG175" s="417"/>
      <c r="BH175" s="417"/>
      <c r="BI175" s="417"/>
      <c r="BJ175" s="417"/>
    </row>
    <row r="176" spans="2:62" s="377" customFormat="1">
      <c r="B176" s="377" t="s">
        <v>76</v>
      </c>
      <c r="C176" s="417">
        <v>271.39999999999998</v>
      </c>
      <c r="D176" s="417">
        <f t="shared" ref="D176:D180" si="493">E176</f>
        <v>398</v>
      </c>
      <c r="E176" s="417">
        <v>398</v>
      </c>
      <c r="F176" s="417">
        <v>226.9</v>
      </c>
      <c r="G176" s="417">
        <f t="shared" ref="G176:G180" si="494">H176</f>
        <v>435.1</v>
      </c>
      <c r="H176" s="417">
        <v>435.1</v>
      </c>
      <c r="I176" s="417">
        <v>354.1</v>
      </c>
      <c r="J176" s="417">
        <f t="shared" ref="J176:J180" si="495">K176</f>
        <v>390.8</v>
      </c>
      <c r="K176" s="418">
        <v>390.8</v>
      </c>
      <c r="L176" s="417">
        <v>303.39999999999998</v>
      </c>
      <c r="M176" s="417">
        <f t="shared" ref="M176:M180" si="496">N176</f>
        <v>247.8</v>
      </c>
      <c r="N176" s="417">
        <v>247.8</v>
      </c>
      <c r="O176" s="417">
        <v>0</v>
      </c>
      <c r="P176" s="417">
        <f t="shared" ref="P176:P180" si="497">Q176</f>
        <v>0</v>
      </c>
      <c r="Q176" s="417">
        <v>0</v>
      </c>
      <c r="R176" s="417">
        <v>0</v>
      </c>
      <c r="S176" s="417">
        <f t="shared" ref="S176:S180" si="498">T176</f>
        <v>0</v>
      </c>
      <c r="T176" s="419">
        <v>0</v>
      </c>
      <c r="U176" s="417">
        <f>T176</f>
        <v>0</v>
      </c>
      <c r="V176" s="417">
        <f t="shared" ref="V176:V180" si="499">W176</f>
        <v>0</v>
      </c>
      <c r="W176" s="419">
        <f>Debt!W11</f>
        <v>0</v>
      </c>
      <c r="X176" s="417">
        <f>W176</f>
        <v>0</v>
      </c>
      <c r="Y176" s="417">
        <f t="shared" ref="Y176:Y180" si="500">Z176</f>
        <v>0</v>
      </c>
      <c r="Z176" s="419">
        <f>Debt!Z11</f>
        <v>0</v>
      </c>
      <c r="AA176" s="417">
        <f>Z176</f>
        <v>0</v>
      </c>
      <c r="AB176" s="417">
        <f t="shared" ref="AB176:AB180" si="501">AC176</f>
        <v>0</v>
      </c>
      <c r="AC176" s="419">
        <f>Debt!AC11</f>
        <v>0</v>
      </c>
      <c r="AD176" s="417">
        <v>0</v>
      </c>
      <c r="AE176" s="417">
        <f t="shared" ref="AE176:AE180" si="502">AF176</f>
        <v>0.1</v>
      </c>
      <c r="AF176" s="417">
        <v>0.1</v>
      </c>
      <c r="AG176" s="417">
        <v>0.1</v>
      </c>
      <c r="AH176" s="417">
        <v>0.1</v>
      </c>
      <c r="AI176" s="417">
        <v>0.1</v>
      </c>
      <c r="AJ176" s="417">
        <v>0.1</v>
      </c>
      <c r="AK176" s="417">
        <v>0.1</v>
      </c>
      <c r="AL176" s="417">
        <v>0.1</v>
      </c>
      <c r="AM176" s="417">
        <v>0.1</v>
      </c>
      <c r="AN176" s="417">
        <v>0.1</v>
      </c>
      <c r="AO176" s="417">
        <v>0.1</v>
      </c>
      <c r="AP176" s="417">
        <v>0.1</v>
      </c>
      <c r="AQ176" s="417">
        <v>0.1</v>
      </c>
      <c r="AR176" s="417">
        <v>0.1</v>
      </c>
      <c r="AS176" s="417">
        <v>0.1</v>
      </c>
      <c r="AT176" s="417">
        <v>0.1</v>
      </c>
      <c r="AU176" s="417">
        <v>0.1</v>
      </c>
      <c r="AV176" s="417">
        <v>0.1</v>
      </c>
      <c r="AW176" s="417">
        <v>0.1</v>
      </c>
      <c r="AX176" s="417">
        <v>0.1</v>
      </c>
      <c r="AY176" s="417">
        <v>0.1</v>
      </c>
      <c r="AZ176" s="417">
        <v>0.1</v>
      </c>
      <c r="BA176" s="417">
        <v>0.1</v>
      </c>
      <c r="BB176" s="417">
        <v>0.1</v>
      </c>
      <c r="BC176" s="417">
        <v>0.1</v>
      </c>
      <c r="BD176" s="417">
        <v>0.1</v>
      </c>
      <c r="BE176" s="417">
        <v>0.1</v>
      </c>
      <c r="BF176" s="417">
        <v>0.1</v>
      </c>
      <c r="BG176" s="417">
        <v>0.1</v>
      </c>
      <c r="BH176" s="417">
        <v>0.1</v>
      </c>
      <c r="BI176" s="417">
        <v>0.1</v>
      </c>
      <c r="BJ176" s="417">
        <v>0.1</v>
      </c>
    </row>
    <row r="177" spans="2:62" s="377" customFormat="1">
      <c r="B177" s="377" t="s">
        <v>572</v>
      </c>
      <c r="C177" s="417"/>
      <c r="D177" s="417">
        <f t="shared" si="493"/>
        <v>0</v>
      </c>
      <c r="E177" s="417"/>
      <c r="F177" s="417"/>
      <c r="G177" s="417">
        <f t="shared" si="494"/>
        <v>0</v>
      </c>
      <c r="H177" s="417"/>
      <c r="I177" s="417"/>
      <c r="J177" s="417">
        <f t="shared" si="495"/>
        <v>0</v>
      </c>
      <c r="K177" s="418"/>
      <c r="L177" s="417">
        <v>746.3</v>
      </c>
      <c r="M177" s="417">
        <f t="shared" si="496"/>
        <v>760.9</v>
      </c>
      <c r="N177" s="417">
        <v>760.9</v>
      </c>
      <c r="O177" s="417">
        <v>697.8</v>
      </c>
      <c r="P177" s="417">
        <f t="shared" si="497"/>
        <v>795.7</v>
      </c>
      <c r="Q177" s="417">
        <v>795.7</v>
      </c>
      <c r="R177" s="417">
        <v>821.2</v>
      </c>
      <c r="S177" s="417">
        <f t="shared" si="498"/>
        <v>817.3</v>
      </c>
      <c r="T177" s="419">
        <v>817.3</v>
      </c>
      <c r="U177" s="419">
        <v>837.7</v>
      </c>
      <c r="V177" s="417">
        <f t="shared" si="499"/>
        <v>859.2</v>
      </c>
      <c r="W177" s="419">
        <f>'PPE &amp; Leases'!W40-MODEL!W169</f>
        <v>859.2</v>
      </c>
      <c r="X177" s="419">
        <v>893.3</v>
      </c>
      <c r="Y177" s="417">
        <f t="shared" si="500"/>
        <v>903.10000000000014</v>
      </c>
      <c r="Z177" s="419">
        <f>'PPE &amp; Leases'!Z40-MODEL!Z169</f>
        <v>903.10000000000014</v>
      </c>
      <c r="AA177" s="419">
        <v>906.7</v>
      </c>
      <c r="AB177" s="417">
        <f t="shared" si="501"/>
        <v>1012.2000000000002</v>
      </c>
      <c r="AC177" s="419">
        <f>'PPE &amp; Leases'!AC40-MODEL!AC169</f>
        <v>1012.2000000000002</v>
      </c>
      <c r="AD177" s="417">
        <f>'PPE &amp; Leases'!AD40-MODEL!AD169</f>
        <v>1004.8534739712144</v>
      </c>
      <c r="AE177" s="417">
        <f t="shared" si="502"/>
        <v>1021.0669479424287</v>
      </c>
      <c r="AF177" s="417">
        <f>'PPE &amp; Leases'!AF40-MODEL!AF169</f>
        <v>1021.0669479424287</v>
      </c>
      <c r="AG177" s="417">
        <f>'PPE &amp; Leases'!AG40-MODEL!AG169</f>
        <v>1030.8458106209839</v>
      </c>
      <c r="AH177" s="417">
        <f t="shared" ref="AH177:AH180" si="503">AI177</f>
        <v>1040.6246732995387</v>
      </c>
      <c r="AI177" s="417">
        <f>'PPE &amp; Leases'!AI40-MODEL!AI169</f>
        <v>1040.6246732995387</v>
      </c>
      <c r="AJ177" s="417"/>
      <c r="AK177" s="417"/>
      <c r="AL177" s="417">
        <f>'PPE &amp; Leases'!AL40-MODEL!AL169</f>
        <v>1075.9057970296853</v>
      </c>
      <c r="AM177" s="417"/>
      <c r="AN177" s="417"/>
      <c r="AO177" s="417">
        <f>'PPE &amp; Leases'!AO40-MODEL!AO169</f>
        <v>1109.3151517250956</v>
      </c>
      <c r="AP177" s="417"/>
      <c r="AQ177" s="417"/>
      <c r="AR177" s="417">
        <f>'PPE &amp; Leases'!AR40-MODEL!AR169</f>
        <v>1142.568552506546</v>
      </c>
      <c r="AS177" s="417"/>
      <c r="AT177" s="417"/>
      <c r="AU177" s="417">
        <f>'PPE &amp; Leases'!AU40-MODEL!AU169</f>
        <v>1175.4780554915458</v>
      </c>
      <c r="AV177" s="417"/>
      <c r="AW177" s="417"/>
      <c r="AX177" s="417">
        <f>'PPE &amp; Leases'!AX40-MODEL!AX169</f>
        <v>1207.8373611558654</v>
      </c>
      <c r="AY177" s="417"/>
      <c r="AZ177" s="417"/>
      <c r="BA177" s="417">
        <f>'PPE &amp; Leases'!BA40-MODEL!BA169</f>
        <v>1239.4207230032921</v>
      </c>
      <c r="BB177" s="417"/>
      <c r="BC177" s="417"/>
      <c r="BD177" s="417">
        <f>'PPE &amp; Leases'!BD40-MODEL!BD169</f>
        <v>1269.9818085636591</v>
      </c>
      <c r="BE177" s="417"/>
      <c r="BF177" s="417"/>
      <c r="BG177" s="417">
        <f>'PPE &amp; Leases'!BG40-MODEL!BG169</f>
        <v>1299.2525109854198</v>
      </c>
      <c r="BH177" s="417"/>
      <c r="BI177" s="417"/>
      <c r="BJ177" s="417">
        <f>'PPE &amp; Leases'!BJ40-MODEL!BJ169</f>
        <v>1326.9417094305968</v>
      </c>
    </row>
    <row r="178" spans="2:62" s="377" customFormat="1">
      <c r="B178" s="377" t="s">
        <v>12</v>
      </c>
      <c r="C178" s="417">
        <v>30.8</v>
      </c>
      <c r="D178" s="417">
        <f t="shared" si="493"/>
        <v>17.100000000000001</v>
      </c>
      <c r="E178" s="417">
        <v>17.100000000000001</v>
      </c>
      <c r="F178" s="417">
        <v>24.3</v>
      </c>
      <c r="G178" s="417">
        <f t="shared" si="494"/>
        <v>20.100000000000001</v>
      </c>
      <c r="H178" s="417">
        <f>30.1-10</f>
        <v>20.100000000000001</v>
      </c>
      <c r="I178" s="417">
        <v>18.3</v>
      </c>
      <c r="J178" s="417">
        <f t="shared" si="495"/>
        <v>23.4</v>
      </c>
      <c r="K178" s="418">
        <v>23.4</v>
      </c>
      <c r="L178" s="417">
        <v>7.2</v>
      </c>
      <c r="M178" s="417">
        <f t="shared" si="496"/>
        <v>0</v>
      </c>
      <c r="N178" s="417">
        <v>0</v>
      </c>
      <c r="O178" s="417">
        <v>0</v>
      </c>
      <c r="P178" s="417">
        <f t="shared" si="497"/>
        <v>0</v>
      </c>
      <c r="Q178" s="417">
        <v>0</v>
      </c>
      <c r="R178" s="417">
        <v>0</v>
      </c>
      <c r="S178" s="417">
        <f t="shared" si="498"/>
        <v>0</v>
      </c>
      <c r="T178" s="419">
        <f>Q178</f>
        <v>0</v>
      </c>
      <c r="U178" s="419">
        <v>9.5</v>
      </c>
      <c r="V178" s="417">
        <f t="shared" si="499"/>
        <v>32.9</v>
      </c>
      <c r="W178" s="419">
        <v>32.9</v>
      </c>
      <c r="X178" s="419">
        <v>13.3</v>
      </c>
      <c r="Y178" s="417">
        <f t="shared" si="500"/>
        <v>10.199999999999999</v>
      </c>
      <c r="Z178" s="419">
        <v>10.199999999999999</v>
      </c>
      <c r="AA178" s="419">
        <v>8</v>
      </c>
      <c r="AB178" s="417">
        <f t="shared" si="501"/>
        <v>7.4</v>
      </c>
      <c r="AC178" s="419">
        <v>7.4</v>
      </c>
      <c r="AD178" s="417">
        <f>AC178</f>
        <v>7.4</v>
      </c>
      <c r="AE178" s="417">
        <f t="shared" si="502"/>
        <v>7.4</v>
      </c>
      <c r="AF178" s="417">
        <f>AC178</f>
        <v>7.4</v>
      </c>
      <c r="AG178" s="417">
        <f>AF178</f>
        <v>7.4</v>
      </c>
      <c r="AH178" s="417">
        <f t="shared" si="503"/>
        <v>7.4</v>
      </c>
      <c r="AI178" s="417">
        <f>AF178</f>
        <v>7.4</v>
      </c>
      <c r="AJ178" s="417"/>
      <c r="AK178" s="417"/>
      <c r="AL178" s="417">
        <f>AI178</f>
        <v>7.4</v>
      </c>
      <c r="AM178" s="417"/>
      <c r="AN178" s="417"/>
      <c r="AO178" s="417">
        <f>AL178</f>
        <v>7.4</v>
      </c>
      <c r="AP178" s="417"/>
      <c r="AQ178" s="417"/>
      <c r="AR178" s="417">
        <f>AO178</f>
        <v>7.4</v>
      </c>
      <c r="AS178" s="417"/>
      <c r="AT178" s="417"/>
      <c r="AU178" s="417">
        <f>AR178</f>
        <v>7.4</v>
      </c>
      <c r="AV178" s="417"/>
      <c r="AW178" s="417"/>
      <c r="AX178" s="417">
        <f>AU178</f>
        <v>7.4</v>
      </c>
      <c r="AY178" s="417"/>
      <c r="AZ178" s="417"/>
      <c r="BA178" s="417">
        <f>AX178</f>
        <v>7.4</v>
      </c>
      <c r="BB178" s="417"/>
      <c r="BC178" s="417"/>
      <c r="BD178" s="417">
        <f>BA178</f>
        <v>7.4</v>
      </c>
      <c r="BE178" s="417"/>
      <c r="BF178" s="417"/>
      <c r="BG178" s="417">
        <f>BD178</f>
        <v>7.4</v>
      </c>
      <c r="BH178" s="417"/>
      <c r="BI178" s="417"/>
      <c r="BJ178" s="417">
        <f t="shared" ref="BJ178" si="504">BG178</f>
        <v>7.4</v>
      </c>
    </row>
    <row r="179" spans="2:62" s="377" customFormat="1">
      <c r="B179" s="377" t="s">
        <v>9</v>
      </c>
      <c r="C179" s="417">
        <v>67.599999999999994</v>
      </c>
      <c r="D179" s="417">
        <f t="shared" si="493"/>
        <v>65.7</v>
      </c>
      <c r="E179" s="417">
        <f>44.2+21.5</f>
        <v>65.7</v>
      </c>
      <c r="F179" s="417">
        <f>47.1+22.3</f>
        <v>69.400000000000006</v>
      </c>
      <c r="G179" s="417">
        <f t="shared" si="494"/>
        <v>70.8</v>
      </c>
      <c r="H179" s="417">
        <f>49.1+21.7</f>
        <v>70.8</v>
      </c>
      <c r="I179" s="417">
        <f>48.8+21.4</f>
        <v>70.199999999999989</v>
      </c>
      <c r="J179" s="417">
        <f t="shared" si="495"/>
        <v>69.2</v>
      </c>
      <c r="K179" s="418">
        <f>49.5+19.7</f>
        <v>69.2</v>
      </c>
      <c r="L179" s="417">
        <v>24.2</v>
      </c>
      <c r="M179" s="417">
        <f t="shared" si="496"/>
        <v>24.3</v>
      </c>
      <c r="N179" s="417">
        <v>24.3</v>
      </c>
      <c r="O179" s="417">
        <v>25.5</v>
      </c>
      <c r="P179" s="417">
        <f t="shared" si="497"/>
        <v>26.6</v>
      </c>
      <c r="Q179" s="417">
        <v>26.6</v>
      </c>
      <c r="R179" s="417">
        <v>29.2</v>
      </c>
      <c r="S179" s="417">
        <f t="shared" si="498"/>
        <v>40.4</v>
      </c>
      <c r="T179" s="419">
        <v>40.4</v>
      </c>
      <c r="U179" s="419">
        <v>43.8</v>
      </c>
      <c r="V179" s="417">
        <f t="shared" si="499"/>
        <v>40.700000000000003</v>
      </c>
      <c r="W179" s="419">
        <v>40.700000000000003</v>
      </c>
      <c r="X179" s="419">
        <v>42.2</v>
      </c>
      <c r="Y179" s="417">
        <f t="shared" si="500"/>
        <v>45.4</v>
      </c>
      <c r="Z179" s="419">
        <v>45.4</v>
      </c>
      <c r="AA179" s="419">
        <v>52.8</v>
      </c>
      <c r="AB179" s="417">
        <f t="shared" si="501"/>
        <v>57.2</v>
      </c>
      <c r="AC179" s="419">
        <v>57.2</v>
      </c>
      <c r="AD179" s="417">
        <f>AC179</f>
        <v>57.2</v>
      </c>
      <c r="AE179" s="417">
        <f t="shared" si="502"/>
        <v>57.2</v>
      </c>
      <c r="AF179" s="417">
        <f>AC179</f>
        <v>57.2</v>
      </c>
      <c r="AG179" s="417">
        <f>AF179</f>
        <v>57.2</v>
      </c>
      <c r="AH179" s="417">
        <f t="shared" si="503"/>
        <v>57.2</v>
      </c>
      <c r="AI179" s="417">
        <f>AF179</f>
        <v>57.2</v>
      </c>
      <c r="AJ179" s="417"/>
      <c r="AK179" s="417"/>
      <c r="AL179" s="417">
        <f>AI179</f>
        <v>57.2</v>
      </c>
      <c r="AM179" s="417"/>
      <c r="AN179" s="417"/>
      <c r="AO179" s="417">
        <f>AL179</f>
        <v>57.2</v>
      </c>
      <c r="AP179" s="417"/>
      <c r="AQ179" s="417"/>
      <c r="AR179" s="417">
        <f>AO179</f>
        <v>57.2</v>
      </c>
      <c r="AS179" s="417"/>
      <c r="AT179" s="417"/>
      <c r="AU179" s="417">
        <f>AR179</f>
        <v>57.2</v>
      </c>
      <c r="AV179" s="417"/>
      <c r="AW179" s="417"/>
      <c r="AX179" s="417">
        <f>AU179</f>
        <v>57.2</v>
      </c>
      <c r="AY179" s="417"/>
      <c r="AZ179" s="417"/>
      <c r="BA179" s="417">
        <f>AX179</f>
        <v>57.2</v>
      </c>
      <c r="BB179" s="417"/>
      <c r="BC179" s="417"/>
      <c r="BD179" s="417">
        <f>BA179</f>
        <v>57.2</v>
      </c>
      <c r="BE179" s="417"/>
      <c r="BF179" s="417"/>
      <c r="BG179" s="417">
        <f>BD179</f>
        <v>57.2</v>
      </c>
      <c r="BH179" s="417"/>
      <c r="BI179" s="417"/>
      <c r="BJ179" s="417">
        <f t="shared" ref="BJ179" si="505">BG179</f>
        <v>57.2</v>
      </c>
    </row>
    <row r="180" spans="2:62" s="377" customFormat="1">
      <c r="B180" s="411" t="s">
        <v>13</v>
      </c>
      <c r="C180" s="422">
        <v>369.79999999999995</v>
      </c>
      <c r="D180" s="417">
        <f t="shared" si="493"/>
        <v>480.8</v>
      </c>
      <c r="E180" s="422">
        <f>SUM(E176:E179)</f>
        <v>480.8</v>
      </c>
      <c r="F180" s="422">
        <f>SUM(F176:F179)</f>
        <v>320.60000000000002</v>
      </c>
      <c r="G180" s="417">
        <f t="shared" si="494"/>
        <v>526</v>
      </c>
      <c r="H180" s="422">
        <f>SUM(H176:H179)</f>
        <v>526</v>
      </c>
      <c r="I180" s="422">
        <f>SUM(I176:I179)</f>
        <v>442.6</v>
      </c>
      <c r="J180" s="417">
        <f t="shared" si="495"/>
        <v>483.4</v>
      </c>
      <c r="K180" s="423">
        <f>SUM(K176:K179)</f>
        <v>483.4</v>
      </c>
      <c r="L180" s="422">
        <f>SUM(L176:L179)</f>
        <v>1081.0999999999999</v>
      </c>
      <c r="M180" s="417">
        <f t="shared" si="496"/>
        <v>1033</v>
      </c>
      <c r="N180" s="422">
        <f>SUM(N176:N179)</f>
        <v>1033</v>
      </c>
      <c r="O180" s="422">
        <f>SUM(O176:O179)</f>
        <v>723.3</v>
      </c>
      <c r="P180" s="417">
        <f t="shared" si="497"/>
        <v>822.30000000000007</v>
      </c>
      <c r="Q180" s="422">
        <f>SUM(Q176:Q179)</f>
        <v>822.30000000000007</v>
      </c>
      <c r="R180" s="422">
        <f>SUM(R176:R179)</f>
        <v>850.40000000000009</v>
      </c>
      <c r="S180" s="417">
        <f t="shared" si="498"/>
        <v>857.69999999999993</v>
      </c>
      <c r="T180" s="422">
        <f>SUM(T176:T179)</f>
        <v>857.69999999999993</v>
      </c>
      <c r="U180" s="422">
        <f>SUM(U176:U179)</f>
        <v>891</v>
      </c>
      <c r="V180" s="417">
        <f t="shared" si="499"/>
        <v>932.80000000000007</v>
      </c>
      <c r="W180" s="422">
        <f t="shared" ref="W180:AU180" si="506">SUM(W176:W179)</f>
        <v>932.80000000000007</v>
      </c>
      <c r="X180" s="422">
        <f>SUM(X176:X179)</f>
        <v>948.8</v>
      </c>
      <c r="Y180" s="417">
        <f t="shared" si="500"/>
        <v>958.70000000000016</v>
      </c>
      <c r="Z180" s="422">
        <f t="shared" si="506"/>
        <v>958.70000000000016</v>
      </c>
      <c r="AA180" s="422">
        <f>SUM(AA176:AA179)</f>
        <v>967.5</v>
      </c>
      <c r="AB180" s="417">
        <f t="shared" si="501"/>
        <v>1076.8000000000002</v>
      </c>
      <c r="AC180" s="422">
        <f t="shared" si="506"/>
        <v>1076.8000000000002</v>
      </c>
      <c r="AD180" s="422">
        <f>SUM(AD176:AD179)</f>
        <v>1069.4534739712144</v>
      </c>
      <c r="AE180" s="417">
        <f t="shared" si="502"/>
        <v>1085.7669479424287</v>
      </c>
      <c r="AF180" s="422">
        <f t="shared" si="506"/>
        <v>1085.7669479424287</v>
      </c>
      <c r="AG180" s="422">
        <f>SUM(AG176:AG179)</f>
        <v>1095.545810620984</v>
      </c>
      <c r="AH180" s="417">
        <f t="shared" si="503"/>
        <v>1105.3246732995387</v>
      </c>
      <c r="AI180" s="422">
        <f t="shared" si="506"/>
        <v>1105.3246732995387</v>
      </c>
      <c r="AJ180" s="422"/>
      <c r="AK180" s="422"/>
      <c r="AL180" s="422">
        <f t="shared" si="506"/>
        <v>1140.6057970296854</v>
      </c>
      <c r="AM180" s="422"/>
      <c r="AN180" s="422"/>
      <c r="AO180" s="422">
        <f t="shared" si="506"/>
        <v>1174.0151517250956</v>
      </c>
      <c r="AP180" s="422"/>
      <c r="AQ180" s="422"/>
      <c r="AR180" s="422">
        <f t="shared" si="506"/>
        <v>1207.268552506546</v>
      </c>
      <c r="AS180" s="422"/>
      <c r="AT180" s="422"/>
      <c r="AU180" s="422">
        <f t="shared" si="506"/>
        <v>1240.1780554915458</v>
      </c>
      <c r="AV180" s="422"/>
      <c r="AW180" s="422"/>
      <c r="AX180" s="422">
        <f t="shared" ref="AX180" si="507">SUM(AX176:AX179)</f>
        <v>1272.5373611558655</v>
      </c>
      <c r="AY180" s="422"/>
      <c r="AZ180" s="422"/>
      <c r="BA180" s="422">
        <f t="shared" ref="BA180:BD180" si="508">SUM(BA176:BA179)</f>
        <v>1304.1207230032921</v>
      </c>
      <c r="BB180" s="422"/>
      <c r="BC180" s="422"/>
      <c r="BD180" s="422">
        <f t="shared" si="508"/>
        <v>1334.6818085636592</v>
      </c>
      <c r="BE180" s="422"/>
      <c r="BF180" s="422"/>
      <c r="BG180" s="422">
        <f t="shared" ref="BG180:BJ180" si="509">SUM(BG176:BG179)</f>
        <v>1363.9525109854198</v>
      </c>
      <c r="BH180" s="422"/>
      <c r="BI180" s="422"/>
      <c r="BJ180" s="422">
        <f t="shared" si="509"/>
        <v>1391.6417094305968</v>
      </c>
    </row>
    <row r="181" spans="2:62" s="377" customFormat="1">
      <c r="C181" s="417"/>
      <c r="D181" s="417"/>
      <c r="E181" s="417"/>
      <c r="F181" s="417"/>
      <c r="G181" s="417"/>
      <c r="H181" s="417"/>
      <c r="I181" s="417"/>
      <c r="J181" s="417"/>
      <c r="K181" s="418"/>
      <c r="L181" s="417"/>
      <c r="M181" s="417"/>
      <c r="N181" s="417"/>
      <c r="O181" s="417"/>
      <c r="P181" s="417"/>
      <c r="Q181" s="417"/>
      <c r="R181" s="417"/>
      <c r="S181" s="417"/>
      <c r="T181" s="417"/>
      <c r="U181" s="417"/>
      <c r="V181" s="417"/>
      <c r="W181" s="417"/>
      <c r="X181" s="417"/>
      <c r="Y181" s="417"/>
      <c r="Z181" s="417"/>
      <c r="AA181" s="417"/>
      <c r="AB181" s="417"/>
      <c r="AC181" s="417"/>
      <c r="AD181" s="417"/>
      <c r="AE181" s="417"/>
      <c r="AF181" s="417"/>
      <c r="AG181" s="417"/>
      <c r="AH181" s="417"/>
      <c r="AI181" s="417"/>
      <c r="AJ181" s="417"/>
      <c r="AK181" s="417"/>
      <c r="AL181" s="417"/>
      <c r="AM181" s="417"/>
      <c r="AN181" s="417"/>
      <c r="AO181" s="417"/>
      <c r="AP181" s="417"/>
      <c r="AQ181" s="417"/>
      <c r="AR181" s="417"/>
      <c r="AS181" s="417"/>
      <c r="AT181" s="417"/>
      <c r="AU181" s="417"/>
      <c r="AV181" s="417"/>
      <c r="AW181" s="417"/>
      <c r="AX181" s="417"/>
      <c r="AY181" s="417"/>
      <c r="AZ181" s="417"/>
      <c r="BA181" s="417"/>
      <c r="BB181" s="417"/>
      <c r="BC181" s="417"/>
      <c r="BD181" s="417"/>
      <c r="BE181" s="417"/>
      <c r="BF181" s="417"/>
      <c r="BG181" s="417"/>
      <c r="BH181" s="417"/>
      <c r="BI181" s="417"/>
      <c r="BJ181" s="417"/>
    </row>
    <row r="182" spans="2:62" s="377" customFormat="1">
      <c r="B182" s="411" t="s">
        <v>14</v>
      </c>
      <c r="C182" s="422">
        <v>851.89999999999986</v>
      </c>
      <c r="D182" s="417">
        <f>E182</f>
        <v>804</v>
      </c>
      <c r="E182" s="422">
        <f>E180+E173</f>
        <v>804</v>
      </c>
      <c r="F182" s="422">
        <f>F180+F173</f>
        <v>854.1</v>
      </c>
      <c r="G182" s="417">
        <f>H182</f>
        <v>987.40000000000009</v>
      </c>
      <c r="H182" s="422">
        <f>H180+H173</f>
        <v>987.40000000000009</v>
      </c>
      <c r="I182" s="422">
        <f>I180+I173</f>
        <v>1098.7999999999997</v>
      </c>
      <c r="J182" s="417">
        <f>K182</f>
        <v>963</v>
      </c>
      <c r="K182" s="423">
        <f>K180+K173</f>
        <v>963</v>
      </c>
      <c r="L182" s="422">
        <f>L180+L173</f>
        <v>1928.4</v>
      </c>
      <c r="M182" s="417">
        <f>N182</f>
        <v>1783.8000000000002</v>
      </c>
      <c r="N182" s="422">
        <f>N180+N173</f>
        <v>1783.8000000000002</v>
      </c>
      <c r="O182" s="422">
        <f>O180+O173</f>
        <v>1837.6999999999998</v>
      </c>
      <c r="P182" s="417">
        <f>Q182</f>
        <v>1746.1</v>
      </c>
      <c r="Q182" s="422">
        <f>Q180+Q173</f>
        <v>1746.1</v>
      </c>
      <c r="R182" s="422">
        <f>R180+R173</f>
        <v>1876.3</v>
      </c>
      <c r="S182" s="417">
        <f>T182</f>
        <v>1620.1999999999998</v>
      </c>
      <c r="T182" s="422">
        <f>T180+T173</f>
        <v>1620.1999999999998</v>
      </c>
      <c r="U182" s="422">
        <f>U180+U173</f>
        <v>1864.1999999999998</v>
      </c>
      <c r="V182" s="417">
        <f>W182</f>
        <v>1735.3000000000002</v>
      </c>
      <c r="W182" s="422">
        <f t="shared" ref="W182:AU182" si="510">W180+W173</f>
        <v>1735.3000000000002</v>
      </c>
      <c r="X182" s="422">
        <f>X180+X173</f>
        <v>2040.9</v>
      </c>
      <c r="Y182" s="417">
        <f>Z182</f>
        <v>1890.1000000000001</v>
      </c>
      <c r="Z182" s="422">
        <f t="shared" si="510"/>
        <v>1890.1000000000001</v>
      </c>
      <c r="AA182" s="422">
        <f>AA180+AA173</f>
        <v>2089.8000000000002</v>
      </c>
      <c r="AB182" s="417">
        <f>AC182</f>
        <v>2015.2000000000003</v>
      </c>
      <c r="AC182" s="422">
        <f t="shared" si="510"/>
        <v>2015.2000000000003</v>
      </c>
      <c r="AD182" s="422">
        <f>AD180+AD173</f>
        <v>2268.3680262387279</v>
      </c>
      <c r="AE182" s="417">
        <f>AF182</f>
        <v>2115.079952084182</v>
      </c>
      <c r="AF182" s="422">
        <f t="shared" si="510"/>
        <v>2115.079952084182</v>
      </c>
      <c r="AG182" s="422">
        <f>AG180+AG173</f>
        <v>2344.3272680350365</v>
      </c>
      <c r="AH182" s="417">
        <f>AI182</f>
        <v>2177.5911434343993</v>
      </c>
      <c r="AI182" s="422">
        <f t="shared" si="510"/>
        <v>2177.5911434343993</v>
      </c>
      <c r="AJ182" s="422"/>
      <c r="AK182" s="422"/>
      <c r="AL182" s="422">
        <f t="shared" si="510"/>
        <v>2259.1356034846394</v>
      </c>
      <c r="AM182" s="422"/>
      <c r="AN182" s="422"/>
      <c r="AO182" s="422">
        <f t="shared" si="510"/>
        <v>2337.6880270427009</v>
      </c>
      <c r="AP182" s="422"/>
      <c r="AQ182" s="422"/>
      <c r="AR182" s="422">
        <f t="shared" si="510"/>
        <v>2414.5981654159013</v>
      </c>
      <c r="AS182" s="422"/>
      <c r="AT182" s="422"/>
      <c r="AU182" s="422">
        <f t="shared" si="510"/>
        <v>2489.0245126901054</v>
      </c>
      <c r="AV182" s="422"/>
      <c r="AW182" s="422"/>
      <c r="AX182" s="422">
        <f t="shared" ref="AX182" si="511">AX180+AX173</f>
        <v>2560.4988354676998</v>
      </c>
      <c r="AY182" s="422"/>
      <c r="AZ182" s="422"/>
      <c r="BA182" s="422">
        <f t="shared" ref="BA182:BD182" si="512">BA180+BA173</f>
        <v>2632.0440051960741</v>
      </c>
      <c r="BB182" s="422"/>
      <c r="BC182" s="422"/>
      <c r="BD182" s="422">
        <f t="shared" si="512"/>
        <v>2703.3872180051467</v>
      </c>
      <c r="BE182" s="422"/>
      <c r="BF182" s="422"/>
      <c r="BG182" s="422">
        <f t="shared" ref="BG182:BJ182" si="513">BG180+BG173</f>
        <v>2774.2296380111734</v>
      </c>
      <c r="BH182" s="422"/>
      <c r="BI182" s="422"/>
      <c r="BJ182" s="422">
        <f t="shared" si="513"/>
        <v>2844.2448878135328</v>
      </c>
    </row>
    <row r="183" spans="2:62" s="377" customFormat="1">
      <c r="C183" s="417"/>
      <c r="D183" s="417"/>
      <c r="E183" s="417"/>
      <c r="F183" s="417"/>
      <c r="G183" s="417"/>
      <c r="H183" s="417"/>
      <c r="I183" s="417"/>
      <c r="J183" s="417"/>
      <c r="K183" s="418"/>
      <c r="L183" s="417"/>
      <c r="M183" s="417"/>
      <c r="N183" s="417"/>
      <c r="O183" s="417"/>
      <c r="P183" s="417"/>
      <c r="Q183" s="417"/>
      <c r="R183" s="417"/>
      <c r="S183" s="417"/>
      <c r="T183" s="417"/>
      <c r="U183" s="417"/>
      <c r="V183" s="417"/>
      <c r="W183" s="417"/>
      <c r="X183" s="417"/>
      <c r="Y183" s="417"/>
      <c r="Z183" s="417"/>
      <c r="AA183" s="417"/>
      <c r="AB183" s="417"/>
      <c r="AC183" s="417"/>
      <c r="AD183" s="417"/>
      <c r="AE183" s="417"/>
      <c r="AF183" s="417"/>
      <c r="AG183" s="417"/>
      <c r="AH183" s="417"/>
      <c r="AI183" s="417"/>
      <c r="AJ183" s="417"/>
      <c r="AK183" s="417"/>
      <c r="AL183" s="417"/>
      <c r="AM183" s="417"/>
      <c r="AN183" s="417"/>
      <c r="AO183" s="417"/>
      <c r="AP183" s="417"/>
      <c r="AQ183" s="417"/>
      <c r="AR183" s="417"/>
      <c r="AS183" s="417"/>
      <c r="AT183" s="417"/>
      <c r="AU183" s="417"/>
      <c r="AV183" s="417"/>
      <c r="AW183" s="417"/>
      <c r="AX183" s="417"/>
      <c r="AY183" s="417"/>
      <c r="AZ183" s="417"/>
      <c r="BA183" s="417"/>
      <c r="BB183" s="417"/>
      <c r="BC183" s="417"/>
      <c r="BD183" s="417"/>
      <c r="BE183" s="417"/>
      <c r="BF183" s="417"/>
      <c r="BG183" s="417"/>
      <c r="BH183" s="417"/>
      <c r="BI183" s="417"/>
      <c r="BJ183" s="417"/>
    </row>
    <row r="184" spans="2:62" s="377" customFormat="1">
      <c r="B184" s="411" t="s">
        <v>15</v>
      </c>
      <c r="C184" s="417"/>
      <c r="D184" s="417"/>
      <c r="E184" s="417"/>
      <c r="F184" s="417"/>
      <c r="G184" s="417"/>
      <c r="H184" s="417"/>
      <c r="I184" s="417"/>
      <c r="J184" s="417"/>
      <c r="K184" s="418"/>
      <c r="L184" s="417"/>
      <c r="M184" s="417"/>
      <c r="N184" s="417"/>
      <c r="O184" s="417"/>
      <c r="P184" s="417"/>
      <c r="Q184" s="417"/>
      <c r="R184" s="417"/>
      <c r="S184" s="417"/>
      <c r="T184" s="417"/>
      <c r="U184" s="417"/>
      <c r="V184" s="417"/>
      <c r="W184" s="417"/>
      <c r="X184" s="417"/>
      <c r="Y184" s="417"/>
      <c r="Z184" s="417"/>
      <c r="AA184" s="417"/>
      <c r="AB184" s="417"/>
      <c r="AC184" s="417"/>
      <c r="AD184" s="417"/>
      <c r="AE184" s="417"/>
      <c r="AF184" s="417"/>
      <c r="AG184" s="417"/>
      <c r="AH184" s="417"/>
      <c r="AI184" s="417"/>
      <c r="AJ184" s="417"/>
      <c r="AK184" s="417"/>
      <c r="AL184" s="417"/>
      <c r="AM184" s="417"/>
      <c r="AN184" s="417"/>
      <c r="AO184" s="417"/>
      <c r="AP184" s="417"/>
      <c r="AQ184" s="417"/>
      <c r="AR184" s="417"/>
      <c r="AS184" s="417"/>
      <c r="AT184" s="417"/>
      <c r="AU184" s="417"/>
      <c r="AV184" s="417"/>
      <c r="AW184" s="417"/>
      <c r="AX184" s="417"/>
      <c r="AY184" s="417"/>
      <c r="AZ184" s="417"/>
      <c r="BA184" s="417"/>
      <c r="BB184" s="417"/>
      <c r="BC184" s="417"/>
      <c r="BD184" s="417"/>
      <c r="BE184" s="417"/>
      <c r="BF184" s="417"/>
      <c r="BG184" s="417"/>
      <c r="BH184" s="417"/>
      <c r="BI184" s="417"/>
      <c r="BJ184" s="417"/>
    </row>
    <row r="185" spans="2:62" s="377" customFormat="1">
      <c r="B185" s="377" t="s">
        <v>16</v>
      </c>
      <c r="C185" s="417">
        <v>542.29999999999995</v>
      </c>
      <c r="D185" s="417">
        <f t="shared" ref="D185:D189" si="514">E185</f>
        <v>542.29999999999995</v>
      </c>
      <c r="E185" s="417">
        <v>542.29999999999995</v>
      </c>
      <c r="F185" s="417">
        <v>542.29999999999995</v>
      </c>
      <c r="G185" s="417">
        <f t="shared" ref="G185:G189" si="515">H185</f>
        <v>542.29999999999995</v>
      </c>
      <c r="H185" s="417">
        <v>542.29999999999995</v>
      </c>
      <c r="I185" s="417">
        <v>542.29999999999995</v>
      </c>
      <c r="J185" s="417">
        <f t="shared" ref="J185:J189" si="516">K185</f>
        <v>542.29999999999995</v>
      </c>
      <c r="K185" s="418">
        <v>542.29999999999995</v>
      </c>
      <c r="L185" s="417">
        <v>542.29999999999995</v>
      </c>
      <c r="M185" s="417">
        <f t="shared" ref="M185:M189" si="517">N185</f>
        <v>698.1</v>
      </c>
      <c r="N185" s="417">
        <v>698.1</v>
      </c>
      <c r="O185" s="417">
        <v>740.7</v>
      </c>
      <c r="P185" s="417">
        <f t="shared" ref="P185:P189" si="518">Q185</f>
        <v>740.7</v>
      </c>
      <c r="Q185" s="417">
        <v>740.7</v>
      </c>
      <c r="R185" s="417">
        <v>740.7</v>
      </c>
      <c r="S185" s="417">
        <f t="shared" ref="S185:S189" si="519">T185</f>
        <v>740.7</v>
      </c>
      <c r="T185" s="419">
        <v>740.7</v>
      </c>
      <c r="U185" s="419">
        <v>740.7</v>
      </c>
      <c r="V185" s="417">
        <f t="shared" ref="V185:V189" si="520">W185</f>
        <v>740.7</v>
      </c>
      <c r="W185" s="419">
        <f>T185+W123</f>
        <v>740.7</v>
      </c>
      <c r="X185" s="419">
        <v>740.7</v>
      </c>
      <c r="Y185" s="417">
        <f t="shared" ref="Y185:Y189" si="521">Z185</f>
        <v>740.7</v>
      </c>
      <c r="Z185" s="419">
        <f>W185+Z123</f>
        <v>740.7</v>
      </c>
      <c r="AA185" s="419">
        <f>740.7-0.2</f>
        <v>740.5</v>
      </c>
      <c r="AB185" s="417">
        <f t="shared" ref="AB185:AB189" si="522">AC185</f>
        <v>740.7</v>
      </c>
      <c r="AC185" s="419">
        <f>Z185+AC123</f>
        <v>740.7</v>
      </c>
      <c r="AD185" s="417">
        <f>AA185+AD123</f>
        <v>740.5</v>
      </c>
      <c r="AE185" s="417">
        <f t="shared" ref="AE185:AE189" si="523">AF185</f>
        <v>740.7</v>
      </c>
      <c r="AF185" s="417">
        <f>AC185+AF123</f>
        <v>740.7</v>
      </c>
      <c r="AG185" s="417">
        <f>AD185+AG123</f>
        <v>740.5</v>
      </c>
      <c r="AH185" s="417">
        <f t="shared" ref="AH185:AH189" si="524">AI185</f>
        <v>740.7</v>
      </c>
      <c r="AI185" s="417">
        <f>AF185+AI123</f>
        <v>740.7</v>
      </c>
      <c r="AJ185" s="417"/>
      <c r="AK185" s="417"/>
      <c r="AL185" s="417">
        <f>AI185+AL123</f>
        <v>740.7</v>
      </c>
      <c r="AM185" s="417"/>
      <c r="AN185" s="417"/>
      <c r="AO185" s="417">
        <f>AL185+AO123</f>
        <v>740.7</v>
      </c>
      <c r="AP185" s="417"/>
      <c r="AQ185" s="417"/>
      <c r="AR185" s="417">
        <f>AO185+AR123</f>
        <v>740.7</v>
      </c>
      <c r="AS185" s="417"/>
      <c r="AT185" s="417"/>
      <c r="AU185" s="417">
        <f>AR185+AU123</f>
        <v>740.7</v>
      </c>
      <c r="AV185" s="417"/>
      <c r="AW185" s="417"/>
      <c r="AX185" s="417">
        <f>AU185+AX123</f>
        <v>740.7</v>
      </c>
      <c r="AY185" s="417"/>
      <c r="AZ185" s="417"/>
      <c r="BA185" s="417">
        <f>AX185+BA123</f>
        <v>740.7</v>
      </c>
      <c r="BB185" s="417"/>
      <c r="BC185" s="417"/>
      <c r="BD185" s="417">
        <f>BA185+BD123</f>
        <v>740.7</v>
      </c>
      <c r="BE185" s="417"/>
      <c r="BF185" s="417"/>
      <c r="BG185" s="417">
        <f>BD185+BG123</f>
        <v>740.7</v>
      </c>
      <c r="BH185" s="417"/>
      <c r="BI185" s="417"/>
      <c r="BJ185" s="417">
        <f t="shared" ref="BJ185" si="525">BG185+BJ123</f>
        <v>740.7</v>
      </c>
    </row>
    <row r="186" spans="2:62" s="377" customFormat="1" ht="12" customHeight="1">
      <c r="B186" s="377" t="s">
        <v>80</v>
      </c>
      <c r="C186" s="417">
        <v>5.8</v>
      </c>
      <c r="D186" s="417">
        <f t="shared" si="514"/>
        <v>3.5</v>
      </c>
      <c r="E186" s="417">
        <v>3.5</v>
      </c>
      <c r="F186" s="417">
        <v>3</v>
      </c>
      <c r="G186" s="417">
        <f t="shared" si="515"/>
        <v>10.3</v>
      </c>
      <c r="H186" s="417">
        <v>10.3</v>
      </c>
      <c r="I186" s="417">
        <v>12.9</v>
      </c>
      <c r="J186" s="417">
        <f t="shared" si="516"/>
        <v>8.1999999999999993</v>
      </c>
      <c r="K186" s="418">
        <v>8.1999999999999993</v>
      </c>
      <c r="L186" s="417">
        <v>5.4</v>
      </c>
      <c r="M186" s="417">
        <f t="shared" si="517"/>
        <v>7.5</v>
      </c>
      <c r="N186" s="417">
        <v>7.5</v>
      </c>
      <c r="O186" s="417">
        <v>4.5</v>
      </c>
      <c r="P186" s="417">
        <f t="shared" si="518"/>
        <v>17.600000000000001</v>
      </c>
      <c r="Q186" s="417">
        <v>17.600000000000001</v>
      </c>
      <c r="R186" s="417">
        <v>18.399999999999999</v>
      </c>
      <c r="S186" s="417">
        <f t="shared" si="519"/>
        <v>24.1</v>
      </c>
      <c r="T186" s="419">
        <v>24.1</v>
      </c>
      <c r="U186" s="419">
        <v>11.6</v>
      </c>
      <c r="V186" s="417">
        <f t="shared" si="520"/>
        <v>13.599999999999998</v>
      </c>
      <c r="W186" s="419">
        <f>17.4-3.8</f>
        <v>13.599999999999998</v>
      </c>
      <c r="X186" s="419">
        <v>3.1</v>
      </c>
      <c r="Y186" s="417">
        <f t="shared" si="521"/>
        <v>7.2</v>
      </c>
      <c r="Z186" s="419">
        <v>7.2</v>
      </c>
      <c r="AA186" s="419">
        <v>7.1</v>
      </c>
      <c r="AB186" s="417">
        <f t="shared" si="522"/>
        <v>2.4</v>
      </c>
      <c r="AC186" s="419">
        <v>2.4</v>
      </c>
      <c r="AD186" s="417">
        <f>AC186</f>
        <v>2.4</v>
      </c>
      <c r="AE186" s="417">
        <f t="shared" si="523"/>
        <v>2.4</v>
      </c>
      <c r="AF186" s="417">
        <f>AC186</f>
        <v>2.4</v>
      </c>
      <c r="AG186" s="417">
        <f>AF186</f>
        <v>2.4</v>
      </c>
      <c r="AH186" s="417">
        <f t="shared" si="524"/>
        <v>2.4</v>
      </c>
      <c r="AI186" s="417">
        <f>AF186</f>
        <v>2.4</v>
      </c>
      <c r="AJ186" s="417"/>
      <c r="AK186" s="417"/>
      <c r="AL186" s="417">
        <f>AI186</f>
        <v>2.4</v>
      </c>
      <c r="AM186" s="417"/>
      <c r="AN186" s="417"/>
      <c r="AO186" s="417">
        <f>AL186</f>
        <v>2.4</v>
      </c>
      <c r="AP186" s="417"/>
      <c r="AQ186" s="417"/>
      <c r="AR186" s="417">
        <f>AO186</f>
        <v>2.4</v>
      </c>
      <c r="AS186" s="417"/>
      <c r="AT186" s="417"/>
      <c r="AU186" s="417">
        <f>AR186</f>
        <v>2.4</v>
      </c>
      <c r="AV186" s="417"/>
      <c r="AW186" s="417"/>
      <c r="AX186" s="417">
        <f>AU186</f>
        <v>2.4</v>
      </c>
      <c r="AY186" s="417"/>
      <c r="AZ186" s="417"/>
      <c r="BA186" s="417">
        <f>AX186</f>
        <v>2.4</v>
      </c>
      <c r="BB186" s="417"/>
      <c r="BC186" s="417"/>
      <c r="BD186" s="417">
        <f>BA186</f>
        <v>2.4</v>
      </c>
      <c r="BE186" s="417"/>
      <c r="BF186" s="417"/>
      <c r="BG186" s="417">
        <f>BD186</f>
        <v>2.4</v>
      </c>
      <c r="BH186" s="417"/>
      <c r="BI186" s="417"/>
      <c r="BJ186" s="417">
        <f t="shared" ref="BJ186" si="526">BG186</f>
        <v>2.4</v>
      </c>
    </row>
    <row r="187" spans="2:62" s="377" customFormat="1">
      <c r="B187" s="377" t="s">
        <v>17</v>
      </c>
      <c r="C187" s="417">
        <v>225.6</v>
      </c>
      <c r="D187" s="417">
        <f t="shared" si="514"/>
        <v>210.7</v>
      </c>
      <c r="E187" s="417">
        <v>210.7</v>
      </c>
      <c r="F187" s="417">
        <v>233.6</v>
      </c>
      <c r="G187" s="417">
        <f t="shared" si="515"/>
        <v>223.3</v>
      </c>
      <c r="H187" s="417">
        <f>247.3-24</f>
        <v>223.3</v>
      </c>
      <c r="I187" s="417">
        <v>240.8</v>
      </c>
      <c r="J187" s="417">
        <f t="shared" si="516"/>
        <v>265.89999999999998</v>
      </c>
      <c r="K187" s="418">
        <v>265.89999999999998</v>
      </c>
      <c r="L187" s="417">
        <v>248.4</v>
      </c>
      <c r="M187" s="417">
        <f t="shared" si="517"/>
        <v>285.7</v>
      </c>
      <c r="N187" s="417">
        <v>285.7</v>
      </c>
      <c r="O187" s="417">
        <v>414.5</v>
      </c>
      <c r="P187" s="417">
        <f t="shared" si="518"/>
        <v>468.2</v>
      </c>
      <c r="Q187" s="417">
        <v>468.2</v>
      </c>
      <c r="R187" s="417">
        <v>454.7</v>
      </c>
      <c r="S187" s="417">
        <f t="shared" si="519"/>
        <v>524.20000000000005</v>
      </c>
      <c r="T187" s="417">
        <f>Q187+T51+T125</f>
        <v>524.20000000000005</v>
      </c>
      <c r="U187" s="417">
        <f>T187+U51+U125</f>
        <v>571.30000000000007</v>
      </c>
      <c r="V187" s="417">
        <f t="shared" si="520"/>
        <v>613.30000000000007</v>
      </c>
      <c r="W187" s="417">
        <f>T187+W51+W125</f>
        <v>613.30000000000007</v>
      </c>
      <c r="X187" s="417">
        <f>W187+X51+X125</f>
        <v>600.90000000000009</v>
      </c>
      <c r="Y187" s="417">
        <f t="shared" si="521"/>
        <v>625.30000000000007</v>
      </c>
      <c r="Z187" s="417">
        <f>W187+Z51+Z125</f>
        <v>625.30000000000007</v>
      </c>
      <c r="AA187" s="417">
        <v>558.6</v>
      </c>
      <c r="AB187" s="417">
        <f t="shared" si="522"/>
        <v>578.29999999999995</v>
      </c>
      <c r="AC187" s="417">
        <f>Z187+AC51+AC125</f>
        <v>578.29999999999995</v>
      </c>
      <c r="AD187" s="417">
        <f>AC187+AD51+AD125</f>
        <v>563.68380584206398</v>
      </c>
      <c r="AE187" s="417">
        <f t="shared" si="523"/>
        <v>617.2105469518383</v>
      </c>
      <c r="AF187" s="417">
        <f>AC187+AF51+AF125</f>
        <v>617.2105469518383</v>
      </c>
      <c r="AG187" s="417">
        <f>AF187+AG51+AG125</f>
        <v>662.88853483734408</v>
      </c>
      <c r="AH187" s="417">
        <f t="shared" si="524"/>
        <v>731.10450914069156</v>
      </c>
      <c r="AI187" s="417">
        <f>AF187+AI51+AI125</f>
        <v>731.10450914069156</v>
      </c>
      <c r="AJ187" s="417"/>
      <c r="AK187" s="417"/>
      <c r="AL187" s="417">
        <f>AI187+AL51+AL125</f>
        <v>844.16943107102679</v>
      </c>
      <c r="AM187" s="417"/>
      <c r="AN187" s="417"/>
      <c r="AO187" s="417">
        <f>AL187+AO51+AO125</f>
        <v>962.74741309013996</v>
      </c>
      <c r="AP187" s="417"/>
      <c r="AQ187" s="417"/>
      <c r="AR187" s="417">
        <f>AO187+AR51+AR125</f>
        <v>1085.2444219347849</v>
      </c>
      <c r="AS187" s="417"/>
      <c r="AT187" s="417"/>
      <c r="AU187" s="417">
        <f>AR187+AU51+AU125</f>
        <v>1214.8430135966842</v>
      </c>
      <c r="AV187" s="417"/>
      <c r="AW187" s="417"/>
      <c r="AX187" s="417">
        <f>AU187+AX51+AX125</f>
        <v>1348.4496294807411</v>
      </c>
      <c r="AY187" s="417"/>
      <c r="AZ187" s="417"/>
      <c r="BA187" s="417">
        <f>AX187+BA51+BA125</f>
        <v>1487.5849967410488</v>
      </c>
      <c r="BB187" s="417"/>
      <c r="BC187" s="417"/>
      <c r="BD187" s="417">
        <f>BA187+BD51+BD125</f>
        <v>1632.4948373283207</v>
      </c>
      <c r="BE187" s="417"/>
      <c r="BF187" s="417"/>
      <c r="BG187" s="417">
        <f>BD187+BG51+BG125</f>
        <v>1783.4311536193627</v>
      </c>
      <c r="BH187" s="417"/>
      <c r="BI187" s="417"/>
      <c r="BJ187" s="417">
        <f>BG187+BJ51+BJ125</f>
        <v>1938.3817696884389</v>
      </c>
    </row>
    <row r="188" spans="2:62" s="377" customFormat="1">
      <c r="B188" s="377" t="s">
        <v>18</v>
      </c>
      <c r="C188" s="417">
        <v>-1.2</v>
      </c>
      <c r="D188" s="417">
        <f t="shared" si="514"/>
        <v>-1.9</v>
      </c>
      <c r="E188" s="417">
        <v>-1.9</v>
      </c>
      <c r="F188" s="417">
        <v>-2.4</v>
      </c>
      <c r="G188" s="417">
        <f t="shared" si="515"/>
        <v>-0.7</v>
      </c>
      <c r="H188" s="417">
        <v>-0.7</v>
      </c>
      <c r="I188" s="417">
        <v>0.5</v>
      </c>
      <c r="J188" s="417">
        <f t="shared" si="516"/>
        <v>-0.4</v>
      </c>
      <c r="K188" s="418">
        <v>-0.4</v>
      </c>
      <c r="L188" s="417">
        <v>0</v>
      </c>
      <c r="M188" s="417">
        <f t="shared" si="517"/>
        <v>0</v>
      </c>
      <c r="N188" s="417">
        <v>0</v>
      </c>
      <c r="O188" s="417">
        <v>0</v>
      </c>
      <c r="P188" s="417">
        <f t="shared" si="518"/>
        <v>0</v>
      </c>
      <c r="Q188" s="417">
        <v>0</v>
      </c>
      <c r="R188" s="417">
        <v>0</v>
      </c>
      <c r="S188" s="417">
        <f t="shared" si="519"/>
        <v>0</v>
      </c>
      <c r="T188" s="417"/>
      <c r="U188" s="417"/>
      <c r="V188" s="417">
        <f t="shared" si="520"/>
        <v>0</v>
      </c>
      <c r="W188" s="417"/>
      <c r="X188" s="417"/>
      <c r="Y188" s="417">
        <f t="shared" si="521"/>
        <v>0</v>
      </c>
      <c r="Z188" s="417"/>
      <c r="AA188" s="417"/>
      <c r="AB188" s="417">
        <f t="shared" si="522"/>
        <v>0</v>
      </c>
      <c r="AC188" s="417"/>
      <c r="AD188" s="417"/>
      <c r="AE188" s="417">
        <f t="shared" si="523"/>
        <v>0</v>
      </c>
      <c r="AF188" s="417"/>
      <c r="AG188" s="417"/>
      <c r="AH188" s="417">
        <f t="shared" si="524"/>
        <v>0</v>
      </c>
      <c r="AI188" s="417"/>
      <c r="AJ188" s="417"/>
      <c r="AK188" s="417"/>
      <c r="AL188" s="417"/>
      <c r="AM188" s="417"/>
      <c r="AN188" s="417"/>
      <c r="AO188" s="417"/>
      <c r="AP188" s="417"/>
      <c r="AQ188" s="417"/>
      <c r="AR188" s="417"/>
      <c r="AS188" s="417"/>
      <c r="AT188" s="417"/>
      <c r="AU188" s="417"/>
      <c r="AV188" s="417"/>
      <c r="AW188" s="417"/>
      <c r="AX188" s="417"/>
      <c r="AY188" s="417"/>
      <c r="AZ188" s="417"/>
      <c r="BA188" s="417"/>
      <c r="BB188" s="417"/>
      <c r="BC188" s="417"/>
      <c r="BD188" s="417"/>
      <c r="BE188" s="417"/>
      <c r="BF188" s="417"/>
      <c r="BG188" s="417"/>
      <c r="BH188" s="417"/>
      <c r="BI188" s="417"/>
      <c r="BJ188" s="417"/>
    </row>
    <row r="189" spans="2:62" s="377" customFormat="1">
      <c r="B189" s="411" t="s">
        <v>19</v>
      </c>
      <c r="C189" s="422">
        <v>772.49999999999989</v>
      </c>
      <c r="D189" s="417">
        <f t="shared" si="514"/>
        <v>754.6</v>
      </c>
      <c r="E189" s="422">
        <f>SUM(E185:E188)</f>
        <v>754.6</v>
      </c>
      <c r="F189" s="422">
        <f>SUM(F185:F188)</f>
        <v>776.5</v>
      </c>
      <c r="G189" s="417">
        <f t="shared" si="515"/>
        <v>775.19999999999982</v>
      </c>
      <c r="H189" s="422">
        <f>SUM(H185:H188)</f>
        <v>775.19999999999982</v>
      </c>
      <c r="I189" s="422">
        <f>SUM(I185:I188)</f>
        <v>796.5</v>
      </c>
      <c r="J189" s="417">
        <f t="shared" si="516"/>
        <v>816</v>
      </c>
      <c r="K189" s="423">
        <f>SUM(K185:K188)</f>
        <v>816</v>
      </c>
      <c r="L189" s="422">
        <f>SUM(L185:L188)</f>
        <v>796.09999999999991</v>
      </c>
      <c r="M189" s="417">
        <f t="shared" si="517"/>
        <v>991.3</v>
      </c>
      <c r="N189" s="422">
        <f>SUM(N185:N188)</f>
        <v>991.3</v>
      </c>
      <c r="O189" s="422">
        <f>SUM(O185:O188)</f>
        <v>1159.7</v>
      </c>
      <c r="P189" s="417">
        <f t="shared" si="518"/>
        <v>1226.5</v>
      </c>
      <c r="Q189" s="422">
        <f>SUM(Q185:Q188)</f>
        <v>1226.5</v>
      </c>
      <c r="R189" s="422">
        <f>SUM(R185:R188)</f>
        <v>1213.8</v>
      </c>
      <c r="S189" s="417">
        <f t="shared" si="519"/>
        <v>1289</v>
      </c>
      <c r="T189" s="422">
        <f>SUM(T185:T188)</f>
        <v>1289</v>
      </c>
      <c r="U189" s="422">
        <f>SUM(U185:U188)</f>
        <v>1323.6000000000001</v>
      </c>
      <c r="V189" s="417">
        <f t="shared" si="520"/>
        <v>1367.6000000000001</v>
      </c>
      <c r="W189" s="422">
        <f t="shared" ref="W189:AU189" si="527">SUM(W185:W188)</f>
        <v>1367.6000000000001</v>
      </c>
      <c r="X189" s="422">
        <f>SUM(X185:X188)</f>
        <v>1344.7000000000003</v>
      </c>
      <c r="Y189" s="417">
        <f t="shared" si="521"/>
        <v>1373.2000000000003</v>
      </c>
      <c r="Z189" s="422">
        <f t="shared" si="527"/>
        <v>1373.2000000000003</v>
      </c>
      <c r="AA189" s="422">
        <f>SUM(AA185:AA188)</f>
        <v>1306.2</v>
      </c>
      <c r="AB189" s="417">
        <f t="shared" si="522"/>
        <v>1321.4</v>
      </c>
      <c r="AC189" s="422">
        <f t="shared" si="527"/>
        <v>1321.4</v>
      </c>
      <c r="AD189" s="422">
        <f>SUM(AD185:AD188)</f>
        <v>1306.5838058420641</v>
      </c>
      <c r="AE189" s="417">
        <f t="shared" si="523"/>
        <v>1360.3105469518382</v>
      </c>
      <c r="AF189" s="422">
        <f t="shared" si="527"/>
        <v>1360.3105469518382</v>
      </c>
      <c r="AG189" s="422">
        <f>SUM(AG185:AG188)</f>
        <v>1405.7885348373441</v>
      </c>
      <c r="AH189" s="417">
        <f t="shared" si="524"/>
        <v>1474.2045091406917</v>
      </c>
      <c r="AI189" s="422">
        <f t="shared" si="527"/>
        <v>1474.2045091406917</v>
      </c>
      <c r="AJ189" s="422"/>
      <c r="AK189" s="422"/>
      <c r="AL189" s="422">
        <f t="shared" si="527"/>
        <v>1587.2694310710267</v>
      </c>
      <c r="AM189" s="422"/>
      <c r="AN189" s="422"/>
      <c r="AO189" s="422">
        <f t="shared" si="527"/>
        <v>1705.84741309014</v>
      </c>
      <c r="AP189" s="422"/>
      <c r="AQ189" s="422"/>
      <c r="AR189" s="422">
        <f t="shared" si="527"/>
        <v>1828.3444219347848</v>
      </c>
      <c r="AS189" s="422"/>
      <c r="AT189" s="422"/>
      <c r="AU189" s="422">
        <f t="shared" si="527"/>
        <v>1957.9430135966841</v>
      </c>
      <c r="AV189" s="422"/>
      <c r="AW189" s="422"/>
      <c r="AX189" s="422">
        <f t="shared" ref="AX189" si="528">SUM(AX185:AX188)</f>
        <v>2091.5496294807413</v>
      </c>
      <c r="AY189" s="422"/>
      <c r="AZ189" s="422"/>
      <c r="BA189" s="422">
        <f t="shared" ref="BA189:BD189" si="529">SUM(BA185:BA188)</f>
        <v>2230.684996741049</v>
      </c>
      <c r="BB189" s="422"/>
      <c r="BC189" s="422"/>
      <c r="BD189" s="422">
        <f t="shared" si="529"/>
        <v>2375.5948373283209</v>
      </c>
      <c r="BE189" s="422"/>
      <c r="BF189" s="422"/>
      <c r="BG189" s="422">
        <f t="shared" ref="BG189:BJ189" si="530">SUM(BG185:BG188)</f>
        <v>2526.5311536193626</v>
      </c>
      <c r="BH189" s="422"/>
      <c r="BI189" s="422"/>
      <c r="BJ189" s="422">
        <f t="shared" si="530"/>
        <v>2681.4817696884388</v>
      </c>
    </row>
    <row r="190" spans="2:62" s="565" customFormat="1">
      <c r="B190" s="562" t="s">
        <v>858</v>
      </c>
      <c r="C190" s="563">
        <f>C165-C182-C189</f>
        <v>0</v>
      </c>
      <c r="D190" s="563"/>
      <c r="E190" s="563">
        <f>E165-E182-E189</f>
        <v>0</v>
      </c>
      <c r="F190" s="563">
        <f>F165-F182-F189</f>
        <v>0</v>
      </c>
      <c r="G190" s="563"/>
      <c r="H190" s="563">
        <f>H165-H182-H189</f>
        <v>0</v>
      </c>
      <c r="I190" s="563">
        <f>I165-I182-I189</f>
        <v>0</v>
      </c>
      <c r="J190" s="563"/>
      <c r="K190" s="564">
        <f>K165-K182-K189</f>
        <v>0</v>
      </c>
      <c r="L190" s="563">
        <f>L165-L182-L189</f>
        <v>0</v>
      </c>
      <c r="M190" s="563"/>
      <c r="N190" s="563">
        <f>N165-N182-N189</f>
        <v>0</v>
      </c>
      <c r="O190" s="563">
        <f>O165-O182-O189</f>
        <v>0</v>
      </c>
      <c r="P190" s="563"/>
      <c r="Q190" s="563">
        <f>Q165-Q182-Q189</f>
        <v>0</v>
      </c>
      <c r="R190" s="563">
        <f>R165-R182-R189</f>
        <v>0</v>
      </c>
      <c r="S190" s="563"/>
      <c r="T190" s="563">
        <f>T165-T182-T189</f>
        <v>0</v>
      </c>
      <c r="U190" s="563">
        <f>U165-U182-U189</f>
        <v>0</v>
      </c>
      <c r="V190" s="563"/>
      <c r="W190" s="563">
        <f t="shared" ref="W190:AU190" si="531">W165-W182-W189</f>
        <v>0</v>
      </c>
      <c r="X190" s="563">
        <f>X165-X182-X189</f>
        <v>0</v>
      </c>
      <c r="Y190" s="563"/>
      <c r="Z190" s="563">
        <f t="shared" si="531"/>
        <v>0</v>
      </c>
      <c r="AA190" s="563">
        <f>AA165-AA182-AA189</f>
        <v>0</v>
      </c>
      <c r="AB190" s="563"/>
      <c r="AC190" s="1390">
        <f>AC165-AC182-AC189</f>
        <v>0</v>
      </c>
      <c r="AD190" s="1390">
        <f>AD165-AD182-AD189</f>
        <v>-1.0914955691532668E-2</v>
      </c>
      <c r="AE190" s="1390"/>
      <c r="AF190" s="1390">
        <f>AF165-AF182-AF189</f>
        <v>0</v>
      </c>
      <c r="AG190" s="563">
        <f>AG165-AG182-AG189</f>
        <v>2.5233191219058426E-2</v>
      </c>
      <c r="AH190" s="563"/>
      <c r="AI190" s="563">
        <f t="shared" si="531"/>
        <v>0</v>
      </c>
      <c r="AJ190" s="563"/>
      <c r="AK190" s="563"/>
      <c r="AL190" s="563">
        <f t="shared" si="531"/>
        <v>0</v>
      </c>
      <c r="AM190" s="563"/>
      <c r="AN190" s="563"/>
      <c r="AO190" s="563">
        <f t="shared" si="531"/>
        <v>0</v>
      </c>
      <c r="AP190" s="563"/>
      <c r="AQ190" s="563"/>
      <c r="AR190" s="563">
        <f t="shared" si="531"/>
        <v>0</v>
      </c>
      <c r="AS190" s="563"/>
      <c r="AT190" s="563"/>
      <c r="AU190" s="563">
        <f t="shared" si="531"/>
        <v>0</v>
      </c>
      <c r="AV190" s="563"/>
      <c r="AW190" s="563"/>
      <c r="AX190" s="563">
        <f t="shared" ref="AX190" si="532">AX165-AX182-AX189</f>
        <v>0</v>
      </c>
      <c r="AY190" s="563"/>
      <c r="AZ190" s="563"/>
      <c r="BA190" s="563">
        <f t="shared" ref="BA190:BD190" si="533">BA165-BA182-BA189</f>
        <v>0</v>
      </c>
      <c r="BB190" s="563"/>
      <c r="BC190" s="563"/>
      <c r="BD190" s="563">
        <f t="shared" si="533"/>
        <v>0</v>
      </c>
      <c r="BE190" s="563"/>
      <c r="BF190" s="563"/>
      <c r="BG190" s="563">
        <f t="shared" ref="BG190:BJ190" si="534">BG165-BG182-BG189</f>
        <v>0</v>
      </c>
      <c r="BH190" s="563"/>
      <c r="BI190" s="563"/>
      <c r="BJ190" s="563">
        <f t="shared" si="534"/>
        <v>0</v>
      </c>
    </row>
    <row r="191" spans="2:62">
      <c r="K191" s="481"/>
      <c r="L191" s="480"/>
      <c r="M191" s="480"/>
      <c r="N191" s="480"/>
      <c r="O191" s="480"/>
      <c r="P191" s="480"/>
      <c r="Q191" s="480"/>
      <c r="R191" s="480"/>
      <c r="S191" s="480"/>
      <c r="T191" s="480"/>
      <c r="U191" s="480"/>
      <c r="V191" s="480"/>
      <c r="W191" s="480"/>
      <c r="X191" s="480"/>
      <c r="Y191" s="480"/>
      <c r="Z191" s="480"/>
      <c r="AA191" s="480"/>
      <c r="AB191" s="480"/>
      <c r="AC191" s="480"/>
      <c r="AD191" s="480"/>
      <c r="AE191" s="480"/>
      <c r="AF191" s="480"/>
      <c r="AG191" s="480"/>
      <c r="AH191" s="480"/>
      <c r="AI191" s="480"/>
      <c r="AJ191" s="480"/>
      <c r="AK191" s="480"/>
      <c r="AL191" s="480"/>
      <c r="AM191" s="480"/>
      <c r="AN191" s="480"/>
      <c r="AO191" s="480"/>
      <c r="AP191" s="480"/>
      <c r="AQ191" s="480"/>
      <c r="AR191" s="480"/>
      <c r="AS191" s="480"/>
      <c r="AT191" s="480"/>
      <c r="AU191" s="480"/>
      <c r="AV191" s="480"/>
      <c r="AW191" s="480"/>
      <c r="AX191" s="480"/>
      <c r="AY191" s="480"/>
      <c r="AZ191" s="480"/>
      <c r="BA191" s="480"/>
      <c r="BB191" s="480"/>
      <c r="BC191" s="480"/>
      <c r="BD191" s="480"/>
      <c r="BE191" s="480"/>
      <c r="BF191" s="480"/>
      <c r="BG191" s="480"/>
      <c r="BH191" s="480"/>
      <c r="BI191" s="480"/>
      <c r="BJ191" s="480"/>
    </row>
    <row r="192" spans="2:62">
      <c r="B192" s="438" t="s">
        <v>862</v>
      </c>
      <c r="C192" s="632"/>
      <c r="D192" s="632"/>
      <c r="E192" s="632"/>
      <c r="F192" s="632"/>
      <c r="G192" s="632"/>
      <c r="H192" s="632"/>
      <c r="I192" s="632"/>
      <c r="J192" s="632"/>
      <c r="K192" s="633"/>
      <c r="L192" s="632"/>
      <c r="M192" s="632"/>
      <c r="N192" s="632"/>
      <c r="O192" s="632"/>
      <c r="P192" s="632"/>
      <c r="Q192" s="632"/>
      <c r="R192" s="632"/>
      <c r="S192" s="632"/>
      <c r="T192" s="632"/>
      <c r="U192" s="632"/>
      <c r="V192" s="632"/>
      <c r="W192" s="632"/>
      <c r="X192" s="632"/>
      <c r="Y192" s="632"/>
      <c r="Z192" s="632"/>
      <c r="AA192" s="632"/>
      <c r="AB192" s="632"/>
      <c r="AC192" s="632"/>
      <c r="AD192" s="632"/>
      <c r="AE192" s="632"/>
      <c r="AF192" s="632"/>
      <c r="AG192" s="632"/>
      <c r="AH192" s="632"/>
      <c r="AI192" s="632"/>
      <c r="AJ192" s="632"/>
      <c r="AK192" s="632"/>
      <c r="AL192" s="632"/>
      <c r="AM192" s="632"/>
      <c r="AN192" s="632"/>
      <c r="AO192" s="632"/>
      <c r="AP192" s="632"/>
      <c r="AQ192" s="632"/>
      <c r="AR192" s="632"/>
      <c r="AS192" s="632"/>
      <c r="AT192" s="632"/>
      <c r="AU192" s="632"/>
      <c r="AV192" s="632"/>
      <c r="AW192" s="632"/>
      <c r="AX192" s="632"/>
      <c r="AY192" s="632"/>
      <c r="AZ192" s="632"/>
      <c r="BA192" s="632"/>
      <c r="BB192" s="632"/>
      <c r="BC192" s="632"/>
      <c r="BD192" s="632"/>
      <c r="BE192" s="632"/>
      <c r="BF192" s="632"/>
      <c r="BG192" s="632"/>
      <c r="BH192" s="632"/>
      <c r="BI192" s="632"/>
      <c r="BJ192" s="632"/>
    </row>
    <row r="193" spans="2:62">
      <c r="B193" s="122" t="s">
        <v>20</v>
      </c>
      <c r="C193" s="530">
        <v>0.37306082245752281</v>
      </c>
      <c r="D193" s="530"/>
      <c r="E193" s="530">
        <f>MODEL!E154/MODEL!E165</f>
        <v>0.34903118182984733</v>
      </c>
      <c r="F193" s="530">
        <f>MODEL!F154/MODEL!F165</f>
        <v>0.37262357414448671</v>
      </c>
      <c r="G193" s="530"/>
      <c r="H193" s="530">
        <f>MODEL!H154/MODEL!H165</f>
        <v>0.33547032792465675</v>
      </c>
      <c r="I193" s="530">
        <f>MODEL!I154/MODEL!I165</f>
        <v>0.38500501239909252</v>
      </c>
      <c r="J193" s="530"/>
      <c r="K193" s="531">
        <f>MODEL!K154/MODEL!K165</f>
        <v>0.3428892636312536</v>
      </c>
      <c r="L193" s="530">
        <f>MODEL!L154/MODEL!L165</f>
        <v>0.26981097449073227</v>
      </c>
      <c r="M193" s="530"/>
      <c r="N193" s="530">
        <f>MODEL!N154/MODEL!N165</f>
        <v>0.2932506936686966</v>
      </c>
      <c r="O193" s="530">
        <f>MODEL!O154/MODEL!O165</f>
        <v>0.37008740908787618</v>
      </c>
      <c r="P193" s="530"/>
      <c r="Q193" s="530">
        <f>MODEL!Q154/MODEL!Q165</f>
        <v>0.32991320729327861</v>
      </c>
      <c r="R193" s="530">
        <f>MODEL!R154/MODEL!R165</f>
        <v>0.34749684476230536</v>
      </c>
      <c r="S193" s="530"/>
      <c r="T193" s="530">
        <f>MODEL!T154/MODEL!T165</f>
        <v>0.30197305101058702</v>
      </c>
      <c r="U193" s="530">
        <f>MODEL!U154/MODEL!U165</f>
        <v>0.35924462011418529</v>
      </c>
      <c r="V193" s="530"/>
      <c r="W193" s="530">
        <f>MODEL!W154/MODEL!W165</f>
        <v>0.33571819910406392</v>
      </c>
      <c r="X193" s="530">
        <f>MODEL!X154/MODEL!X165</f>
        <v>0.37854442344045369</v>
      </c>
      <c r="Y193" s="530"/>
      <c r="Z193" s="530">
        <f>MODEL!Z154/MODEL!Z165</f>
        <v>0.34137223056415283</v>
      </c>
      <c r="AA193" s="530">
        <f>MODEL!AA154/MODEL!AA165</f>
        <v>0.35544758539458182</v>
      </c>
      <c r="AB193" s="530"/>
      <c r="AC193" s="530">
        <f>MODEL!AC154/MODEL!AC165</f>
        <v>0.30003596475454053</v>
      </c>
      <c r="AD193" s="530">
        <f>MODEL!AD154/MODEL!AD165</f>
        <v>0.33697488359374461</v>
      </c>
      <c r="AE193" s="530"/>
      <c r="AF193" s="530">
        <f>MODEL!AF154/MODEL!AF165</f>
        <v>0.30782654034896706</v>
      </c>
      <c r="AG193" s="530">
        <f>MODEL!AG154/MODEL!AG165</f>
        <v>0.35052715567597775</v>
      </c>
      <c r="AH193" s="530"/>
      <c r="AI193" s="530">
        <f>MODEL!AI154/MODEL!AI165</f>
        <v>0.32471413148775974</v>
      </c>
      <c r="AJ193" s="530"/>
      <c r="AK193" s="530"/>
      <c r="AL193" s="530">
        <f>MODEL!AL154/MODEL!AL165</f>
        <v>0.33868366522610444</v>
      </c>
      <c r="AM193" s="530"/>
      <c r="AN193" s="530"/>
      <c r="AO193" s="530">
        <f>MODEL!AO154/MODEL!AO165</f>
        <v>0.35222192996699003</v>
      </c>
      <c r="AP193" s="530"/>
      <c r="AQ193" s="530"/>
      <c r="AR193" s="530">
        <f>MODEL!AR154/MODEL!AR165</f>
        <v>0.36522977919937588</v>
      </c>
      <c r="AS193" s="530"/>
      <c r="AT193" s="530"/>
      <c r="AU193" s="530">
        <f>MODEL!AU154/MODEL!AU165</f>
        <v>0.37795778414465397</v>
      </c>
      <c r="AV193" s="530"/>
      <c r="AW193" s="530"/>
      <c r="AX193" s="530">
        <f>MODEL!AX154/MODEL!AX165</f>
        <v>0.38981001883282107</v>
      </c>
      <c r="AY193" s="530"/>
      <c r="AZ193" s="530"/>
      <c r="BA193" s="530">
        <f>MODEL!BA154/MODEL!BA165</f>
        <v>0.40149442921207651</v>
      </c>
      <c r="BB193" s="530"/>
      <c r="BC193" s="530"/>
      <c r="BD193" s="530">
        <f>MODEL!BD154/MODEL!BD165</f>
        <v>0.41303579174161087</v>
      </c>
      <c r="BE193" s="530"/>
      <c r="BF193" s="530"/>
      <c r="BG193" s="530">
        <f>MODEL!BG154/MODEL!BG165</f>
        <v>0.42445647081874616</v>
      </c>
      <c r="BH193" s="530"/>
      <c r="BI193" s="530"/>
      <c r="BJ193" s="530">
        <f>MODEL!BJ154/MODEL!BJ165</f>
        <v>0.43554495723085657</v>
      </c>
    </row>
    <row r="194" spans="2:62">
      <c r="B194" s="122" t="s">
        <v>21</v>
      </c>
      <c r="C194" s="530">
        <v>0.56591149195915014</v>
      </c>
      <c r="D194" s="530"/>
      <c r="E194" s="530">
        <f>MODEL!E173/MODEL!E182</f>
        <v>0.40199004975124386</v>
      </c>
      <c r="F194" s="530">
        <f>MODEL!F173/MODEL!F182</f>
        <v>0.62463411778480271</v>
      </c>
      <c r="G194" s="530"/>
      <c r="H194" s="530">
        <f>MODEL!H173/MODEL!H182</f>
        <v>0.46728782661535345</v>
      </c>
      <c r="I194" s="530">
        <f>MODEL!I173/MODEL!I182</f>
        <v>0.59719694211867491</v>
      </c>
      <c r="J194" s="530"/>
      <c r="K194" s="531">
        <f>MODEL!K173/MODEL!K182</f>
        <v>0.49802699896157837</v>
      </c>
      <c r="L194" s="530">
        <f>MODEL!L173/MODEL!L182</f>
        <v>0.43937979672267163</v>
      </c>
      <c r="M194" s="530"/>
      <c r="N194" s="530">
        <f>MODEL!N173/MODEL!N182</f>
        <v>0.42089920394663077</v>
      </c>
      <c r="O194" s="530">
        <f>MODEL!O173/MODEL!O182</f>
        <v>0.60641018664635138</v>
      </c>
      <c r="P194" s="530"/>
      <c r="Q194" s="530">
        <f>MODEL!Q173/MODEL!Q182</f>
        <v>0.52906477292251308</v>
      </c>
      <c r="R194" s="530">
        <f>MODEL!R173/MODEL!R182</f>
        <v>0.54676757448169266</v>
      </c>
      <c r="S194" s="530"/>
      <c r="T194" s="530">
        <f>MODEL!T173/MODEL!T182</f>
        <v>0.47062091099864212</v>
      </c>
      <c r="U194" s="530">
        <f>MODEL!U173/MODEL!U182</f>
        <v>0.5220469906662375</v>
      </c>
      <c r="V194" s="530"/>
      <c r="W194" s="530">
        <f>MODEL!W173/MODEL!W182</f>
        <v>0.46245605947098478</v>
      </c>
      <c r="X194" s="530">
        <f>MODEL!X173/MODEL!X182</f>
        <v>0.53510706061051505</v>
      </c>
      <c r="Y194" s="530"/>
      <c r="Z194" s="530">
        <f>MODEL!Z173/MODEL!Z182</f>
        <v>0.49277815988572027</v>
      </c>
      <c r="AA194" s="530">
        <f>MODEL!AA173/MODEL!AA182</f>
        <v>0.53703703703703698</v>
      </c>
      <c r="AB194" s="530"/>
      <c r="AC194" s="530">
        <f>MODEL!AC173/MODEL!AC182</f>
        <v>0.46566097657800709</v>
      </c>
      <c r="AD194" s="530">
        <f>MODEL!AD173/MODEL!AD182</f>
        <v>0.52853617155567201</v>
      </c>
      <c r="AE194" s="530"/>
      <c r="AF194" s="530">
        <f>MODEL!AF173/MODEL!AF182</f>
        <v>0.48665441849017427</v>
      </c>
      <c r="AG194" s="530">
        <f>MODEL!AG173/MODEL!AG182</f>
        <v>0.5326822216510555</v>
      </c>
      <c r="AH194" s="530"/>
      <c r="AI194" s="530">
        <f>MODEL!AI173/MODEL!AI182</f>
        <v>0.49240945591086943</v>
      </c>
      <c r="AJ194" s="530"/>
      <c r="AK194" s="530"/>
      <c r="AL194" s="530">
        <f>MODEL!AL173/MODEL!AL182</f>
        <v>0.49511406253332463</v>
      </c>
      <c r="AM194" s="530"/>
      <c r="AN194" s="530"/>
      <c r="AO194" s="530">
        <f>MODEL!AO173/MODEL!AO182</f>
        <v>0.49778792629986351</v>
      </c>
      <c r="AP194" s="530"/>
      <c r="AQ194" s="530"/>
      <c r="AR194" s="530">
        <f>MODEL!AR173/MODEL!AR182</f>
        <v>0.50001264400919465</v>
      </c>
      <c r="AS194" s="530"/>
      <c r="AT194" s="530"/>
      <c r="AU194" s="530">
        <f>MODEL!AU173/MODEL!AU182</f>
        <v>0.50174132509800895</v>
      </c>
      <c r="AV194" s="530"/>
      <c r="AW194" s="530"/>
      <c r="AX194" s="530">
        <f>MODEL!AX173/MODEL!AX182</f>
        <v>0.50301193520229648</v>
      </c>
      <c r="AY194" s="530"/>
      <c r="AZ194" s="530"/>
      <c r="BA194" s="530">
        <f>MODEL!BA173/MODEL!BA182</f>
        <v>0.50452168716451917</v>
      </c>
      <c r="BB194" s="530"/>
      <c r="BC194" s="530"/>
      <c r="BD194" s="530">
        <f>MODEL!BD173/MODEL!BD182</f>
        <v>0.50629277238777048</v>
      </c>
      <c r="BE194" s="530"/>
      <c r="BF194" s="530"/>
      <c r="BG194" s="530">
        <f>MODEL!BG173/MODEL!BG182</f>
        <v>0.50834909543997653</v>
      </c>
      <c r="BH194" s="530"/>
      <c r="BI194" s="530"/>
      <c r="BJ194" s="530">
        <f>MODEL!BJ173/MODEL!BJ182</f>
        <v>0.51071663505725806</v>
      </c>
    </row>
    <row r="195" spans="2:62">
      <c r="B195" s="122" t="s">
        <v>22</v>
      </c>
      <c r="C195" s="480">
        <v>158.69999999999993</v>
      </c>
      <c r="D195" s="480"/>
      <c r="E195" s="480">
        <f>MODEL!E151+MODEL!E152-MODEL!E170-E171</f>
        <v>208.10000000000002</v>
      </c>
      <c r="F195" s="480">
        <f>MODEL!F151+MODEL!F152-MODEL!F170-F171</f>
        <v>51.900000000000055</v>
      </c>
      <c r="G195" s="480">
        <f>MODEL!G151+MODEL!G152-MODEL!G170-G171</f>
        <v>121.99999999999994</v>
      </c>
      <c r="H195" s="480">
        <f>MODEL!H151+MODEL!H152-MODEL!H170-H171</f>
        <v>121.99999999999994</v>
      </c>
      <c r="I195" s="480">
        <f>MODEL!I151+MODEL!I152-MODEL!I170-I171</f>
        <v>22.300000000000026</v>
      </c>
      <c r="J195" s="480">
        <f>MODEL!J151+MODEL!J152-MODEL!J170-J171</f>
        <v>127.80000000000008</v>
      </c>
      <c r="K195" s="481">
        <f>MODEL!K151+MODEL!K152-MODEL!K170-K171</f>
        <v>127.80000000000008</v>
      </c>
      <c r="L195" s="480">
        <f>MODEL!L151+MODEL!L152-MODEL!L170-L171</f>
        <v>20.699999999999974</v>
      </c>
      <c r="M195" s="480">
        <f>MODEL!M151+MODEL!M152-MODEL!M170-M171</f>
        <v>-24.700000000000074</v>
      </c>
      <c r="N195" s="480">
        <f>MODEL!N151+MODEL!N152-MODEL!N170-N171</f>
        <v>-24.700000000000074</v>
      </c>
      <c r="O195" s="480">
        <f>MODEL!O151+MODEL!O152-MODEL!O170-O171</f>
        <v>-169.10000000000002</v>
      </c>
      <c r="P195" s="480">
        <f>MODEL!P151+MODEL!P152-MODEL!P170-P171</f>
        <v>74.399999999999977</v>
      </c>
      <c r="Q195" s="480">
        <f>MODEL!Q151+MODEL!Q152-MODEL!Q170-Q171</f>
        <v>74.399999999999977</v>
      </c>
      <c r="R195" s="480">
        <f>MODEL!R151+MODEL!R152-MODEL!R170-R171</f>
        <v>158.40000000000003</v>
      </c>
      <c r="S195" s="480">
        <f>MODEL!S151+MODEL!S152-MODEL!S170-S171</f>
        <v>303.90000000000009</v>
      </c>
      <c r="T195" s="480">
        <f>MODEL!T151+MODEL!T152-MODEL!T170-T171</f>
        <v>303.90000000000009</v>
      </c>
      <c r="U195" s="480">
        <f>MODEL!U151+MODEL!U152-MODEL!U170-U171</f>
        <v>218.99999999999997</v>
      </c>
      <c r="V195" s="480">
        <f>MODEL!V151+MODEL!V152-MODEL!V170-V171</f>
        <v>250.3</v>
      </c>
      <c r="W195" s="480">
        <f>MODEL!W151+MODEL!W152-MODEL!W170-W171</f>
        <v>250.3</v>
      </c>
      <c r="X195" s="480">
        <f>MODEL!X151+MODEL!X152-MODEL!X170-X171</f>
        <v>99.600000000000051</v>
      </c>
      <c r="Y195" s="480">
        <f>MODEL!Y151+MODEL!Y152-MODEL!Y170-Y171</f>
        <v>201.8</v>
      </c>
      <c r="Z195" s="480">
        <f>MODEL!Z151+MODEL!Z152-MODEL!Z170-Z171</f>
        <v>201.8</v>
      </c>
      <c r="AA195" s="480">
        <f>MODEL!AA151+MODEL!AA152-MODEL!AA170-AA171</f>
        <v>138.50000000000006</v>
      </c>
      <c r="AB195" s="480">
        <f>MODEL!AB151+MODEL!AB152-MODEL!AB170-AB171</f>
        <v>243.49999999999994</v>
      </c>
      <c r="AC195" s="480">
        <f>MODEL!AC151+MODEL!AC152-MODEL!AC170-AC171</f>
        <v>243.49999999999994</v>
      </c>
      <c r="AD195" s="480">
        <f>MODEL!AD151+MODEL!AD152-MODEL!AD170-AD171</f>
        <v>143.70500787160182</v>
      </c>
      <c r="AE195" s="480">
        <f>MODEL!AE151+MODEL!AE152-MODEL!AE170-AE171</f>
        <v>221.79042808097776</v>
      </c>
      <c r="AF195" s="480">
        <f>MODEL!AF151+MODEL!AF152-MODEL!AF170-AF171</f>
        <v>221.79042808097776</v>
      </c>
      <c r="AG195" s="480">
        <f>MODEL!AG151+MODEL!AG152-MODEL!AG170-AG171</f>
        <v>150.41786912331901</v>
      </c>
      <c r="AH195" s="480">
        <f>MODEL!AH151+MODEL!AH152-MODEL!AH170-AH171</f>
        <v>232.92088854994375</v>
      </c>
      <c r="AI195" s="480">
        <f>MODEL!AI151+MODEL!AI152-MODEL!AI170-AI171</f>
        <v>232.92088854994375</v>
      </c>
      <c r="AJ195" s="480"/>
      <c r="AK195" s="480"/>
      <c r="AL195" s="480">
        <f>MODEL!AL151+MODEL!AL152-MODEL!AL170-AL171</f>
        <v>243.869159868845</v>
      </c>
      <c r="AM195" s="480"/>
      <c r="AN195" s="480"/>
      <c r="AO195" s="480">
        <f>MODEL!AO151+MODEL!AO152-MODEL!AO170-AO171</f>
        <v>254.63194773001877</v>
      </c>
      <c r="AP195" s="480"/>
      <c r="AQ195" s="480"/>
      <c r="AR195" s="480">
        <f>MODEL!AR151+MODEL!AR152-MODEL!AR170-AR171</f>
        <v>264.97499466255749</v>
      </c>
      <c r="AS195" s="480"/>
      <c r="AT195" s="480"/>
      <c r="AU195" s="480">
        <f>MODEL!AU151+MODEL!AU152-MODEL!AU170-AU171</f>
        <v>274.73016981009494</v>
      </c>
      <c r="AV195" s="480"/>
      <c r="AW195" s="480"/>
      <c r="AX195" s="480">
        <f>MODEL!AX151+MODEL!AX152-MODEL!AX170-AX171</f>
        <v>283.87966949660381</v>
      </c>
      <c r="AY195" s="480"/>
      <c r="AZ195" s="480"/>
      <c r="BA195" s="480">
        <f>MODEL!BA151+MODEL!BA152-MODEL!BA170-BA171</f>
        <v>293.33618106349911</v>
      </c>
      <c r="BB195" s="480"/>
      <c r="BC195" s="480"/>
      <c r="BD195" s="480">
        <f>MODEL!BD151+MODEL!BD152-MODEL!BD170-BD171</f>
        <v>303.11004235946314</v>
      </c>
      <c r="BE195" s="480"/>
      <c r="BF195" s="480"/>
      <c r="BG195" s="480">
        <f>MODEL!BG151+MODEL!BG152-MODEL!BG170-BG171</f>
        <v>313.21193916225491</v>
      </c>
      <c r="BH195" s="480"/>
      <c r="BI195" s="480"/>
      <c r="BJ195" s="480">
        <f>MODEL!BJ151+MODEL!BJ152-MODEL!BJ170-BJ171</f>
        <v>323.65291685833563</v>
      </c>
    </row>
    <row r="196" spans="2:62">
      <c r="B196" s="122" t="s">
        <v>23</v>
      </c>
      <c r="C196" s="480">
        <v>26.600000000000023</v>
      </c>
      <c r="D196" s="480"/>
      <c r="E196" s="480">
        <v>23.099999999999966</v>
      </c>
      <c r="F196" s="480">
        <f>C195-F195</f>
        <v>106.79999999999987</v>
      </c>
      <c r="G196" s="480"/>
      <c r="H196" s="480">
        <f>E195-H195</f>
        <v>86.10000000000008</v>
      </c>
      <c r="I196" s="480">
        <f>F195-I195</f>
        <v>29.60000000000003</v>
      </c>
      <c r="J196" s="480"/>
      <c r="K196" s="481">
        <f>H195-K195</f>
        <v>-5.8000000000001393</v>
      </c>
      <c r="L196" s="480">
        <f>I195-L195</f>
        <v>1.6000000000000512</v>
      </c>
      <c r="M196" s="480"/>
      <c r="N196" s="480">
        <f>K195-N195</f>
        <v>152.50000000000017</v>
      </c>
      <c r="O196" s="480">
        <f>L195-O195</f>
        <v>189.8</v>
      </c>
      <c r="P196" s="480"/>
      <c r="Q196" s="480">
        <f>N195-Q195</f>
        <v>-99.100000000000051</v>
      </c>
      <c r="R196" s="480">
        <f>O195-R195</f>
        <v>-327.50000000000006</v>
      </c>
      <c r="S196" s="480"/>
      <c r="T196" s="480">
        <f>Q195-T195</f>
        <v>-229.50000000000011</v>
      </c>
      <c r="U196" s="480">
        <f>R195-U195</f>
        <v>-60.599999999999937</v>
      </c>
      <c r="V196" s="480"/>
      <c r="W196" s="480">
        <f>T195-W195</f>
        <v>53.60000000000008</v>
      </c>
      <c r="X196" s="480">
        <f>U195-X195</f>
        <v>119.39999999999992</v>
      </c>
      <c r="Y196" s="480"/>
      <c r="Z196" s="480">
        <f>W195-Z195</f>
        <v>48.5</v>
      </c>
      <c r="AA196" s="480">
        <f>X195-AA195</f>
        <v>-38.900000000000006</v>
      </c>
      <c r="AB196" s="480"/>
      <c r="AC196" s="480">
        <f>Z195-AC195</f>
        <v>-41.699999999999932</v>
      </c>
      <c r="AD196" s="480">
        <f>AC195-AD195</f>
        <v>99.794992128398121</v>
      </c>
      <c r="AE196" s="480"/>
      <c r="AF196" s="480">
        <f>AC195-AF195</f>
        <v>21.709571919022181</v>
      </c>
      <c r="AG196" s="480">
        <f>AF195-AG195</f>
        <v>71.372558957658754</v>
      </c>
      <c r="AH196" s="480"/>
      <c r="AI196" s="480">
        <f>AF195-AI195</f>
        <v>-11.130460468965993</v>
      </c>
      <c r="AJ196" s="480"/>
      <c r="AK196" s="480"/>
      <c r="AL196" s="480">
        <f>AI195-AL195</f>
        <v>-10.948271318901249</v>
      </c>
      <c r="AM196" s="480"/>
      <c r="AN196" s="480"/>
      <c r="AO196" s="480">
        <f>AL195-AO195</f>
        <v>-10.762787861173763</v>
      </c>
      <c r="AP196" s="480"/>
      <c r="AQ196" s="480"/>
      <c r="AR196" s="480">
        <f>AO195-AR195</f>
        <v>-10.343046932538726</v>
      </c>
      <c r="AS196" s="480"/>
      <c r="AT196" s="480"/>
      <c r="AU196" s="480">
        <f>AR195-AU195</f>
        <v>-9.7551751475374431</v>
      </c>
      <c r="AV196" s="480"/>
      <c r="AW196" s="480"/>
      <c r="AX196" s="480">
        <f>AU195-AX195</f>
        <v>-9.1494996865088751</v>
      </c>
      <c r="AY196" s="480"/>
      <c r="AZ196" s="480"/>
      <c r="BA196" s="480">
        <f>AX195-BA195</f>
        <v>-9.4565115668953013</v>
      </c>
      <c r="BB196" s="480"/>
      <c r="BC196" s="480"/>
      <c r="BD196" s="480">
        <f>BA195-BD195</f>
        <v>-9.773861295964025</v>
      </c>
      <c r="BE196" s="480"/>
      <c r="BF196" s="480"/>
      <c r="BG196" s="480">
        <f>BD195-BG195</f>
        <v>-10.101896802791771</v>
      </c>
      <c r="BH196" s="480"/>
      <c r="BI196" s="480"/>
      <c r="BJ196" s="480">
        <f t="shared" ref="BJ196" si="535">BG195-BJ195</f>
        <v>-10.440977696080722</v>
      </c>
    </row>
    <row r="197" spans="2:62">
      <c r="C197" s="480"/>
      <c r="D197" s="480"/>
      <c r="E197" s="480"/>
      <c r="F197" s="480"/>
      <c r="G197" s="480"/>
      <c r="H197" s="480"/>
      <c r="I197" s="480"/>
      <c r="J197" s="480"/>
      <c r="K197" s="481"/>
      <c r="L197" s="480"/>
      <c r="M197" s="480"/>
      <c r="N197" s="480"/>
      <c r="O197" s="480"/>
      <c r="P197" s="480"/>
      <c r="Q197" s="480"/>
      <c r="R197" s="480"/>
      <c r="S197" s="480"/>
      <c r="T197" s="480"/>
      <c r="U197" s="473"/>
      <c r="V197" s="473"/>
      <c r="W197" s="480"/>
      <c r="X197" s="473"/>
      <c r="Y197" s="480"/>
      <c r="Z197" s="480"/>
      <c r="AA197" s="473"/>
      <c r="AB197" s="480"/>
      <c r="AC197" s="480"/>
      <c r="AD197" s="480"/>
      <c r="AE197" s="480"/>
      <c r="AF197" s="480"/>
      <c r="AG197" s="480"/>
      <c r="AH197" s="480"/>
      <c r="AI197" s="480"/>
      <c r="AJ197" s="480"/>
      <c r="AK197" s="480"/>
      <c r="AL197" s="480"/>
      <c r="AM197" s="480"/>
      <c r="AN197" s="480"/>
      <c r="AO197" s="480"/>
      <c r="AP197" s="480"/>
      <c r="AQ197" s="480"/>
      <c r="AR197" s="480"/>
      <c r="AS197" s="480"/>
      <c r="AT197" s="480"/>
      <c r="AU197" s="480"/>
      <c r="AV197" s="480"/>
      <c r="AW197" s="480"/>
      <c r="AX197" s="480"/>
      <c r="AY197" s="480"/>
      <c r="AZ197" s="480"/>
      <c r="BA197" s="480"/>
      <c r="BB197" s="480"/>
      <c r="BC197" s="480"/>
      <c r="BD197" s="480"/>
      <c r="BE197" s="480"/>
      <c r="BF197" s="480"/>
      <c r="BG197" s="480"/>
      <c r="BH197" s="480"/>
      <c r="BI197" s="480"/>
      <c r="BJ197" s="480"/>
    </row>
    <row r="198" spans="2:62">
      <c r="B198" s="123" t="s">
        <v>859</v>
      </c>
      <c r="C198" s="534"/>
      <c r="D198" s="568"/>
      <c r="E198" s="519">
        <f>E151/E6*365</f>
        <v>6.307238063737544</v>
      </c>
      <c r="F198" s="519">
        <f>F151/F6*181</f>
        <v>4.1970857070724845</v>
      </c>
      <c r="G198" s="569"/>
      <c r="H198" s="519">
        <f>H151/H6*365</f>
        <v>3.3796296296296293</v>
      </c>
      <c r="I198" s="519">
        <f>I151/I6*181</f>
        <v>5.5410793108358254</v>
      </c>
      <c r="J198" s="519"/>
      <c r="K198" s="520">
        <f>K151/K6*365</f>
        <v>5.0582338198437276</v>
      </c>
      <c r="L198" s="519">
        <f>L151/L6*181</f>
        <v>6.2063591022443889</v>
      </c>
      <c r="M198" s="570"/>
      <c r="N198" s="519">
        <f>N151/N6*365</f>
        <v>3.3975720251999726</v>
      </c>
      <c r="O198" s="519">
        <f>O151/O6*181</f>
        <v>5.2974615860865653</v>
      </c>
      <c r="P198" s="570"/>
      <c r="Q198" s="519">
        <f>Q151/Q6*365</f>
        <v>4.0589615128435321</v>
      </c>
      <c r="R198" s="519">
        <f>R151/R6*181</f>
        <v>7.0905465634529685</v>
      </c>
      <c r="S198" s="570"/>
      <c r="T198" s="519">
        <f>T151/T6*365</f>
        <v>5.5094339622641506</v>
      </c>
      <c r="U198" s="519">
        <f>U151/U6*181</f>
        <v>5.2958026960784306</v>
      </c>
      <c r="V198" s="570"/>
      <c r="W198" s="519">
        <f>W151/W6*365</f>
        <v>5.5765488587356682</v>
      </c>
      <c r="X198" s="519">
        <f>X151/X6*181</f>
        <v>5.2139180360324699</v>
      </c>
      <c r="Y198" s="570"/>
      <c r="Z198" s="519">
        <f>Z151/Z6*365</f>
        <v>4.6908159060471819</v>
      </c>
      <c r="AA198" s="519">
        <f>AA151/AA6*181</f>
        <v>5.1709377372817018</v>
      </c>
      <c r="AB198" s="570"/>
      <c r="AC198" s="519">
        <f>AC151/AC6*365</f>
        <v>4.5682102628285355</v>
      </c>
      <c r="AD198" s="571">
        <f>AA198</f>
        <v>5.1709377372817018</v>
      </c>
      <c r="AE198" s="571"/>
      <c r="AF198" s="571">
        <f>AC198</f>
        <v>4.5682102628285355</v>
      </c>
      <c r="AG198" s="571">
        <f>AD198</f>
        <v>5.1709377372817018</v>
      </c>
      <c r="AH198" s="571"/>
      <c r="AI198" s="571">
        <f>AF198</f>
        <v>4.5682102628285355</v>
      </c>
      <c r="AJ198" s="571"/>
      <c r="AK198" s="571"/>
      <c r="AL198" s="571">
        <f>AI198</f>
        <v>4.5682102628285355</v>
      </c>
      <c r="AM198" s="571"/>
      <c r="AN198" s="571"/>
      <c r="AO198" s="571">
        <f>AL198</f>
        <v>4.5682102628285355</v>
      </c>
      <c r="AP198" s="571"/>
      <c r="AQ198" s="571"/>
      <c r="AR198" s="571">
        <f>AO198</f>
        <v>4.5682102628285355</v>
      </c>
      <c r="AS198" s="571"/>
      <c r="AT198" s="571"/>
      <c r="AU198" s="571">
        <f>AR198</f>
        <v>4.5682102628285355</v>
      </c>
      <c r="AV198" s="571"/>
      <c r="AW198" s="571"/>
      <c r="AX198" s="571">
        <f>AU198</f>
        <v>4.5682102628285355</v>
      </c>
      <c r="AY198" s="571"/>
      <c r="AZ198" s="571"/>
      <c r="BA198" s="571">
        <f>AX198</f>
        <v>4.5682102628285355</v>
      </c>
      <c r="BB198" s="571"/>
      <c r="BC198" s="571"/>
      <c r="BD198" s="571">
        <f>BA198</f>
        <v>4.5682102628285355</v>
      </c>
      <c r="BE198" s="571"/>
      <c r="BF198" s="571"/>
      <c r="BG198" s="571">
        <f>BD198</f>
        <v>4.5682102628285355</v>
      </c>
      <c r="BH198" s="571"/>
      <c r="BI198" s="571"/>
      <c r="BJ198" s="571">
        <f t="shared" ref="BJ198:BJ199" si="536">BG198</f>
        <v>4.5682102628285355</v>
      </c>
    </row>
    <row r="199" spans="2:62">
      <c r="B199" s="123" t="s">
        <v>802</v>
      </c>
      <c r="C199" s="534"/>
      <c r="D199" s="568"/>
      <c r="E199" s="519">
        <f>-E152/E9*365</f>
        <v>128.77161488862836</v>
      </c>
      <c r="F199" s="519">
        <f>-F152/F9*181</f>
        <v>135.06430034129693</v>
      </c>
      <c r="G199" s="569"/>
      <c r="H199" s="519">
        <f>-H152/H9*365</f>
        <v>140.6623101377605</v>
      </c>
      <c r="I199" s="519">
        <f>-I152/I9*181</f>
        <v>144.64549922400411</v>
      </c>
      <c r="J199" s="519"/>
      <c r="K199" s="520">
        <f>-K152/K9*365</f>
        <v>137.39618330869507</v>
      </c>
      <c r="L199" s="519">
        <f>-L152/L9*181</f>
        <v>141.58576826196474</v>
      </c>
      <c r="M199" s="570"/>
      <c r="N199" s="519">
        <f>-N152/N9*365</f>
        <v>117.91910488071505</v>
      </c>
      <c r="O199" s="519">
        <f>-O152/O9*181</f>
        <v>124.71009036144579</v>
      </c>
      <c r="P199" s="570"/>
      <c r="Q199" s="519">
        <f>-Q152/Q9*365</f>
        <v>141.43445359448029</v>
      </c>
      <c r="R199" s="519">
        <f>-R152/R9*181</f>
        <v>180.72172194157699</v>
      </c>
      <c r="S199" s="570"/>
      <c r="T199" s="519">
        <f>-T152/T9*365</f>
        <v>154.39559858223564</v>
      </c>
      <c r="U199" s="519">
        <f>-U152/U9*181</f>
        <v>150.40119533251115</v>
      </c>
      <c r="V199" s="572"/>
      <c r="W199" s="519">
        <f>-W152/W9*365</f>
        <v>140.75945033986991</v>
      </c>
      <c r="X199" s="519">
        <f>-X152/X9*181</f>
        <v>151.20203703703706</v>
      </c>
      <c r="Y199" s="504"/>
      <c r="Z199" s="519">
        <f>-Z152/Z9*365</f>
        <v>148.15375389781724</v>
      </c>
      <c r="AA199" s="519">
        <f>-AA152/AA9*181</f>
        <v>153.35314654796196</v>
      </c>
      <c r="AB199" s="504"/>
      <c r="AC199" s="519">
        <f>-AC152/AC9*365</f>
        <v>146.28372576490261</v>
      </c>
      <c r="AD199" s="571">
        <f t="shared" ref="AD199" si="537">AA199</f>
        <v>153.35314654796196</v>
      </c>
      <c r="AE199" s="571">
        <f t="shared" ref="AE199" si="538">AB199</f>
        <v>0</v>
      </c>
      <c r="AF199" s="571">
        <v>145</v>
      </c>
      <c r="AG199" s="571">
        <f t="shared" ref="AG199:BI199" si="539">AD199</f>
        <v>153.35314654796196</v>
      </c>
      <c r="AH199" s="571">
        <f t="shared" si="539"/>
        <v>0</v>
      </c>
      <c r="AI199" s="571">
        <f t="shared" si="539"/>
        <v>145</v>
      </c>
      <c r="AJ199" s="571">
        <f t="shared" si="539"/>
        <v>153.35314654796196</v>
      </c>
      <c r="AK199" s="571">
        <f t="shared" si="539"/>
        <v>0</v>
      </c>
      <c r="AL199" s="571">
        <f t="shared" si="539"/>
        <v>145</v>
      </c>
      <c r="AM199" s="571">
        <f t="shared" si="539"/>
        <v>153.35314654796196</v>
      </c>
      <c r="AN199" s="571">
        <f t="shared" si="539"/>
        <v>0</v>
      </c>
      <c r="AO199" s="571">
        <f t="shared" si="539"/>
        <v>145</v>
      </c>
      <c r="AP199" s="571">
        <f t="shared" si="539"/>
        <v>153.35314654796196</v>
      </c>
      <c r="AQ199" s="571">
        <f t="shared" si="539"/>
        <v>0</v>
      </c>
      <c r="AR199" s="571">
        <f t="shared" si="539"/>
        <v>145</v>
      </c>
      <c r="AS199" s="571">
        <f t="shared" si="539"/>
        <v>153.35314654796196</v>
      </c>
      <c r="AT199" s="571">
        <f t="shared" si="539"/>
        <v>0</v>
      </c>
      <c r="AU199" s="571">
        <f t="shared" si="539"/>
        <v>145</v>
      </c>
      <c r="AV199" s="571">
        <f t="shared" si="539"/>
        <v>153.35314654796196</v>
      </c>
      <c r="AW199" s="571">
        <f t="shared" si="539"/>
        <v>0</v>
      </c>
      <c r="AX199" s="571">
        <f t="shared" si="539"/>
        <v>145</v>
      </c>
      <c r="AY199" s="571">
        <f t="shared" si="539"/>
        <v>153.35314654796196</v>
      </c>
      <c r="AZ199" s="571">
        <f t="shared" si="539"/>
        <v>0</v>
      </c>
      <c r="BA199" s="571">
        <f t="shared" si="539"/>
        <v>145</v>
      </c>
      <c r="BB199" s="571">
        <f t="shared" si="539"/>
        <v>153.35314654796196</v>
      </c>
      <c r="BC199" s="571">
        <f t="shared" si="539"/>
        <v>0</v>
      </c>
      <c r="BD199" s="571">
        <f t="shared" si="539"/>
        <v>145</v>
      </c>
      <c r="BE199" s="571">
        <f t="shared" si="539"/>
        <v>153.35314654796196</v>
      </c>
      <c r="BF199" s="571">
        <f t="shared" si="539"/>
        <v>0</v>
      </c>
      <c r="BG199" s="571">
        <f t="shared" si="539"/>
        <v>145</v>
      </c>
      <c r="BH199" s="571">
        <f t="shared" si="539"/>
        <v>153.35314654796196</v>
      </c>
      <c r="BI199" s="571">
        <f t="shared" si="539"/>
        <v>0</v>
      </c>
      <c r="BJ199" s="571">
        <f t="shared" si="536"/>
        <v>145</v>
      </c>
    </row>
    <row r="200" spans="2:62" hidden="1">
      <c r="B200" s="123" t="s">
        <v>45</v>
      </c>
      <c r="C200" s="534"/>
      <c r="D200" s="568"/>
      <c r="E200" s="519">
        <f>MODEL!E153/MODEL!E6</f>
        <v>0</v>
      </c>
      <c r="F200" s="519">
        <f>MODEL!F153/MODEL!F6</f>
        <v>0</v>
      </c>
      <c r="G200" s="569"/>
      <c r="H200" s="519">
        <f>MODEL!H153/MODEL!H6</f>
        <v>2.6455026455026454E-3</v>
      </c>
      <c r="I200" s="519">
        <f>MODEL!I153/MODEL!I6</f>
        <v>3.8445108927808633E-3</v>
      </c>
      <c r="J200" s="519"/>
      <c r="K200" s="520">
        <f>MODEL!K153/MODEL!K6</f>
        <v>1.7322718561108652E-3</v>
      </c>
      <c r="L200" s="519">
        <f>MODEL!L153/MODEL!L6</f>
        <v>5.126073704627321E-3</v>
      </c>
      <c r="M200" s="569"/>
      <c r="N200" s="519">
        <f>MODEL!N153/MODEL!N6</f>
        <v>0</v>
      </c>
      <c r="O200" s="519">
        <f>MODEL!O153/MODEL!O6</f>
        <v>0</v>
      </c>
      <c r="P200" s="569"/>
      <c r="Q200" s="519">
        <f>MODEL!Q153/MODEL!Q6</f>
        <v>1.0425414844632359E-3</v>
      </c>
      <c r="R200" s="519">
        <f>MODEL!R153/MODEL!R6</f>
        <v>2.1698334506216285E-3</v>
      </c>
      <c r="S200" s="569"/>
      <c r="T200" s="519">
        <f>MODEL!T153/MODEL!T6</f>
        <v>3.3511686848774992E-3</v>
      </c>
      <c r="U200" s="519">
        <f>MODEL!U153/MODEL!U6</f>
        <v>0</v>
      </c>
      <c r="V200" s="569"/>
      <c r="W200" s="519">
        <f>MODEL!W153/MODEL!W6</f>
        <v>7.1000315556958029E-4</v>
      </c>
      <c r="X200" s="519">
        <f>MODEL!X153/MODEL!X6</f>
        <v>0</v>
      </c>
      <c r="Y200" s="569"/>
      <c r="Z200" s="519">
        <f>MODEL!Z153/MODEL!Z6</f>
        <v>5.1509220150406922E-5</v>
      </c>
      <c r="AA200" s="519">
        <f>MODEL!AA153/MODEL!AA6</f>
        <v>4.033788914198937E-3</v>
      </c>
      <c r="AB200" s="569"/>
      <c r="AC200" s="519"/>
      <c r="AD200" s="571"/>
      <c r="AE200" s="571"/>
      <c r="AF200" s="571"/>
      <c r="AG200" s="571"/>
      <c r="AH200" s="571"/>
      <c r="AI200" s="571"/>
      <c r="AJ200" s="571"/>
      <c r="AK200" s="571"/>
      <c r="AL200" s="571"/>
      <c r="AM200" s="571"/>
      <c r="AN200" s="571"/>
      <c r="AO200" s="571"/>
      <c r="AP200" s="571"/>
      <c r="AQ200" s="571"/>
      <c r="AR200" s="571"/>
      <c r="AS200" s="571"/>
      <c r="AT200" s="571"/>
      <c r="AU200" s="571"/>
      <c r="AV200" s="571"/>
      <c r="AW200" s="571"/>
      <c r="AX200" s="571"/>
      <c r="AY200" s="571"/>
      <c r="AZ200" s="571"/>
      <c r="BA200" s="571"/>
      <c r="BB200" s="571"/>
      <c r="BC200" s="571"/>
      <c r="BD200" s="571"/>
      <c r="BE200" s="571"/>
      <c r="BF200" s="571"/>
      <c r="BG200" s="571"/>
      <c r="BH200" s="571"/>
      <c r="BI200" s="571"/>
      <c r="BJ200" s="571"/>
    </row>
    <row r="201" spans="2:62" hidden="1">
      <c r="B201" s="123" t="s">
        <v>53</v>
      </c>
      <c r="C201" s="534"/>
      <c r="D201" s="568"/>
      <c r="E201" s="519">
        <f>MODEL!E161/MODEL!E6</f>
        <v>0</v>
      </c>
      <c r="F201" s="519">
        <f>MODEL!F161/MODEL!F6</f>
        <v>0</v>
      </c>
      <c r="G201" s="569"/>
      <c r="H201" s="519">
        <f>MODEL!H161/MODEL!H6</f>
        <v>0</v>
      </c>
      <c r="I201" s="519">
        <f>MODEL!I161/MODEL!I6</f>
        <v>0</v>
      </c>
      <c r="J201" s="519"/>
      <c r="K201" s="520">
        <f>MODEL!K161/MODEL!K6</f>
        <v>0</v>
      </c>
      <c r="L201" s="519">
        <f>MODEL!L161/MODEL!L6</f>
        <v>0</v>
      </c>
      <c r="M201" s="569"/>
      <c r="N201" s="519">
        <f>MODEL!N161/MODEL!N6</f>
        <v>1.7342677143059393E-3</v>
      </c>
      <c r="O201" s="519">
        <f>MODEL!O161/MODEL!O6</f>
        <v>5.2907074914166716E-3</v>
      </c>
      <c r="P201" s="569"/>
      <c r="Q201" s="519">
        <f>MODEL!Q161/MODEL!Q6</f>
        <v>1.3610958269381136E-3</v>
      </c>
      <c r="R201" s="519">
        <f>MODEL!R161/MODEL!R6</f>
        <v>2.7562749237626089E-3</v>
      </c>
      <c r="S201" s="569"/>
      <c r="T201" s="519">
        <f>MODEL!T161/MODEL!T6</f>
        <v>1.4925373134328361E-3</v>
      </c>
      <c r="U201" s="519">
        <f>MODEL!U161/MODEL!U6</f>
        <v>1.2867647058823529E-2</v>
      </c>
      <c r="V201" s="569"/>
      <c r="W201" s="519">
        <f>MODEL!W161/MODEL!W6</f>
        <v>0</v>
      </c>
      <c r="X201" s="519">
        <f>MODEL!X161/MODEL!X6</f>
        <v>0</v>
      </c>
      <c r="Y201" s="569"/>
      <c r="Z201" s="519">
        <f>MODEL!Z161/MODEL!Z6</f>
        <v>4.5328113732358098E-3</v>
      </c>
      <c r="AA201" s="519">
        <f>MODEL!AA161/MODEL!AA6</f>
        <v>7.6879271070615035E-3</v>
      </c>
      <c r="AB201" s="569"/>
      <c r="AC201" s="519"/>
      <c r="AD201" s="571"/>
      <c r="AE201" s="571"/>
      <c r="AF201" s="571"/>
      <c r="AG201" s="571"/>
      <c r="AH201" s="571"/>
      <c r="AI201" s="571"/>
      <c r="AJ201" s="571"/>
      <c r="AK201" s="571"/>
      <c r="AL201" s="571"/>
      <c r="AM201" s="571"/>
      <c r="AN201" s="571"/>
      <c r="AO201" s="571"/>
      <c r="AP201" s="571"/>
      <c r="AQ201" s="571"/>
      <c r="AR201" s="571"/>
      <c r="AS201" s="571"/>
      <c r="AT201" s="571"/>
      <c r="AU201" s="571"/>
      <c r="AV201" s="571"/>
      <c r="AW201" s="571"/>
      <c r="AX201" s="571"/>
      <c r="AY201" s="571"/>
      <c r="AZ201" s="571"/>
      <c r="BA201" s="571"/>
      <c r="BB201" s="571"/>
      <c r="BC201" s="571"/>
      <c r="BD201" s="571"/>
      <c r="BE201" s="571"/>
      <c r="BF201" s="571"/>
      <c r="BG201" s="571"/>
      <c r="BH201" s="571"/>
      <c r="BI201" s="571"/>
      <c r="BJ201" s="571"/>
    </row>
    <row r="202" spans="2:62" hidden="1">
      <c r="B202" s="123" t="s">
        <v>46</v>
      </c>
      <c r="C202" s="534"/>
      <c r="D202" s="568"/>
      <c r="E202" s="519">
        <f>MODEL!E162/MODEL!E6</f>
        <v>0</v>
      </c>
      <c r="F202" s="519">
        <f>MODEL!F162/MODEL!F6</f>
        <v>2.2659594941633438E-4</v>
      </c>
      <c r="G202" s="569"/>
      <c r="H202" s="519">
        <f>MODEL!H162/MODEL!H6</f>
        <v>3.6181139122315594E-3</v>
      </c>
      <c r="I202" s="519">
        <f>MODEL!I162/MODEL!I6</f>
        <v>5.9091556314965123E-3</v>
      </c>
      <c r="J202" s="519"/>
      <c r="K202" s="520">
        <f>MODEL!K162/MODEL!K6</f>
        <v>2.5431225121627602E-3</v>
      </c>
      <c r="L202" s="519">
        <f>MODEL!L162/MODEL!L6</f>
        <v>4.4333610418398452E-3</v>
      </c>
      <c r="M202" s="569"/>
      <c r="N202" s="519">
        <f>MODEL!N162/MODEL!N6</f>
        <v>2.2297727755362074E-3</v>
      </c>
      <c r="O202" s="519">
        <f>MODEL!O162/MODEL!O6</f>
        <v>3.4896155794450386E-3</v>
      </c>
      <c r="P202" s="569"/>
      <c r="Q202" s="519">
        <f>MODEL!Q162/MODEL!Q6</f>
        <v>1.7665286264515942E-3</v>
      </c>
      <c r="R202" s="519">
        <f>MODEL!R162/MODEL!R6</f>
        <v>3.4600046915317859E-3</v>
      </c>
      <c r="S202" s="569"/>
      <c r="T202" s="519">
        <f>MODEL!T162/MODEL!T6</f>
        <v>0</v>
      </c>
      <c r="U202" s="519">
        <f>MODEL!U162/MODEL!U6</f>
        <v>0</v>
      </c>
      <c r="V202" s="569"/>
      <c r="W202" s="519">
        <f>MODEL!W162/MODEL!W6</f>
        <v>0</v>
      </c>
      <c r="X202" s="519">
        <f>MODEL!X162/MODEL!X6</f>
        <v>0</v>
      </c>
      <c r="Y202" s="569"/>
      <c r="Z202" s="519">
        <f>MODEL!Z162/MODEL!Z6</f>
        <v>0</v>
      </c>
      <c r="AA202" s="519">
        <f>MODEL!AA162/MODEL!AA6</f>
        <v>0</v>
      </c>
      <c r="AB202" s="569"/>
      <c r="AC202" s="519"/>
      <c r="AD202" s="571"/>
      <c r="AE202" s="571"/>
      <c r="AF202" s="571"/>
      <c r="AG202" s="571"/>
      <c r="AH202" s="571"/>
      <c r="AI202" s="571"/>
      <c r="AJ202" s="571"/>
      <c r="AK202" s="571"/>
      <c r="AL202" s="571"/>
      <c r="AM202" s="571"/>
      <c r="AN202" s="571"/>
      <c r="AO202" s="571"/>
      <c r="AP202" s="571"/>
      <c r="AQ202" s="571"/>
      <c r="AR202" s="571"/>
      <c r="AS202" s="571"/>
      <c r="AT202" s="571"/>
      <c r="AU202" s="571"/>
      <c r="AV202" s="571"/>
      <c r="AW202" s="571"/>
      <c r="AX202" s="571"/>
      <c r="AY202" s="571"/>
      <c r="AZ202" s="571"/>
      <c r="BA202" s="571"/>
      <c r="BB202" s="571"/>
      <c r="BC202" s="571"/>
      <c r="BD202" s="571"/>
      <c r="BE202" s="571"/>
      <c r="BF202" s="571"/>
      <c r="BG202" s="571"/>
      <c r="BH202" s="571"/>
      <c r="BI202" s="571"/>
      <c r="BJ202" s="571"/>
    </row>
    <row r="203" spans="2:62">
      <c r="B203" s="123" t="s">
        <v>860</v>
      </c>
      <c r="C203" s="534"/>
      <c r="D203" s="568"/>
      <c r="E203" s="519">
        <f>E170/-E9*365</f>
        <v>67.84913540445487</v>
      </c>
      <c r="F203" s="519">
        <f>F170/-F9*181</f>
        <v>116.82839590443686</v>
      </c>
      <c r="G203" s="569"/>
      <c r="H203" s="519">
        <f>H170/-H9*365</f>
        <v>88.265277287177682</v>
      </c>
      <c r="I203" s="519">
        <f>I170/-I9*181</f>
        <v>123.3197102948784</v>
      </c>
      <c r="J203" s="519"/>
      <c r="K203" s="520">
        <f>K170/-K9*365</f>
        <v>88.956793441741695</v>
      </c>
      <c r="L203" s="519">
        <f>L170/-L9*181</f>
        <v>123.82770780856424</v>
      </c>
      <c r="M203" s="570"/>
      <c r="N203" s="519">
        <f>N170/-N9*365</f>
        <v>103.8129380747219</v>
      </c>
      <c r="O203" s="519">
        <f>O170/-O9*181</f>
        <v>151.01506024096386</v>
      </c>
      <c r="P203" s="570"/>
      <c r="Q203" s="519">
        <f>Q170/-Q9*365</f>
        <v>114.42299131983084</v>
      </c>
      <c r="R203" s="519">
        <f>R170/-R9*181</f>
        <v>145.77794860531517</v>
      </c>
      <c r="S203" s="570"/>
      <c r="T203" s="519">
        <f>T170/-T9*365</f>
        <v>87.161297148600752</v>
      </c>
      <c r="U203" s="519">
        <f>U170/-U9*181</f>
        <v>106.5978559908927</v>
      </c>
      <c r="V203" s="570"/>
      <c r="W203" s="519">
        <f>W170/-W9*365</f>
        <v>87.47933884297521</v>
      </c>
      <c r="X203" s="519">
        <f>X170/-X9*181</f>
        <v>126.64972222222222</v>
      </c>
      <c r="Y203" s="570"/>
      <c r="Z203" s="519">
        <f>Z170/-Z9*365</f>
        <v>101.36651475173902</v>
      </c>
      <c r="AA203" s="519">
        <f>AA170/-AA9*181</f>
        <v>125.29553984463648</v>
      </c>
      <c r="AB203" s="570"/>
      <c r="AC203" s="519">
        <f>AC170/-AC9*365</f>
        <v>96.582229854928372</v>
      </c>
      <c r="AD203" s="571">
        <f t="shared" ref="AD203" si="540">AA203</f>
        <v>125.29553984463648</v>
      </c>
      <c r="AE203" s="571">
        <f t="shared" ref="AE203" si="541">AB203</f>
        <v>0</v>
      </c>
      <c r="AF203" s="571">
        <v>97</v>
      </c>
      <c r="AG203" s="571">
        <f t="shared" ref="AG203" si="542">AD203</f>
        <v>125.29553984463648</v>
      </c>
      <c r="AH203" s="571">
        <f t="shared" ref="AH203:BJ203" si="543">AE203</f>
        <v>0</v>
      </c>
      <c r="AI203" s="571">
        <f t="shared" si="543"/>
        <v>97</v>
      </c>
      <c r="AJ203" s="571">
        <f t="shared" si="543"/>
        <v>125.29553984463648</v>
      </c>
      <c r="AK203" s="571">
        <f t="shared" si="543"/>
        <v>0</v>
      </c>
      <c r="AL203" s="571">
        <f t="shared" si="543"/>
        <v>97</v>
      </c>
      <c r="AM203" s="571">
        <f t="shared" si="543"/>
        <v>125.29553984463648</v>
      </c>
      <c r="AN203" s="571">
        <f t="shared" si="543"/>
        <v>0</v>
      </c>
      <c r="AO203" s="571">
        <f t="shared" si="543"/>
        <v>97</v>
      </c>
      <c r="AP203" s="571">
        <f t="shared" si="543"/>
        <v>125.29553984463648</v>
      </c>
      <c r="AQ203" s="571">
        <f t="shared" si="543"/>
        <v>0</v>
      </c>
      <c r="AR203" s="571">
        <f t="shared" si="543"/>
        <v>97</v>
      </c>
      <c r="AS203" s="571">
        <f t="shared" si="543"/>
        <v>125.29553984463648</v>
      </c>
      <c r="AT203" s="571">
        <f t="shared" si="543"/>
        <v>0</v>
      </c>
      <c r="AU203" s="571">
        <f t="shared" si="543"/>
        <v>97</v>
      </c>
      <c r="AV203" s="571">
        <f t="shared" si="543"/>
        <v>125.29553984463648</v>
      </c>
      <c r="AW203" s="571">
        <f t="shared" si="543"/>
        <v>0</v>
      </c>
      <c r="AX203" s="571">
        <f t="shared" si="543"/>
        <v>97</v>
      </c>
      <c r="AY203" s="571">
        <f t="shared" si="543"/>
        <v>125.29553984463648</v>
      </c>
      <c r="AZ203" s="571">
        <f t="shared" si="543"/>
        <v>0</v>
      </c>
      <c r="BA203" s="571">
        <f t="shared" si="543"/>
        <v>97</v>
      </c>
      <c r="BB203" s="571">
        <f t="shared" si="543"/>
        <v>125.29553984463648</v>
      </c>
      <c r="BC203" s="571">
        <f t="shared" si="543"/>
        <v>0</v>
      </c>
      <c r="BD203" s="571">
        <f t="shared" si="543"/>
        <v>97</v>
      </c>
      <c r="BE203" s="571">
        <f t="shared" si="543"/>
        <v>125.29553984463648</v>
      </c>
      <c r="BF203" s="571">
        <f t="shared" si="543"/>
        <v>0</v>
      </c>
      <c r="BG203" s="571">
        <f t="shared" si="543"/>
        <v>97</v>
      </c>
      <c r="BH203" s="571">
        <f t="shared" si="543"/>
        <v>125.29553984463648</v>
      </c>
      <c r="BI203" s="571">
        <f t="shared" si="543"/>
        <v>0</v>
      </c>
      <c r="BJ203" s="571">
        <f t="shared" si="543"/>
        <v>97</v>
      </c>
    </row>
    <row r="204" spans="2:62" hidden="1">
      <c r="B204" s="123" t="s">
        <v>47</v>
      </c>
      <c r="C204" s="534">
        <v>0</v>
      </c>
      <c r="D204" s="568"/>
      <c r="E204" s="534" t="e">
        <f>MODEL!#REF!/MODEL!E6</f>
        <v>#REF!</v>
      </c>
      <c r="F204" s="534" t="e">
        <f>MODEL!#REF!/MODEL!F6</f>
        <v>#REF!</v>
      </c>
      <c r="G204" s="568"/>
      <c r="H204" s="534" t="e">
        <f>MODEL!#REF!/MODEL!H6</f>
        <v>#REF!</v>
      </c>
      <c r="I204" s="534" t="e">
        <f>MODEL!#REF!/MODEL!I6</f>
        <v>#REF!</v>
      </c>
      <c r="J204" s="480"/>
      <c r="K204" s="535" t="e">
        <f>MODEL!#REF!/MODEL!K6</f>
        <v>#REF!</v>
      </c>
      <c r="L204" s="534" t="e">
        <f>MODEL!#REF!/MODEL!L6</f>
        <v>#REF!</v>
      </c>
      <c r="M204" s="568"/>
      <c r="N204" s="534" t="e">
        <f>MODEL!#REF!/MODEL!N6</f>
        <v>#REF!</v>
      </c>
      <c r="O204" s="534" t="e">
        <f>MODEL!#REF!/MODEL!O6</f>
        <v>#REF!</v>
      </c>
      <c r="P204" s="568"/>
      <c r="Q204" s="534" t="e">
        <f>MODEL!#REF!/MODEL!Q6</f>
        <v>#REF!</v>
      </c>
      <c r="R204" s="534" t="e">
        <f>MODEL!#REF!/MODEL!R6</f>
        <v>#REF!</v>
      </c>
      <c r="S204" s="568"/>
      <c r="T204" s="534" t="e">
        <f>MODEL!#REF!/MODEL!T6</f>
        <v>#REF!</v>
      </c>
      <c r="U204" s="534" t="e">
        <f>MODEL!#REF!/MODEL!U6</f>
        <v>#REF!</v>
      </c>
      <c r="V204" s="568"/>
      <c r="W204" s="534" t="e">
        <f>MODEL!#REF!/MODEL!W6</f>
        <v>#REF!</v>
      </c>
      <c r="X204" s="534" t="e">
        <f>MODEL!#REF!/MODEL!X6</f>
        <v>#REF!</v>
      </c>
      <c r="Y204" s="568"/>
      <c r="Z204" s="534" t="e">
        <f>MODEL!#REF!/MODEL!Z6</f>
        <v>#REF!</v>
      </c>
      <c r="AA204" s="534" t="e">
        <f>MODEL!#REF!/MODEL!AA6</f>
        <v>#REF!</v>
      </c>
      <c r="AB204" s="568"/>
      <c r="AC204" s="534"/>
      <c r="AD204" s="534"/>
      <c r="AE204" s="568"/>
      <c r="AF204" s="573"/>
      <c r="AG204" s="534"/>
      <c r="AH204" s="568"/>
      <c r="AI204" s="573"/>
      <c r="AJ204" s="573"/>
      <c r="AK204" s="573"/>
      <c r="AL204" s="573"/>
      <c r="AM204" s="573"/>
      <c r="AN204" s="573"/>
      <c r="AO204" s="573"/>
      <c r="AP204" s="573"/>
      <c r="AQ204" s="573"/>
      <c r="AR204" s="573"/>
      <c r="AS204" s="573"/>
      <c r="AT204" s="573"/>
      <c r="AU204" s="573"/>
      <c r="AV204" s="573"/>
      <c r="AW204" s="573"/>
      <c r="AX204" s="573"/>
      <c r="AY204" s="573"/>
      <c r="AZ204" s="573"/>
      <c r="BA204" s="573"/>
      <c r="BB204" s="573"/>
      <c r="BC204" s="573"/>
      <c r="BD204" s="573"/>
      <c r="BE204" s="573"/>
      <c r="BF204" s="573"/>
      <c r="BG204" s="573"/>
      <c r="BH204" s="573"/>
      <c r="BI204" s="573"/>
      <c r="BJ204" s="573"/>
    </row>
    <row r="205" spans="2:62" s="468" customFormat="1">
      <c r="B205" s="574" t="s">
        <v>861</v>
      </c>
      <c r="C205" s="575"/>
      <c r="D205" s="576"/>
      <c r="E205" s="575">
        <f>E198+E199-E203</f>
        <v>67.229717547911036</v>
      </c>
      <c r="F205" s="575">
        <f>F198+F199-F203</f>
        <v>22.432990143932557</v>
      </c>
      <c r="G205" s="576"/>
      <c r="H205" s="575">
        <f t="shared" ref="H205:I205" si="544">H198+H199-H203</f>
        <v>55.776662480212437</v>
      </c>
      <c r="I205" s="575">
        <f t="shared" si="544"/>
        <v>26.866868239961519</v>
      </c>
      <c r="J205" s="575"/>
      <c r="K205" s="577">
        <f t="shared" ref="K205:L205" si="545">K198+K199-K203</f>
        <v>53.497623686797112</v>
      </c>
      <c r="L205" s="575">
        <f t="shared" si="545"/>
        <v>23.964419555644895</v>
      </c>
      <c r="M205" s="576"/>
      <c r="N205" s="575">
        <f t="shared" ref="N205:O205" si="546">N198+N199-N203</f>
        <v>17.503738831193132</v>
      </c>
      <c r="O205" s="575">
        <f t="shared" si="546"/>
        <v>-21.007508293431499</v>
      </c>
      <c r="P205" s="576"/>
      <c r="Q205" s="575">
        <f t="shared" ref="Q205:R205" si="547">Q198+Q199-Q203</f>
        <v>31.07042378749297</v>
      </c>
      <c r="R205" s="575">
        <f t="shared" si="547"/>
        <v>42.034319899714774</v>
      </c>
      <c r="S205" s="576"/>
      <c r="T205" s="575">
        <f t="shared" ref="T205:U205" si="548">T198+T199-T203</f>
        <v>72.743735395899037</v>
      </c>
      <c r="U205" s="575">
        <f t="shared" si="548"/>
        <v>49.099142037696879</v>
      </c>
      <c r="V205" s="576"/>
      <c r="W205" s="575">
        <f t="shared" ref="W205:X205" si="549">W198+W199-W203</f>
        <v>58.856660355630368</v>
      </c>
      <c r="X205" s="575">
        <f t="shared" si="549"/>
        <v>29.766232850847317</v>
      </c>
      <c r="Y205" s="576"/>
      <c r="Z205" s="575">
        <f t="shared" ref="Z205:BJ205" si="550">Z198+Z199-Z203</f>
        <v>51.478055052125413</v>
      </c>
      <c r="AA205" s="575">
        <f t="shared" si="550"/>
        <v>33.228544440607166</v>
      </c>
      <c r="AB205" s="576"/>
      <c r="AC205" s="575">
        <f t="shared" si="550"/>
        <v>54.269706172802771</v>
      </c>
      <c r="AD205" s="575">
        <f t="shared" si="550"/>
        <v>33.228544440607166</v>
      </c>
      <c r="AE205" s="575">
        <f t="shared" si="550"/>
        <v>0</v>
      </c>
      <c r="AF205" s="575">
        <f t="shared" si="550"/>
        <v>52.568210262828529</v>
      </c>
      <c r="AG205" s="575">
        <f t="shared" si="550"/>
        <v>33.228544440607166</v>
      </c>
      <c r="AH205" s="575">
        <f t="shared" si="550"/>
        <v>0</v>
      </c>
      <c r="AI205" s="575">
        <f t="shared" si="550"/>
        <v>52.568210262828529</v>
      </c>
      <c r="AJ205" s="575">
        <f t="shared" si="550"/>
        <v>28.057606703325476</v>
      </c>
      <c r="AK205" s="575">
        <f t="shared" si="550"/>
        <v>0</v>
      </c>
      <c r="AL205" s="575">
        <f t="shared" si="550"/>
        <v>52.568210262828529</v>
      </c>
      <c r="AM205" s="575">
        <f t="shared" si="550"/>
        <v>28.057606703325476</v>
      </c>
      <c r="AN205" s="575">
        <f t="shared" si="550"/>
        <v>0</v>
      </c>
      <c r="AO205" s="575">
        <f t="shared" si="550"/>
        <v>52.568210262828529</v>
      </c>
      <c r="AP205" s="575">
        <f t="shared" si="550"/>
        <v>28.057606703325476</v>
      </c>
      <c r="AQ205" s="575">
        <f t="shared" si="550"/>
        <v>0</v>
      </c>
      <c r="AR205" s="575">
        <f t="shared" si="550"/>
        <v>52.568210262828529</v>
      </c>
      <c r="AS205" s="575">
        <f t="shared" si="550"/>
        <v>28.057606703325476</v>
      </c>
      <c r="AT205" s="575">
        <f t="shared" si="550"/>
        <v>0</v>
      </c>
      <c r="AU205" s="575">
        <f t="shared" si="550"/>
        <v>52.568210262828529</v>
      </c>
      <c r="AV205" s="575">
        <f t="shared" si="550"/>
        <v>28.057606703325476</v>
      </c>
      <c r="AW205" s="575">
        <f t="shared" si="550"/>
        <v>0</v>
      </c>
      <c r="AX205" s="575">
        <f t="shared" si="550"/>
        <v>52.568210262828529</v>
      </c>
      <c r="AY205" s="575">
        <f t="shared" si="550"/>
        <v>28.057606703325476</v>
      </c>
      <c r="AZ205" s="575">
        <f t="shared" si="550"/>
        <v>0</v>
      </c>
      <c r="BA205" s="575">
        <f t="shared" si="550"/>
        <v>52.568210262828529</v>
      </c>
      <c r="BB205" s="575">
        <f t="shared" si="550"/>
        <v>28.057606703325476</v>
      </c>
      <c r="BC205" s="575">
        <f t="shared" si="550"/>
        <v>0</v>
      </c>
      <c r="BD205" s="575">
        <f t="shared" si="550"/>
        <v>52.568210262828529</v>
      </c>
      <c r="BE205" s="575">
        <f t="shared" si="550"/>
        <v>28.057606703325476</v>
      </c>
      <c r="BF205" s="575">
        <f t="shared" si="550"/>
        <v>0</v>
      </c>
      <c r="BG205" s="575">
        <f t="shared" si="550"/>
        <v>52.568210262828529</v>
      </c>
      <c r="BH205" s="575">
        <f t="shared" si="550"/>
        <v>28.057606703325476</v>
      </c>
      <c r="BI205" s="575">
        <f t="shared" si="550"/>
        <v>0</v>
      </c>
      <c r="BJ205" s="575">
        <f t="shared" si="550"/>
        <v>52.568210262828529</v>
      </c>
    </row>
    <row r="206" spans="2:62" s="468" customFormat="1">
      <c r="B206" s="574"/>
      <c r="C206" s="575"/>
      <c r="D206" s="576"/>
      <c r="E206" s="575"/>
      <c r="F206" s="575"/>
      <c r="G206" s="576"/>
      <c r="H206" s="575"/>
      <c r="I206" s="575"/>
      <c r="J206" s="575"/>
      <c r="K206" s="577"/>
      <c r="L206" s="575"/>
      <c r="M206" s="576"/>
      <c r="N206" s="575"/>
      <c r="O206" s="575"/>
      <c r="P206" s="576"/>
      <c r="Q206" s="575"/>
      <c r="R206" s="575"/>
      <c r="S206" s="576"/>
      <c r="T206" s="575"/>
      <c r="U206" s="575"/>
      <c r="V206" s="576"/>
      <c r="W206" s="575"/>
      <c r="X206" s="575"/>
      <c r="Y206" s="576"/>
      <c r="Z206" s="575"/>
      <c r="AA206" s="575"/>
      <c r="AB206" s="576"/>
      <c r="AC206" s="575"/>
      <c r="AD206" s="575"/>
      <c r="AE206" s="576"/>
      <c r="AF206" s="578"/>
      <c r="AG206" s="575"/>
      <c r="AH206" s="576"/>
      <c r="AI206" s="578"/>
      <c r="AJ206" s="578"/>
      <c r="AK206" s="578"/>
      <c r="AL206" s="578"/>
      <c r="AM206" s="578"/>
      <c r="AN206" s="578"/>
      <c r="AO206" s="578"/>
      <c r="AP206" s="578"/>
      <c r="AQ206" s="578"/>
      <c r="AR206" s="578"/>
      <c r="AS206" s="578"/>
      <c r="AT206" s="578"/>
      <c r="AU206" s="578"/>
      <c r="AV206" s="578"/>
      <c r="AW206" s="578"/>
      <c r="AX206" s="578"/>
      <c r="AY206" s="578"/>
      <c r="AZ206" s="578"/>
      <c r="BA206" s="578"/>
      <c r="BB206" s="578"/>
      <c r="BC206" s="578"/>
      <c r="BD206" s="578"/>
      <c r="BE206" s="578"/>
      <c r="BF206" s="578"/>
      <c r="BG206" s="578"/>
      <c r="BH206" s="578"/>
      <c r="BI206" s="578"/>
      <c r="BJ206" s="578"/>
    </row>
    <row r="207" spans="2:62">
      <c r="B207" s="123" t="s">
        <v>48</v>
      </c>
      <c r="C207" s="534">
        <v>4.3921265920494015E-2</v>
      </c>
      <c r="D207" s="568"/>
      <c r="E207" s="534">
        <f>MODEL!E171/MODEL!E6</f>
        <v>2.5271138425033698E-2</v>
      </c>
      <c r="F207" s="534">
        <f>MODEL!F171/MODEL!F6</f>
        <v>3.9729823130997294E-2</v>
      </c>
      <c r="G207" s="568"/>
      <c r="H207" s="534">
        <f>MODEL!H171/MODEL!H6</f>
        <v>4.084967320261438E-2</v>
      </c>
      <c r="I207" s="534">
        <f>MODEL!I171/MODEL!I6</f>
        <v>7.9595614409796386E-2</v>
      </c>
      <c r="J207" s="480"/>
      <c r="K207" s="535">
        <f>MODEL!K171/MODEL!K6</f>
        <v>3.9547397906531036E-2</v>
      </c>
      <c r="L207" s="534">
        <f>MODEL!L171/MODEL!L6</f>
        <v>7.3912441119423675E-2</v>
      </c>
      <c r="M207" s="568"/>
      <c r="N207" s="534">
        <f>MODEL!N171/MODEL!N6</f>
        <v>3.9321865930487719E-2</v>
      </c>
      <c r="O207" s="534">
        <f>MODEL!O171/MODEL!O6</f>
        <v>4.8404345134237629E-2</v>
      </c>
      <c r="P207" s="568"/>
      <c r="Q207" s="534">
        <f>MODEL!Q171/MODEL!Q6</f>
        <v>2.8090701109148301E-2</v>
      </c>
      <c r="R207" s="534">
        <f>MODEL!R171/MODEL!R6</f>
        <v>4.9378372038470571E-2</v>
      </c>
      <c r="S207" s="568"/>
      <c r="T207" s="534">
        <f>MODEL!T171/MODEL!T6</f>
        <v>2.7569698676429177E-2</v>
      </c>
      <c r="U207" s="534">
        <f>MODEL!U171/MODEL!U6</f>
        <v>4.7691993464052292E-2</v>
      </c>
      <c r="V207" s="568"/>
      <c r="W207" s="534">
        <f>MODEL!W171/MODEL!W6</f>
        <v>2.7953087198906067E-2</v>
      </c>
      <c r="X207" s="534">
        <f>MODEL!X171/MODEL!X6</f>
        <v>5.201940209859434E-2</v>
      </c>
      <c r="Y207" s="568"/>
      <c r="Z207" s="534">
        <f>MODEL!Z171/MODEL!Z6</f>
        <v>2.969506541670959E-2</v>
      </c>
      <c r="AA207" s="534">
        <f>MODEL!AA171/MODEL!AA6</f>
        <v>4.7124145785876995E-2</v>
      </c>
      <c r="AB207" s="568"/>
      <c r="AC207" s="534">
        <f>MODEL!AC171/MODEL!AC6</f>
        <v>2.6700041718815185E-2</v>
      </c>
      <c r="AD207" s="803">
        <f>AA207</f>
        <v>4.7124145785876995E-2</v>
      </c>
      <c r="AE207" s="804"/>
      <c r="AF207" s="802">
        <v>3.2000000000000001E-2</v>
      </c>
      <c r="AG207" s="803">
        <f>AD207</f>
        <v>4.7124145785876995E-2</v>
      </c>
      <c r="AH207" s="804"/>
      <c r="AI207" s="802">
        <f>AF207</f>
        <v>3.2000000000000001E-2</v>
      </c>
      <c r="AJ207" s="802"/>
      <c r="AK207" s="802"/>
      <c r="AL207" s="802">
        <f>AI207</f>
        <v>3.2000000000000001E-2</v>
      </c>
      <c r="AM207" s="802"/>
      <c r="AN207" s="802"/>
      <c r="AO207" s="802">
        <f>AL207</f>
        <v>3.2000000000000001E-2</v>
      </c>
      <c r="AP207" s="802"/>
      <c r="AQ207" s="802"/>
      <c r="AR207" s="802">
        <f>AO207</f>
        <v>3.2000000000000001E-2</v>
      </c>
      <c r="AS207" s="802"/>
      <c r="AT207" s="802"/>
      <c r="AU207" s="802">
        <f>AR207</f>
        <v>3.2000000000000001E-2</v>
      </c>
      <c r="AV207" s="802"/>
      <c r="AW207" s="802"/>
      <c r="AX207" s="802">
        <f>AU207</f>
        <v>3.2000000000000001E-2</v>
      </c>
      <c r="AY207" s="802"/>
      <c r="AZ207" s="802"/>
      <c r="BA207" s="802">
        <f>AX207</f>
        <v>3.2000000000000001E-2</v>
      </c>
      <c r="BB207" s="802"/>
      <c r="BC207" s="802"/>
      <c r="BD207" s="802">
        <f>BA207</f>
        <v>3.2000000000000001E-2</v>
      </c>
      <c r="BE207" s="802"/>
      <c r="BF207" s="802"/>
      <c r="BG207" s="802">
        <f>BD207</f>
        <v>3.2000000000000001E-2</v>
      </c>
      <c r="BH207" s="802"/>
      <c r="BI207" s="802"/>
      <c r="BJ207" s="802">
        <f t="shared" ref="BJ207" si="551">BG207</f>
        <v>3.2000000000000001E-2</v>
      </c>
    </row>
    <row r="208" spans="2:62" hidden="1">
      <c r="B208" s="123" t="s">
        <v>51</v>
      </c>
      <c r="C208" s="534">
        <v>6.3296024700887684E-3</v>
      </c>
      <c r="D208" s="568"/>
      <c r="E208" s="534">
        <f>MODEL!E172/MODEL!E6</f>
        <v>1.8659267536943018E-3</v>
      </c>
      <c r="F208" s="534">
        <f>MODEL!F172/MODEL!F6</f>
        <v>4.1542590726327969E-3</v>
      </c>
      <c r="G208" s="568"/>
      <c r="H208" s="534">
        <f>MODEL!H172/MODEL!H6</f>
        <v>4.3183940242763766E-3</v>
      </c>
      <c r="I208" s="534">
        <f>MODEL!I172/MODEL!I6</f>
        <v>1.0180834401253027E-2</v>
      </c>
      <c r="J208" s="480"/>
      <c r="K208" s="535">
        <f>MODEL!K172/MODEL!K6</f>
        <v>2.2851245761462483E-3</v>
      </c>
      <c r="L208" s="534"/>
      <c r="M208" s="568"/>
      <c r="N208" s="534">
        <f>MODEL!N172/MODEL!N6</f>
        <v>6.7247115452679276E-3</v>
      </c>
      <c r="O208" s="534"/>
      <c r="P208" s="568"/>
      <c r="Q208" s="534">
        <f>MODEL!Q172/MODEL!Q6</f>
        <v>2.0126842547276362E-2</v>
      </c>
      <c r="R208" s="534"/>
      <c r="S208" s="568"/>
      <c r="T208" s="534">
        <f>MODEL!T172/MODEL!T6</f>
        <v>5.5758941143339907E-3</v>
      </c>
      <c r="U208" s="534"/>
      <c r="V208" s="568"/>
      <c r="W208" s="534">
        <f>MODEL!W172/MODEL!W6</f>
        <v>7.9678131902808456E-3</v>
      </c>
      <c r="X208" s="534"/>
      <c r="Y208" s="568"/>
      <c r="Z208" s="534">
        <f>MODEL!Z172/MODEL!Z6</f>
        <v>9.5034511177500766E-3</v>
      </c>
      <c r="AA208" s="534"/>
      <c r="AB208" s="568"/>
      <c r="AC208" s="534"/>
      <c r="AD208" s="534"/>
      <c r="AE208" s="568"/>
      <c r="AF208" s="568"/>
      <c r="AG208" s="534"/>
      <c r="AH208" s="568"/>
      <c r="AI208" s="568"/>
      <c r="AJ208" s="568"/>
      <c r="AK208" s="568"/>
      <c r="AL208" s="568"/>
      <c r="AM208" s="568"/>
      <c r="AN208" s="568"/>
      <c r="AO208" s="568"/>
      <c r="AP208" s="568"/>
      <c r="AQ208" s="568"/>
      <c r="AR208" s="568"/>
      <c r="AS208" s="568"/>
      <c r="AT208" s="568"/>
      <c r="AU208" s="568"/>
      <c r="AV208" s="568"/>
      <c r="AW208" s="568"/>
      <c r="AX208" s="568"/>
      <c r="AY208" s="568"/>
      <c r="AZ208" s="568"/>
      <c r="BA208" s="568"/>
      <c r="BB208" s="568"/>
      <c r="BC208" s="568"/>
      <c r="BD208" s="568"/>
      <c r="BE208" s="568"/>
      <c r="BF208" s="568"/>
      <c r="BG208" s="568"/>
      <c r="BH208" s="568"/>
      <c r="BI208" s="568"/>
      <c r="BJ208" s="568"/>
    </row>
    <row r="209" spans="2:62" hidden="1">
      <c r="B209" s="123" t="s">
        <v>52</v>
      </c>
      <c r="C209" s="534">
        <v>2.377460439984562E-2</v>
      </c>
      <c r="D209" s="568"/>
      <c r="E209" s="534">
        <f>MODEL!E178/MODEL!E6</f>
        <v>6.9363798887331664E-3</v>
      </c>
      <c r="F209" s="534">
        <f>MODEL!F178/MODEL!F6</f>
        <v>1.8354271902723086E-2</v>
      </c>
      <c r="G209" s="568"/>
      <c r="H209" s="534">
        <f>MODEL!H178/MODEL!H6</f>
        <v>7.8197945845004668E-3</v>
      </c>
      <c r="I209" s="534">
        <f>MODEL!I178/MODEL!I6</f>
        <v>1.302862024775737E-2</v>
      </c>
      <c r="J209" s="480"/>
      <c r="K209" s="535">
        <f>MODEL!K178/MODEL!K6</f>
        <v>8.6245024325519674E-3</v>
      </c>
      <c r="L209" s="534"/>
      <c r="M209" s="568"/>
      <c r="N209" s="534">
        <f>MODEL!N178/MODEL!N6</f>
        <v>0</v>
      </c>
      <c r="O209" s="534"/>
      <c r="P209" s="568"/>
      <c r="Q209" s="534">
        <f>MODEL!Q178/MODEL!Q6</f>
        <v>0</v>
      </c>
      <c r="R209" s="534"/>
      <c r="S209" s="568"/>
      <c r="T209" s="534">
        <f>MODEL!T178/MODEL!T6</f>
        <v>0</v>
      </c>
      <c r="U209" s="534"/>
      <c r="V209" s="568"/>
      <c r="W209" s="534">
        <f>MODEL!W178/MODEL!W6</f>
        <v>8.6515199326811822E-3</v>
      </c>
      <c r="X209" s="534"/>
      <c r="Y209" s="568"/>
      <c r="Z209" s="534">
        <f>MODEL!Z178/MODEL!Z6</f>
        <v>2.6269702276707526E-3</v>
      </c>
      <c r="AA209" s="534"/>
      <c r="AB209" s="568"/>
      <c r="AC209" s="534"/>
      <c r="AD209" s="534"/>
      <c r="AE209" s="568"/>
      <c r="AF209" s="568"/>
      <c r="AG209" s="534"/>
      <c r="AH209" s="568"/>
      <c r="AI209" s="568"/>
      <c r="AJ209" s="568"/>
      <c r="AK209" s="568"/>
      <c r="AL209" s="568"/>
      <c r="AM209" s="568"/>
      <c r="AN209" s="568"/>
      <c r="AO209" s="568"/>
      <c r="AP209" s="568"/>
      <c r="AQ209" s="568"/>
      <c r="AR209" s="568"/>
      <c r="AS209" s="568"/>
      <c r="AT209" s="568"/>
      <c r="AU209" s="568"/>
      <c r="AV209" s="568"/>
      <c r="AW209" s="568"/>
      <c r="AX209" s="568"/>
      <c r="AY209" s="568"/>
      <c r="AZ209" s="568"/>
      <c r="BA209" s="568"/>
      <c r="BB209" s="568"/>
      <c r="BC209" s="568"/>
      <c r="BD209" s="568"/>
      <c r="BE209" s="568"/>
      <c r="BF209" s="568"/>
      <c r="BG209" s="568"/>
      <c r="BH209" s="568"/>
      <c r="BI209" s="568"/>
      <c r="BJ209" s="568"/>
    </row>
    <row r="210" spans="2:62" hidden="1">
      <c r="B210" s="123" t="s">
        <v>49</v>
      </c>
      <c r="C210" s="534">
        <v>5.2180625241219601E-2</v>
      </c>
      <c r="D210" s="534"/>
      <c r="E210" s="534">
        <f>MODEL!E179/MODEL!E6</f>
        <v>2.665030167776427E-2</v>
      </c>
      <c r="F210" s="534">
        <f>MODEL!F179/MODEL!F6</f>
        <v>5.2419196298312022E-2</v>
      </c>
      <c r="G210" s="534"/>
      <c r="H210" s="534">
        <f>MODEL!H179/MODEL!H6</f>
        <v>2.7544351073762838E-2</v>
      </c>
      <c r="I210" s="534">
        <f>MODEL!I179/MODEL!I6</f>
        <v>4.997864160615121E-2</v>
      </c>
      <c r="J210" s="480"/>
      <c r="K210" s="535">
        <f>MODEL!K179/MODEL!K6</f>
        <v>2.5504938817632317E-2</v>
      </c>
      <c r="L210" s="534"/>
      <c r="M210" s="534"/>
      <c r="N210" s="534">
        <f>MODEL!N179/MODEL!N6</f>
        <v>8.6005521342110858E-3</v>
      </c>
      <c r="O210" s="534"/>
      <c r="P210" s="534"/>
      <c r="Q210" s="534">
        <f>MODEL!Q179/MODEL!Q6</f>
        <v>7.7032231907561326E-3</v>
      </c>
      <c r="R210" s="534"/>
      <c r="S210" s="534"/>
      <c r="T210" s="534">
        <f>MODEL!T179/MODEL!T6</f>
        <v>1.1377076879752182E-2</v>
      </c>
      <c r="U210" s="534"/>
      <c r="V210" s="534"/>
      <c r="W210" s="534">
        <f>MODEL!W179/MODEL!W6</f>
        <v>1.0702640159882192E-2</v>
      </c>
      <c r="X210" s="534"/>
      <c r="Y210" s="534"/>
      <c r="Z210" s="534">
        <f>MODEL!Z179/MODEL!Z6</f>
        <v>1.1692592974142371E-2</v>
      </c>
      <c r="AA210" s="534"/>
      <c r="AB210" s="534"/>
      <c r="AC210" s="534"/>
      <c r="AD210" s="534"/>
      <c r="AE210" s="534"/>
      <c r="AF210" s="534"/>
      <c r="AG210" s="534"/>
      <c r="AH210" s="534"/>
      <c r="AI210" s="534"/>
      <c r="AJ210" s="534"/>
      <c r="AK210" s="534"/>
      <c r="AL210" s="534"/>
      <c r="AM210" s="534"/>
      <c r="AN210" s="534"/>
      <c r="AO210" s="534"/>
      <c r="AP210" s="534"/>
      <c r="AQ210" s="534"/>
      <c r="AR210" s="534"/>
      <c r="AS210" s="534"/>
      <c r="AT210" s="534"/>
      <c r="AU210" s="534"/>
      <c r="AV210" s="534"/>
      <c r="AW210" s="534"/>
      <c r="AX210" s="534"/>
      <c r="AY210" s="534"/>
      <c r="AZ210" s="534"/>
      <c r="BA210" s="534"/>
      <c r="BB210" s="534"/>
      <c r="BC210" s="534"/>
      <c r="BD210" s="534"/>
      <c r="BE210" s="534"/>
      <c r="BF210" s="534"/>
      <c r="BG210" s="534"/>
      <c r="BH210" s="534"/>
      <c r="BI210" s="534"/>
      <c r="BJ210" s="534"/>
    </row>
    <row r="211" spans="2:62" hidden="1">
      <c r="B211" s="123" t="s">
        <v>186</v>
      </c>
      <c r="C211" s="579">
        <v>0.77338666348277718</v>
      </c>
      <c r="D211" s="579"/>
      <c r="E211" s="579" t="e">
        <f>MODEL!E6/((MODEL!E165+MODEL!#REF!)*0.5)</f>
        <v>#REF!</v>
      </c>
      <c r="F211" s="579">
        <f>MODEL!F6/((MODEL!F165+MODEL!C165)*0.5)</f>
        <v>0.81348231382698899</v>
      </c>
      <c r="G211" s="579"/>
      <c r="H211" s="579">
        <f>MODEL!H6/((MODEL!H165+MODEL!E165)*0.5)</f>
        <v>1.5478742623148261</v>
      </c>
      <c r="I211" s="579">
        <f>MODEL!I6/((MODEL!I165+MODEL!F165)*0.5)</f>
        <v>0.79673274908533998</v>
      </c>
      <c r="J211" s="480"/>
      <c r="K211" s="580">
        <f>MODEL!K6/((MODEL!K165+MODEL!H165)*0.5)</f>
        <v>1.5321888412017166</v>
      </c>
      <c r="L211" s="579"/>
      <c r="M211" s="579"/>
      <c r="N211" s="579">
        <f>MODEL!N6/((MODEL!N165+MODEL!K165)*0.5)</f>
        <v>1.2408159680288089</v>
      </c>
      <c r="O211" s="579"/>
      <c r="P211" s="579"/>
      <c r="Q211" s="579">
        <f>MODEL!Q6/((MODEL!Q165+MODEL!N165)*0.5)</f>
        <v>1.2015588844233345</v>
      </c>
      <c r="R211" s="579"/>
      <c r="S211" s="579"/>
      <c r="T211" s="579">
        <f>MODEL!T6/((MODEL!T165+MODEL!Q165)*0.5)</f>
        <v>1.2074535006290592</v>
      </c>
      <c r="U211" s="579"/>
      <c r="V211" s="579"/>
      <c r="W211" s="579">
        <f>MODEL!W6/((MODEL!W165+MODEL!T165)*0.5)</f>
        <v>1.2650488182165966</v>
      </c>
      <c r="X211" s="579"/>
      <c r="Y211" s="579"/>
      <c r="Z211" s="579">
        <f>MODEL!Z6/((MODEL!Z165+MODEL!W165)*0.5)</f>
        <v>1.2198171593729386</v>
      </c>
      <c r="AA211" s="579"/>
      <c r="AB211" s="579"/>
      <c r="AC211" s="579"/>
      <c r="AD211" s="579"/>
      <c r="AE211" s="579"/>
      <c r="AF211" s="579"/>
      <c r="AG211" s="579"/>
      <c r="AH211" s="579"/>
      <c r="AI211" s="579"/>
      <c r="AJ211" s="579"/>
      <c r="AK211" s="579"/>
      <c r="AL211" s="579"/>
      <c r="AM211" s="579"/>
      <c r="AN211" s="579"/>
      <c r="AO211" s="579"/>
      <c r="AP211" s="579"/>
      <c r="AQ211" s="579"/>
      <c r="AR211" s="579"/>
      <c r="AS211" s="579"/>
      <c r="AT211" s="579"/>
      <c r="AU211" s="579"/>
      <c r="AV211" s="579"/>
      <c r="AW211" s="579"/>
      <c r="AX211" s="579"/>
      <c r="AY211" s="579"/>
      <c r="AZ211" s="579"/>
      <c r="BA211" s="579"/>
      <c r="BB211" s="579"/>
      <c r="BC211" s="579"/>
      <c r="BD211" s="579"/>
      <c r="BE211" s="579"/>
      <c r="BF211" s="579"/>
      <c r="BG211" s="579"/>
      <c r="BH211" s="579"/>
      <c r="BI211" s="579"/>
      <c r="BJ211" s="579"/>
    </row>
    <row r="212" spans="2:62">
      <c r="J212" s="480"/>
    </row>
    <row r="213" spans="2:62">
      <c r="B213" s="122" t="s">
        <v>1067</v>
      </c>
      <c r="E213" s="417">
        <f>E176+E168-E150</f>
        <v>380.70000000000005</v>
      </c>
      <c r="F213" s="417">
        <f t="shared" ref="F213:BJ213" si="552">F176+F168-F150</f>
        <v>199.2</v>
      </c>
      <c r="G213" s="417">
        <f t="shared" si="552"/>
        <v>422.90000000000003</v>
      </c>
      <c r="H213" s="417">
        <f t="shared" si="552"/>
        <v>422.90000000000003</v>
      </c>
      <c r="I213" s="417">
        <f t="shared" si="552"/>
        <v>294</v>
      </c>
      <c r="J213" s="417">
        <f t="shared" si="552"/>
        <v>386.7</v>
      </c>
      <c r="K213" s="417">
        <f t="shared" si="552"/>
        <v>386.7</v>
      </c>
      <c r="L213" s="417">
        <f t="shared" si="552"/>
        <v>246.29999999999995</v>
      </c>
      <c r="M213" s="417">
        <f t="shared" si="552"/>
        <v>-37.299999999999955</v>
      </c>
      <c r="N213" s="417">
        <f t="shared" si="552"/>
        <v>-37.299999999999955</v>
      </c>
      <c r="O213" s="417">
        <f t="shared" si="552"/>
        <v>-416.8</v>
      </c>
      <c r="P213" s="417">
        <f t="shared" si="552"/>
        <v>-242.2999999999999</v>
      </c>
      <c r="Q213" s="417">
        <f t="shared" si="552"/>
        <v>-242.2999999999999</v>
      </c>
      <c r="R213" s="417">
        <f t="shared" si="552"/>
        <v>-94.099999999999881</v>
      </c>
      <c r="S213" s="417">
        <f t="shared" si="552"/>
        <v>-13.399999999999807</v>
      </c>
      <c r="T213" s="417">
        <f t="shared" si="552"/>
        <v>-13.399999999999807</v>
      </c>
      <c r="U213" s="417">
        <f t="shared" si="552"/>
        <v>-211.99999999999983</v>
      </c>
      <c r="V213" s="417">
        <f t="shared" si="552"/>
        <v>-192.29999999999978</v>
      </c>
      <c r="W213" s="417">
        <f t="shared" si="552"/>
        <v>-192.29999999999978</v>
      </c>
      <c r="X213" s="417">
        <f t="shared" si="552"/>
        <v>-321.19999999999976</v>
      </c>
      <c r="Y213" s="417">
        <f t="shared" si="552"/>
        <v>-217.79999999999978</v>
      </c>
      <c r="Z213" s="417">
        <f t="shared" si="552"/>
        <v>-217.79999999999978</v>
      </c>
      <c r="AA213" s="417">
        <f t="shared" si="552"/>
        <v>-167.7</v>
      </c>
      <c r="AB213" s="417">
        <f t="shared" ref="AB213" si="553">AB176+AB168-AB150</f>
        <v>-63.3</v>
      </c>
      <c r="AC213" s="417">
        <f t="shared" si="552"/>
        <v>-63.3</v>
      </c>
      <c r="AD213" s="417">
        <f t="shared" si="552"/>
        <v>-133.75910775643405</v>
      </c>
      <c r="AE213" s="417">
        <f t="shared" si="552"/>
        <v>-94.380738442804343</v>
      </c>
      <c r="AF213" s="417">
        <f t="shared" si="552"/>
        <v>-94.380738442804343</v>
      </c>
      <c r="AG213" s="417">
        <f t="shared" si="552"/>
        <v>-193.43839687301201</v>
      </c>
      <c r="AH213" s="417">
        <f t="shared" si="552"/>
        <v>-161.15846333677777</v>
      </c>
      <c r="AI213" s="417">
        <f t="shared" si="552"/>
        <v>-161.15846333677777</v>
      </c>
      <c r="AJ213" s="417">
        <f t="shared" si="552"/>
        <v>0.1</v>
      </c>
      <c r="AK213" s="417">
        <f t="shared" si="552"/>
        <v>0.1</v>
      </c>
      <c r="AL213" s="417">
        <f t="shared" si="552"/>
        <v>-229.69203798107648</v>
      </c>
      <c r="AM213" s="417">
        <f t="shared" si="552"/>
        <v>0.1</v>
      </c>
      <c r="AN213" s="417">
        <f t="shared" si="552"/>
        <v>0.1</v>
      </c>
      <c r="AO213" s="417">
        <f t="shared" si="552"/>
        <v>-303.64582149716142</v>
      </c>
      <c r="AP213" s="417">
        <f t="shared" si="552"/>
        <v>0.1</v>
      </c>
      <c r="AQ213" s="417">
        <f t="shared" si="552"/>
        <v>0.1</v>
      </c>
      <c r="AR213" s="417">
        <f t="shared" si="552"/>
        <v>-383.38651488844363</v>
      </c>
      <c r="AS213" s="417">
        <f t="shared" si="552"/>
        <v>0.1</v>
      </c>
      <c r="AT213" s="417">
        <f t="shared" si="552"/>
        <v>0.1</v>
      </c>
      <c r="AU213" s="417">
        <f t="shared" si="552"/>
        <v>-471.45887926281995</v>
      </c>
      <c r="AV213" s="417">
        <f t="shared" si="552"/>
        <v>0.1</v>
      </c>
      <c r="AW213" s="417">
        <f t="shared" si="552"/>
        <v>0.1</v>
      </c>
      <c r="AX213" s="417">
        <f t="shared" si="552"/>
        <v>-563.93329621327609</v>
      </c>
      <c r="AY213" s="417">
        <f t="shared" si="552"/>
        <v>0.1</v>
      </c>
      <c r="AZ213" s="417">
        <f t="shared" si="552"/>
        <v>0.1</v>
      </c>
      <c r="BA213" s="417">
        <f t="shared" si="552"/>
        <v>-661.35432254029774</v>
      </c>
      <c r="BB213" s="417">
        <f t="shared" si="552"/>
        <v>0.1</v>
      </c>
      <c r="BC213" s="417">
        <f t="shared" si="552"/>
        <v>0.1</v>
      </c>
      <c r="BD213" s="417">
        <f t="shared" si="552"/>
        <v>-763.8813748060569</v>
      </c>
      <c r="BE213" s="417">
        <f t="shared" si="552"/>
        <v>0.1</v>
      </c>
      <c r="BF213" s="417">
        <f t="shared" si="552"/>
        <v>0.1</v>
      </c>
      <c r="BG213" s="417">
        <f t="shared" si="552"/>
        <v>-871.66627982822661</v>
      </c>
      <c r="BH213" s="417">
        <f t="shared" si="552"/>
        <v>0.1</v>
      </c>
      <c r="BI213" s="417">
        <f t="shared" si="552"/>
        <v>0.1</v>
      </c>
      <c r="BJ213" s="417">
        <f t="shared" si="552"/>
        <v>-982.58171282747765</v>
      </c>
    </row>
    <row r="214" spans="2:62">
      <c r="B214" s="122" t="s">
        <v>43</v>
      </c>
      <c r="E214" s="122"/>
      <c r="F214" s="122"/>
      <c r="G214" s="122"/>
      <c r="H214" s="122"/>
      <c r="I214" s="122"/>
      <c r="J214" s="122"/>
      <c r="K214" s="122"/>
      <c r="L214" s="122"/>
      <c r="M214" s="122"/>
      <c r="N214" s="123">
        <f>N213/(N25+'PPE &amp; Leases'!N61+'PPE &amp; Leases'!N78)</f>
        <v>-0.11815014254038628</v>
      </c>
      <c r="O214" s="122"/>
      <c r="P214" s="122"/>
      <c r="Q214" s="123">
        <f>Q213/(Q25+'PPE &amp; Leases'!Q61+'PPE &amp; Leases'!Q78)</f>
        <v>-0.44126752868329971</v>
      </c>
      <c r="R214" s="123">
        <f>R213/(R25+'PPE &amp; Leases'!R61+'PPE &amp; Leases'!R78)</f>
        <v>-0.41472014103129085</v>
      </c>
      <c r="S214" s="123">
        <f>S213/(S25+'PPE &amp; Leases'!S61+'PPE &amp; Leases'!S78)</f>
        <v>-3.5982814178302382E-2</v>
      </c>
      <c r="T214" s="123">
        <f>T213/(T25+'PPE &amp; Leases'!T61+'PPE &amp; Leases'!T78)</f>
        <v>-2.9502421840598436E-2</v>
      </c>
      <c r="U214" s="123">
        <f>U213/(U25+'PPE &amp; Leases'!U61+'PPE &amp; Leases'!U78)</f>
        <v>-0.76094759511844889</v>
      </c>
      <c r="V214" s="123">
        <f>V213/(V25+'PPE &amp; Leases'!V61+'PPE &amp; Leases'!V78)</f>
        <v>-0.57147102526002913</v>
      </c>
      <c r="W214" s="123">
        <f>W213/(W25+'PPE &amp; Leases'!W61+'PPE &amp; Leases'!W78)</f>
        <v>-0.38034018987341733</v>
      </c>
      <c r="X214" s="123">
        <f>X213/(X25+'PPE &amp; Leases'!X61+'PPE &amp; Leases'!X78)</f>
        <v>-1.2162059825823541</v>
      </c>
      <c r="Y214" s="123">
        <f>Y213/(Y25+'PPE &amp; Leases'!Y61+'PPE &amp; Leases'!Y78)</f>
        <v>-0.72721202003338825</v>
      </c>
      <c r="Z214" s="123">
        <f>Z213/(Z25+'PPE &amp; Leases'!Z61+'PPE &amp; Leases'!Z78)</f>
        <v>-0.48845032518501863</v>
      </c>
      <c r="AA214" s="123">
        <f>AA213/(AA25+'PPE &amp; Leases'!AA61+'PPE &amp; Leases'!AA78)</f>
        <v>-0.70506621820475091</v>
      </c>
      <c r="AB214" s="123">
        <f>AB213/(AB25+'PPE &amp; Leases'!AB61+'PPE &amp; Leases'!AB78)</f>
        <v>-0.19281145293938465</v>
      </c>
      <c r="AC214" s="123">
        <f>AC213/(AC25+'PPE &amp; Leases'!AC61+'PPE &amp; Leases'!AC78)</f>
        <v>-0.14308318264014463</v>
      </c>
      <c r="AD214" s="123">
        <f>AD213/(AD25+'PPE &amp; Leases'!AD61+'PPE &amp; Leases'!AD78)</f>
        <v>-0.57497491260931122</v>
      </c>
      <c r="AE214" s="123">
        <f>AE213/(AE25+'PPE &amp; Leases'!AE61+'PPE &amp; Leases'!AE78)</f>
        <v>-0.25396084026501969</v>
      </c>
      <c r="AF214" s="123">
        <f>AF213/(AF25+'PPE &amp; Leases'!AF61+'PPE &amp; Leases'!AF78)</f>
        <v>-0.21745766889719093</v>
      </c>
      <c r="AG214" s="123">
        <f>AG213/(AG25+'PPE &amp; Leases'!AG61+'PPE &amp; Leases'!AG78)</f>
        <v>-0.72627786935058869</v>
      </c>
      <c r="AH214" s="123">
        <f>AH213/(AH25+'PPE &amp; Leases'!AH61+'PPE &amp; Leases'!AH78)</f>
        <v>-0.39146645685143994</v>
      </c>
      <c r="AI214" s="123">
        <f>AI213/(AI25+'PPE &amp; Leases'!AI61+'PPE &amp; Leases'!AI78)</f>
        <v>-0.31725009900806606</v>
      </c>
      <c r="AJ214" s="123" t="e">
        <f>AJ213/(AJ25+'PPE &amp; Leases'!AJ61+'PPE &amp; Leases'!AJ78)</f>
        <v>#DIV/0!</v>
      </c>
      <c r="AK214" s="123" t="e">
        <f>AK213/(AK25+'PPE &amp; Leases'!AK61+'PPE &amp; Leases'!AK78)</f>
        <v>#DIV/0!</v>
      </c>
      <c r="AL214" s="123">
        <f>AL213/(AL25+'PPE &amp; Leases'!AL61+'PPE &amp; Leases'!AL78)</f>
        <v>-0.41482789726743891</v>
      </c>
      <c r="AM214" s="123" t="e">
        <f>AM213/(AM25+'PPE &amp; Leases'!AM61+'PPE &amp; Leases'!AM78)</f>
        <v>#DIV/0!</v>
      </c>
      <c r="AN214" s="123" t="e">
        <f>AN213/(AN25+'PPE &amp; Leases'!AN61+'PPE &amp; Leases'!AN78)</f>
        <v>#DIV/0!</v>
      </c>
      <c r="AO214" s="123">
        <f>AO213/(AO25+'PPE &amp; Leases'!AO61+'PPE &amp; Leases'!AO78)</f>
        <v>-0.51494201498687131</v>
      </c>
      <c r="AP214" s="123" t="e">
        <f>AP213/(AP25+'PPE &amp; Leases'!AP61+'PPE &amp; Leases'!AP78)</f>
        <v>#DIV/0!</v>
      </c>
      <c r="AQ214" s="123" t="e">
        <f>AQ213/(AQ25+'PPE &amp; Leases'!AQ61+'PPE &amp; Leases'!AQ78)</f>
        <v>#DIV/0!</v>
      </c>
      <c r="AR214" s="123">
        <f>AR213/(AR25+'PPE &amp; Leases'!AR61+'PPE &amp; Leases'!AR78)</f>
        <v>-0.61761200837904395</v>
      </c>
      <c r="AS214" s="123" t="e">
        <f>AS213/(AS25+'PPE &amp; Leases'!AS61+'PPE &amp; Leases'!AS78)</f>
        <v>#DIV/0!</v>
      </c>
      <c r="AT214" s="123" t="e">
        <f>AT213/(AT25+'PPE &amp; Leases'!AT61+'PPE &amp; Leases'!AT78)</f>
        <v>#DIV/0!</v>
      </c>
      <c r="AU214" s="123">
        <f>AU213/(AU25+'PPE &amp; Leases'!AU61+'PPE &amp; Leases'!AU78)</f>
        <v>-0.72604283821065496</v>
      </c>
      <c r="AV214" s="123" t="e">
        <f>AV213/(AV25+'PPE &amp; Leases'!AV61+'PPE &amp; Leases'!AV78)</f>
        <v>#DIV/0!</v>
      </c>
      <c r="AW214" s="123" t="e">
        <f>AW213/(AW25+'PPE &amp; Leases'!AW61+'PPE &amp; Leases'!AW78)</f>
        <v>#DIV/0!</v>
      </c>
      <c r="AX214" s="123">
        <f>AX213/(AX25+'PPE &amp; Leases'!AX61+'PPE &amp; Leases'!AX78)</f>
        <v>-0.83597878157197891</v>
      </c>
      <c r="AY214" s="123" t="e">
        <f>AY213/(AY25+'PPE &amp; Leases'!AY61+'PPE &amp; Leases'!AY78)</f>
        <v>#DIV/0!</v>
      </c>
      <c r="AZ214" s="123" t="e">
        <f>AZ213/(AZ25+'PPE &amp; Leases'!AZ61+'PPE &amp; Leases'!AZ78)</f>
        <v>#DIV/0!</v>
      </c>
      <c r="BA214" s="123">
        <f>BA213/(BA25+'PPE &amp; Leases'!BA61+'PPE &amp; Leases'!BA78)</f>
        <v>-0.94350315765912263</v>
      </c>
      <c r="BB214" s="123" t="e">
        <f>BB213/(BB25+'PPE &amp; Leases'!BB61+'PPE &amp; Leases'!BB78)</f>
        <v>#DIV/0!</v>
      </c>
      <c r="BC214" s="123" t="e">
        <f>BC213/(BC25+'PPE &amp; Leases'!BC61+'PPE &amp; Leases'!BC78)</f>
        <v>#DIV/0!</v>
      </c>
      <c r="BD214" s="123">
        <f>BD213/(BD25+'PPE &amp; Leases'!BD61+'PPE &amp; Leases'!BD78)</f>
        <v>-1.0485044933504795</v>
      </c>
      <c r="BE214" s="123" t="e">
        <f>BE213/(BE25+'PPE &amp; Leases'!BE61+'PPE &amp; Leases'!BE78)</f>
        <v>#DIV/0!</v>
      </c>
      <c r="BF214" s="123" t="e">
        <f>BF213/(BF25+'PPE &amp; Leases'!BF61+'PPE &amp; Leases'!BF78)</f>
        <v>#DIV/0!</v>
      </c>
      <c r="BG214" s="123">
        <f>BG213/(BG25+'PPE &amp; Leases'!BG61+'PPE &amp; Leases'!BG78)</f>
        <v>-1.1508656230413099</v>
      </c>
      <c r="BH214" s="123" t="e">
        <f>BH213/(BH25+'PPE &amp; Leases'!BH61+'PPE &amp; Leases'!BH78)</f>
        <v>#DIV/0!</v>
      </c>
      <c r="BI214" s="123" t="e">
        <f>BI213/(BI25+'PPE &amp; Leases'!BI61+'PPE &amp; Leases'!BI78)</f>
        <v>#DIV/0!</v>
      </c>
      <c r="BJ214" s="123">
        <f>BJ213/(BJ25+'PPE &amp; Leases'!BJ61+'PPE &amp; Leases'!BJ78)</f>
        <v>-1.2475823888454916</v>
      </c>
    </row>
    <row r="215" spans="2:62">
      <c r="B215" s="122" t="s">
        <v>1071</v>
      </c>
      <c r="E215" s="501">
        <f t="shared" ref="E215:AJ215" si="554">E152/E6</f>
        <v>0.19531385476169705</v>
      </c>
      <c r="F215" s="501">
        <f t="shared" si="554"/>
        <v>0.41285781983656122</v>
      </c>
      <c r="G215" s="501">
        <f t="shared" si="554"/>
        <v>0.43764026050813587</v>
      </c>
      <c r="H215" s="501">
        <f t="shared" si="554"/>
        <v>0.21222377840024897</v>
      </c>
      <c r="I215" s="501">
        <f t="shared" si="554"/>
        <v>0.43991171863875839</v>
      </c>
      <c r="J215" s="501">
        <f t="shared" si="554"/>
        <v>0.42809108971419846</v>
      </c>
      <c r="K215" s="799">
        <f t="shared" si="554"/>
        <v>0.20647206250921424</v>
      </c>
      <c r="L215" s="501">
        <f t="shared" si="554"/>
        <v>0.43024383485730122</v>
      </c>
      <c r="M215" s="501">
        <f t="shared" si="554"/>
        <v>0.36358373136488642</v>
      </c>
      <c r="N215" s="501">
        <f t="shared" si="554"/>
        <v>0.17781553054434771</v>
      </c>
      <c r="O215" s="501">
        <f t="shared" si="554"/>
        <v>0.36049980300557211</v>
      </c>
      <c r="P215" s="501">
        <f t="shared" si="554"/>
        <v>0.41541398234311622</v>
      </c>
      <c r="Q215" s="501">
        <f t="shared" si="554"/>
        <v>0.20167385827227707</v>
      </c>
      <c r="R215" s="501">
        <f t="shared" si="554"/>
        <v>0.53319258737977959</v>
      </c>
      <c r="S215" s="501">
        <f t="shared" si="554"/>
        <v>0.43319969660851659</v>
      </c>
      <c r="T215" s="501">
        <f t="shared" si="554"/>
        <v>0.22517600675865954</v>
      </c>
      <c r="U215" s="501">
        <f t="shared" si="554"/>
        <v>0.44725285947712418</v>
      </c>
      <c r="V215" s="501">
        <f t="shared" si="554"/>
        <v>0.42756451962697894</v>
      </c>
      <c r="W215" s="501">
        <f t="shared" si="554"/>
        <v>0.20737351425265593</v>
      </c>
      <c r="X215" s="501">
        <f t="shared" si="554"/>
        <v>0.44654523856662054</v>
      </c>
      <c r="Y215" s="501">
        <f t="shared" si="554"/>
        <v>0.45430627147766317</v>
      </c>
      <c r="Z215" s="501">
        <f t="shared" si="554"/>
        <v>0.21790975584629649</v>
      </c>
      <c r="AA215" s="628">
        <f t="shared" si="554"/>
        <v>0.46065869400151865</v>
      </c>
      <c r="AB215" s="501">
        <f t="shared" ref="AB215" si="555">AB152/AB6</f>
        <v>0.45067845708187215</v>
      </c>
      <c r="AC215" s="501">
        <f t="shared" si="554"/>
        <v>0.21762497239196052</v>
      </c>
      <c r="AD215" s="501">
        <f t="shared" si="554"/>
        <v>0.45906846615373204</v>
      </c>
      <c r="AE215" s="501">
        <f t="shared" si="554"/>
        <v>0.44275627714968852</v>
      </c>
      <c r="AF215" s="501">
        <f t="shared" si="554"/>
        <v>0.21547024487941716</v>
      </c>
      <c r="AG215" s="501">
        <f t="shared" si="554"/>
        <v>0.45900064644711736</v>
      </c>
      <c r="AH215" s="501">
        <f t="shared" si="554"/>
        <v>0.44070144120492899</v>
      </c>
      <c r="AI215" s="501">
        <f t="shared" si="554"/>
        <v>0.21534939896036007</v>
      </c>
      <c r="AJ215" s="501" t="e">
        <f t="shared" si="554"/>
        <v>#DIV/0!</v>
      </c>
      <c r="AK215" s="501" t="e">
        <f t="shared" ref="AK215:BJ215" si="556">AK152/AK6</f>
        <v>#DIV/0!</v>
      </c>
      <c r="AL215" s="501">
        <f t="shared" si="556"/>
        <v>0.21524048679853564</v>
      </c>
      <c r="AM215" s="501" t="e">
        <f t="shared" si="556"/>
        <v>#DIV/0!</v>
      </c>
      <c r="AN215" s="501" t="e">
        <f t="shared" si="556"/>
        <v>#DIV/0!</v>
      </c>
      <c r="AO215" s="501">
        <f t="shared" si="556"/>
        <v>0.21515067414279149</v>
      </c>
      <c r="AP215" s="501" t="e">
        <f t="shared" si="556"/>
        <v>#DIV/0!</v>
      </c>
      <c r="AQ215" s="501" t="e">
        <f t="shared" si="556"/>
        <v>#DIV/0!</v>
      </c>
      <c r="AR215" s="501">
        <f t="shared" si="556"/>
        <v>0.21507667729974736</v>
      </c>
      <c r="AS215" s="501" t="e">
        <f t="shared" si="556"/>
        <v>#DIV/0!</v>
      </c>
      <c r="AT215" s="501" t="e">
        <f t="shared" si="556"/>
        <v>#DIV/0!</v>
      </c>
      <c r="AU215" s="501">
        <f t="shared" si="556"/>
        <v>0.21503061382459979</v>
      </c>
      <c r="AV215" s="501" t="e">
        <f t="shared" si="556"/>
        <v>#DIV/0!</v>
      </c>
      <c r="AW215" s="501" t="e">
        <f t="shared" si="556"/>
        <v>#DIV/0!</v>
      </c>
      <c r="AX215" s="501">
        <f t="shared" si="556"/>
        <v>0.21506897313253789</v>
      </c>
      <c r="AY215" s="501" t="e">
        <f t="shared" si="556"/>
        <v>#DIV/0!</v>
      </c>
      <c r="AZ215" s="501" t="e">
        <f t="shared" si="556"/>
        <v>#DIV/0!</v>
      </c>
      <c r="BA215" s="501">
        <f t="shared" si="556"/>
        <v>0.21510622894708586</v>
      </c>
      <c r="BB215" s="501" t="e">
        <f t="shared" si="556"/>
        <v>#DIV/0!</v>
      </c>
      <c r="BC215" s="501" t="e">
        <f t="shared" si="556"/>
        <v>#DIV/0!</v>
      </c>
      <c r="BD215" s="501">
        <f t="shared" si="556"/>
        <v>0.21514238703044208</v>
      </c>
      <c r="BE215" s="501" t="e">
        <f t="shared" si="556"/>
        <v>#DIV/0!</v>
      </c>
      <c r="BF215" s="501" t="e">
        <f t="shared" si="556"/>
        <v>#DIV/0!</v>
      </c>
      <c r="BG215" s="501">
        <f t="shared" si="556"/>
        <v>0.21517745316435025</v>
      </c>
      <c r="BH215" s="501" t="e">
        <f t="shared" si="556"/>
        <v>#DIV/0!</v>
      </c>
      <c r="BI215" s="501" t="e">
        <f t="shared" si="556"/>
        <v>#DIV/0!</v>
      </c>
      <c r="BJ215" s="501">
        <f t="shared" si="556"/>
        <v>0.21521143315189484</v>
      </c>
    </row>
    <row r="216" spans="2:62" hidden="1" outlineLevel="1">
      <c r="D216" s="581"/>
      <c r="E216" s="581"/>
      <c r="F216" s="581"/>
      <c r="H216" s="581"/>
      <c r="I216" s="581"/>
      <c r="J216" s="581"/>
      <c r="K216" s="582"/>
      <c r="L216" s="581"/>
      <c r="M216" s="581"/>
      <c r="N216" s="581"/>
      <c r="O216" s="581"/>
      <c r="P216" s="581"/>
      <c r="Q216" s="581"/>
      <c r="R216" s="581"/>
      <c r="S216" s="581"/>
      <c r="T216" s="581"/>
      <c r="U216" s="581"/>
      <c r="V216" s="581"/>
      <c r="W216" s="581"/>
      <c r="X216" s="581"/>
      <c r="Y216" s="581"/>
      <c r="Z216" s="581"/>
      <c r="AA216" s="581"/>
      <c r="AB216" s="581"/>
      <c r="AC216" s="581"/>
      <c r="AD216" s="581"/>
      <c r="AE216" s="581"/>
      <c r="AF216" s="581"/>
      <c r="AG216" s="581"/>
      <c r="AH216" s="581"/>
      <c r="AI216" s="581"/>
      <c r="AJ216" s="581"/>
      <c r="AK216" s="581"/>
      <c r="AL216" s="581"/>
      <c r="AM216" s="581"/>
      <c r="AN216" s="581"/>
      <c r="AO216" s="581"/>
      <c r="AP216" s="581"/>
      <c r="AQ216" s="581"/>
      <c r="AR216" s="581"/>
      <c r="AS216" s="581"/>
      <c r="AT216" s="581"/>
      <c r="AU216" s="581"/>
      <c r="AV216" s="581"/>
      <c r="AW216" s="581"/>
      <c r="AX216" s="581"/>
      <c r="AY216" s="581"/>
      <c r="AZ216" s="581"/>
      <c r="BA216" s="581"/>
      <c r="BB216" s="581"/>
      <c r="BC216" s="581"/>
      <c r="BD216" s="581"/>
      <c r="BE216" s="581"/>
      <c r="BF216" s="581"/>
      <c r="BG216" s="581"/>
      <c r="BH216" s="581"/>
      <c r="BI216" s="581"/>
      <c r="BJ216" s="581"/>
    </row>
    <row r="217" spans="2:62" hidden="1" collapsed="1">
      <c r="C217" s="534"/>
      <c r="D217" s="534"/>
      <c r="E217" s="534"/>
      <c r="F217" s="534"/>
      <c r="G217" s="534"/>
      <c r="H217" s="534"/>
      <c r="I217" s="534"/>
      <c r="J217" s="534"/>
      <c r="K217" s="535"/>
      <c r="L217" s="534"/>
      <c r="M217" s="534"/>
      <c r="N217" s="534"/>
      <c r="O217" s="534"/>
      <c r="P217" s="534"/>
      <c r="Q217" s="534"/>
      <c r="R217" s="534"/>
      <c r="S217" s="534"/>
      <c r="T217" s="534"/>
      <c r="U217" s="534"/>
      <c r="V217" s="534"/>
      <c r="W217" s="534"/>
      <c r="X217" s="534"/>
      <c r="Y217" s="534"/>
      <c r="Z217" s="534"/>
      <c r="AA217" s="534"/>
      <c r="AB217" s="534"/>
      <c r="AC217" s="534"/>
      <c r="AD217" s="534"/>
      <c r="AE217" s="534"/>
      <c r="AF217" s="534"/>
      <c r="AG217" s="534"/>
      <c r="AH217" s="534"/>
      <c r="AI217" s="534"/>
      <c r="AJ217" s="534"/>
      <c r="AK217" s="534"/>
      <c r="AL217" s="534"/>
      <c r="AM217" s="534"/>
      <c r="AN217" s="534"/>
      <c r="AO217" s="534"/>
      <c r="AP217" s="534"/>
      <c r="AQ217" s="534"/>
      <c r="AR217" s="534"/>
      <c r="AS217" s="534"/>
      <c r="AT217" s="534"/>
      <c r="AU217" s="534"/>
      <c r="AV217" s="534"/>
      <c r="AW217" s="534"/>
      <c r="AX217" s="534"/>
      <c r="AY217" s="534"/>
      <c r="AZ217" s="534"/>
      <c r="BA217" s="534"/>
      <c r="BB217" s="534"/>
      <c r="BC217" s="534"/>
      <c r="BD217" s="534"/>
      <c r="BE217" s="534"/>
      <c r="BF217" s="534"/>
      <c r="BG217" s="534"/>
      <c r="BH217" s="534"/>
      <c r="BI217" s="534"/>
      <c r="BJ217" s="534"/>
    </row>
    <row r="218" spans="2:62" hidden="1" outlineLevel="1">
      <c r="B218" s="583" t="s">
        <v>560</v>
      </c>
      <c r="C218" s="566"/>
      <c r="D218" s="566"/>
      <c r="E218" s="566"/>
      <c r="F218" s="566"/>
      <c r="G218" s="566"/>
      <c r="H218" s="566"/>
      <c r="I218" s="566"/>
      <c r="J218" s="566"/>
      <c r="K218" s="567"/>
      <c r="L218" s="584" t="str">
        <f t="shared" ref="L218:AI218" si="557">L3</f>
        <v>1HFY</v>
      </c>
      <c r="M218" s="584" t="str">
        <f t="shared" si="557"/>
        <v>2HFY</v>
      </c>
      <c r="N218" s="585" t="str">
        <f t="shared" si="557"/>
        <v>FY20</v>
      </c>
      <c r="O218" s="585" t="str">
        <f t="shared" si="557"/>
        <v>1H21</v>
      </c>
      <c r="P218" s="585" t="str">
        <f t="shared" si="557"/>
        <v>2H21</v>
      </c>
      <c r="Q218" s="585" t="str">
        <f t="shared" si="557"/>
        <v>FY21</v>
      </c>
      <c r="R218" s="584" t="str">
        <f t="shared" si="557"/>
        <v>1H22</v>
      </c>
      <c r="S218" s="584" t="str">
        <f t="shared" si="557"/>
        <v>2H22</v>
      </c>
      <c r="T218" s="584" t="str">
        <f t="shared" si="557"/>
        <v>FY22</v>
      </c>
      <c r="U218" s="584" t="str">
        <f t="shared" si="557"/>
        <v>1H23</v>
      </c>
      <c r="V218" s="584" t="str">
        <f t="shared" si="557"/>
        <v>2H23</v>
      </c>
      <c r="W218" s="584" t="str">
        <f t="shared" si="557"/>
        <v>FY23</v>
      </c>
      <c r="X218" s="584" t="str">
        <f t="shared" si="557"/>
        <v>1H24</v>
      </c>
      <c r="Y218" s="584" t="str">
        <f t="shared" si="557"/>
        <v>2H24</v>
      </c>
      <c r="Z218" s="584" t="str">
        <f t="shared" si="557"/>
        <v>FY24</v>
      </c>
      <c r="AA218" s="584" t="str">
        <f t="shared" si="557"/>
        <v>1H25</v>
      </c>
      <c r="AB218" s="584" t="str">
        <f t="shared" ref="AB218" si="558">AB3</f>
        <v>2H25</v>
      </c>
      <c r="AC218" s="584" t="str">
        <f t="shared" si="557"/>
        <v>FY25</v>
      </c>
      <c r="AD218" s="584" t="str">
        <f t="shared" si="557"/>
        <v>1H26</v>
      </c>
      <c r="AE218" s="584" t="str">
        <f t="shared" si="557"/>
        <v>2H26</v>
      </c>
      <c r="AF218" s="584" t="str">
        <f t="shared" si="557"/>
        <v>FY26e</v>
      </c>
      <c r="AG218" s="584" t="str">
        <f t="shared" si="557"/>
        <v>1H27</v>
      </c>
      <c r="AH218" s="584" t="str">
        <f t="shared" si="557"/>
        <v>2H27</v>
      </c>
      <c r="AI218" s="584" t="str">
        <f t="shared" si="557"/>
        <v>FY27e</v>
      </c>
      <c r="AJ218" s="584"/>
      <c r="AK218" s="584"/>
      <c r="AL218" s="584" t="str">
        <f>AL3</f>
        <v>FY28e</v>
      </c>
      <c r="AM218" s="584"/>
      <c r="AN218" s="584"/>
      <c r="AO218" s="584" t="str">
        <f>AO3</f>
        <v>FY29e</v>
      </c>
      <c r="AP218" s="584"/>
      <c r="AQ218" s="584"/>
      <c r="AR218" s="584" t="str">
        <f>AR3</f>
        <v>FY30e</v>
      </c>
      <c r="AS218" s="584"/>
      <c r="AT218" s="584"/>
      <c r="AU218" s="584" t="str">
        <f>AU3</f>
        <v>FY31e</v>
      </c>
      <c r="AV218" s="584"/>
      <c r="AW218" s="584"/>
      <c r="AX218" s="584" t="str">
        <f>AX3</f>
        <v>FY32e</v>
      </c>
      <c r="AY218" s="584"/>
      <c r="AZ218" s="584"/>
      <c r="BA218" s="584" t="str">
        <f>BA3</f>
        <v>FY33e</v>
      </c>
      <c r="BB218" s="584"/>
      <c r="BC218" s="584"/>
      <c r="BD218" s="584" t="str">
        <f>BD3</f>
        <v>FY34e</v>
      </c>
      <c r="BE218" s="584"/>
      <c r="BF218" s="584"/>
      <c r="BG218" s="584" t="str">
        <f>BG3</f>
        <v>FY35e</v>
      </c>
      <c r="BH218" s="584"/>
      <c r="BI218" s="584"/>
      <c r="BJ218" s="584" t="str">
        <f>BJ3</f>
        <v>FY36e</v>
      </c>
    </row>
    <row r="219" spans="2:62" hidden="1" outlineLevel="1">
      <c r="B219" s="586" t="s">
        <v>561</v>
      </c>
      <c r="L219" s="484">
        <f>L25-L262</f>
        <v>99.5</v>
      </c>
      <c r="M219" s="471">
        <f>N219-L219</f>
        <v>105.60000000000002</v>
      </c>
      <c r="N219" s="484">
        <f>N25-N262</f>
        <v>205.10000000000002</v>
      </c>
      <c r="O219" s="484">
        <f>O25-O262</f>
        <v>106.70000000000005</v>
      </c>
      <c r="P219" s="471">
        <f>P25-P262</f>
        <v>112.10000000000002</v>
      </c>
      <c r="Q219" s="484">
        <f>Q25-Q262</f>
        <v>218.80000000000007</v>
      </c>
      <c r="R219" s="484">
        <f>R25-R262</f>
        <v>113.39999999999998</v>
      </c>
      <c r="S219" s="471">
        <f>T219-R219</f>
        <v>124.09999999999997</v>
      </c>
      <c r="T219" s="484">
        <f>T25-T262</f>
        <v>237.49999999999994</v>
      </c>
      <c r="U219" s="484">
        <f>U25-U262</f>
        <v>120.10000000000002</v>
      </c>
      <c r="V219" s="471">
        <f>W219-U219</f>
        <v>-265.83080000000007</v>
      </c>
      <c r="W219" s="484">
        <f>W255*W6</f>
        <v>-145.73080000000002</v>
      </c>
      <c r="X219" s="484">
        <f>X255*X6</f>
        <v>-87.224400000000003</v>
      </c>
      <c r="Y219" s="471">
        <f>Z219-X219</f>
        <v>-62.486400000000003</v>
      </c>
      <c r="Z219" s="484">
        <f>Z255*Z6</f>
        <v>-149.71080000000001</v>
      </c>
      <c r="AA219" s="484">
        <f>AA255*AA6</f>
        <v>-84.5792</v>
      </c>
      <c r="AB219" s="471">
        <f>AC219-AA219</f>
        <v>-63.04470000000002</v>
      </c>
      <c r="AC219" s="484">
        <f>AC255*AC6</f>
        <v>-147.62390000000002</v>
      </c>
      <c r="AD219" s="471">
        <f>AD255*AD6</f>
        <v>-88.14799355406835</v>
      </c>
      <c r="AE219" s="471">
        <f>AF219-AD219</f>
        <v>-66.835809944246435</v>
      </c>
      <c r="AF219" s="471">
        <f>AF255*AF6</f>
        <v>-154.98380349831478</v>
      </c>
      <c r="AG219" s="471">
        <f>AG255*AG6</f>
        <v>-92.283131123372328</v>
      </c>
      <c r="AH219" s="471">
        <f>AI219-AG219</f>
        <v>-68.356049231204679</v>
      </c>
      <c r="AI219" s="471">
        <f>AI255*AI6</f>
        <v>-160.63918035457701</v>
      </c>
      <c r="AJ219" s="471"/>
      <c r="AK219" s="471"/>
      <c r="AL219" s="471">
        <f>AL255*AL6</f>
        <v>-165.95162083758731</v>
      </c>
      <c r="AM219" s="471"/>
      <c r="AN219" s="471"/>
      <c r="AO219" s="471">
        <f>AO255*AO6</f>
        <v>-173.3752111763493</v>
      </c>
      <c r="AP219" s="471"/>
      <c r="AQ219" s="471"/>
      <c r="AR219" s="471">
        <f>AR255*AR6</f>
        <v>-177.94114732299994</v>
      </c>
      <c r="AS219" s="471"/>
      <c r="AT219" s="471"/>
      <c r="AU219" s="471">
        <f>AU255*AU6</f>
        <v>-181.88949067522032</v>
      </c>
      <c r="AV219" s="471"/>
      <c r="AW219" s="471"/>
      <c r="AX219" s="471">
        <f>AX255*AX6</f>
        <v>-185.15603699785666</v>
      </c>
      <c r="AY219" s="471"/>
      <c r="AZ219" s="471"/>
      <c r="BA219" s="471">
        <f>BA255*BA6</f>
        <v>-188.4426447746954</v>
      </c>
      <c r="BB219" s="471"/>
      <c r="BC219" s="471"/>
      <c r="BD219" s="471">
        <f>BD255*BD6</f>
        <v>-191.74700047455963</v>
      </c>
      <c r="BE219" s="471"/>
      <c r="BF219" s="471"/>
      <c r="BG219" s="471">
        <f>BG255*BG6</f>
        <v>-195.066610110174</v>
      </c>
      <c r="BH219" s="471"/>
      <c r="BI219" s="471"/>
      <c r="BJ219" s="471">
        <f>BJ255*BJ6</f>
        <v>-198.3987896158184</v>
      </c>
    </row>
    <row r="220" spans="2:62" hidden="1" outlineLevel="1">
      <c r="B220" s="586" t="s">
        <v>562</v>
      </c>
      <c r="L220" s="484">
        <f>L29-L263</f>
        <v>-86.800000000000011</v>
      </c>
      <c r="M220" s="471">
        <f t="shared" ref="M220:M221" si="559">N220-L220</f>
        <v>-89.400000000000034</v>
      </c>
      <c r="N220" s="484">
        <f>N29-N263</f>
        <v>-176.20000000000005</v>
      </c>
      <c r="O220" s="484">
        <f>O29-O263</f>
        <v>-90.80000000000004</v>
      </c>
      <c r="P220" s="471">
        <f>P29-P263</f>
        <v>-94.5</v>
      </c>
      <c r="Q220" s="484">
        <f>Q29-Q263</f>
        <v>-185.30000000000004</v>
      </c>
      <c r="R220" s="484">
        <f>R29-R263</f>
        <v>-98.69999999999996</v>
      </c>
      <c r="S220" s="471">
        <f>T220-R220</f>
        <v>-107.19999999999996</v>
      </c>
      <c r="T220" s="484">
        <f>T29-T263</f>
        <v>-205.89999999999992</v>
      </c>
      <c r="U220" s="484">
        <f>U29-U263</f>
        <v>-104.39999999999999</v>
      </c>
      <c r="V220" s="471">
        <f>W220-U220</f>
        <v>-131.37360000000001</v>
      </c>
      <c r="W220" s="484">
        <f t="shared" ref="W220:AU220" si="560">-W257</f>
        <v>-235.77360000000002</v>
      </c>
      <c r="X220" s="484">
        <f t="shared" ref="X220" si="561">X257</f>
        <v>-92.699534975369431</v>
      </c>
      <c r="Y220" s="471">
        <f>Z220-X220</f>
        <v>-144.15126502463056</v>
      </c>
      <c r="Z220" s="484">
        <f t="shared" si="560"/>
        <v>-236.85079999999999</v>
      </c>
      <c r="AA220" s="484">
        <f t="shared" ref="AA220" si="562">AA257</f>
        <v>-84.03887290640391</v>
      </c>
      <c r="AB220" s="471">
        <f>AC220-AA220</f>
        <v>-164.53002709359612</v>
      </c>
      <c r="AC220" s="484">
        <f t="shared" si="560"/>
        <v>-248.56890000000001</v>
      </c>
      <c r="AD220" s="471">
        <f t="shared" ref="AD220" si="563">AD257</f>
        <v>-74.408191554685601</v>
      </c>
      <c r="AE220" s="471">
        <f>AF220-AD220</f>
        <v>-186.55330284691368</v>
      </c>
      <c r="AF220" s="471">
        <f t="shared" si="560"/>
        <v>-260.96149440159928</v>
      </c>
      <c r="AG220" s="471">
        <f t="shared" ref="AG220" si="564">AG257</f>
        <v>-64.10396599925339</v>
      </c>
      <c r="AH220" s="471">
        <f>AI220-AG220</f>
        <v>-210.16540699279921</v>
      </c>
      <c r="AI220" s="471">
        <f t="shared" si="560"/>
        <v>-274.26937299205258</v>
      </c>
      <c r="AJ220" s="471"/>
      <c r="AK220" s="471"/>
      <c r="AL220" s="471">
        <f t="shared" si="560"/>
        <v>-287.36119265767201</v>
      </c>
      <c r="AM220" s="471"/>
      <c r="AN220" s="471"/>
      <c r="AO220" s="471">
        <f t="shared" si="560"/>
        <v>-300.21585332794274</v>
      </c>
      <c r="AP220" s="471"/>
      <c r="AQ220" s="471"/>
      <c r="AR220" s="471">
        <f t="shared" si="560"/>
        <v>-312.55848200953238</v>
      </c>
      <c r="AS220" s="471"/>
      <c r="AT220" s="471"/>
      <c r="AU220" s="471">
        <f t="shared" si="560"/>
        <v>-324.1610493898134</v>
      </c>
      <c r="AV220" s="471"/>
      <c r="AW220" s="471"/>
      <c r="AX220" s="471">
        <f t="shared" ref="AX220" si="565">-AX257</f>
        <v>-334.87452178815863</v>
      </c>
      <c r="AY220" s="471"/>
      <c r="AZ220" s="471"/>
      <c r="BA220" s="471">
        <f t="shared" ref="BA220:BD220" si="566">-BA257</f>
        <v>-345.94725024030259</v>
      </c>
      <c r="BB220" s="471"/>
      <c r="BC220" s="471"/>
      <c r="BD220" s="471">
        <f t="shared" si="566"/>
        <v>-357.39138835731205</v>
      </c>
      <c r="BE220" s="471"/>
      <c r="BF220" s="471"/>
      <c r="BG220" s="471">
        <f t="shared" ref="BG220:BJ220" si="567">-BG257</f>
        <v>-369.21950242121852</v>
      </c>
      <c r="BH220" s="471"/>
      <c r="BI220" s="471"/>
      <c r="BJ220" s="471">
        <f t="shared" si="567"/>
        <v>-381.44458540165073</v>
      </c>
    </row>
    <row r="221" spans="2:62" hidden="1" outlineLevel="1">
      <c r="B221" s="586" t="s">
        <v>563</v>
      </c>
      <c r="L221" s="484">
        <f>L37-L265</f>
        <v>-18.5</v>
      </c>
      <c r="M221" s="471">
        <f t="shared" si="559"/>
        <v>-18.799999999999997</v>
      </c>
      <c r="N221" s="484">
        <f>N37-N265</f>
        <v>-37.299999999999997</v>
      </c>
      <c r="O221" s="484">
        <f>O37-O265</f>
        <v>-18</v>
      </c>
      <c r="P221" s="471">
        <f>P37-P265</f>
        <v>-17.2</v>
      </c>
      <c r="Q221" s="484">
        <f>Q37-Q265</f>
        <v>-35.200000000000003</v>
      </c>
      <c r="R221" s="484">
        <f>R37-R265</f>
        <v>-18.600000000000001</v>
      </c>
      <c r="S221" s="471">
        <f>T221-R221</f>
        <v>-20.299999999999997</v>
      </c>
      <c r="T221" s="484">
        <f>T37-T265</f>
        <v>-38.9</v>
      </c>
      <c r="U221" s="484">
        <f>U37-U265</f>
        <v>-20.100000000000001</v>
      </c>
      <c r="V221" s="471">
        <f>W221-U221</f>
        <v>-17.775694666240817</v>
      </c>
      <c r="W221" s="484">
        <f>T222*W253</f>
        <v>-37.875694666240818</v>
      </c>
      <c r="X221" s="484">
        <f>W222*X253/2</f>
        <v>-20.586496075690786</v>
      </c>
      <c r="Y221" s="471">
        <f>Z221-X221</f>
        <v>-18.199834170237036</v>
      </c>
      <c r="Z221" s="484">
        <f>W222*Z253</f>
        <v>-38.786330245927822</v>
      </c>
      <c r="AA221" s="484">
        <f>Z222*AA253/2</f>
        <v>-21.946994946779917</v>
      </c>
      <c r="AB221" s="471">
        <f>AC221-AA221</f>
        <v>-19.402605819748359</v>
      </c>
      <c r="AC221" s="484">
        <f>Z222*AC253</f>
        <v>-41.349600766528276</v>
      </c>
      <c r="AD221" s="471">
        <f>AC222*AD253/2</f>
        <v>-24.580475217718529</v>
      </c>
      <c r="AE221" s="471">
        <f>AF221-AD221</f>
        <v>-21.730777843071436</v>
      </c>
      <c r="AF221" s="471">
        <f>AC222*AF253</f>
        <v>-46.311253060789966</v>
      </c>
      <c r="AG221" s="471">
        <f>AF222*AG253/2</f>
        <v>-14.634282948856477</v>
      </c>
      <c r="AH221" s="471">
        <f>AI221-AG221</f>
        <v>-12.937681181404162</v>
      </c>
      <c r="AI221" s="471">
        <f>AF222*AI253</f>
        <v>-27.571964130260639</v>
      </c>
      <c r="AJ221" s="471"/>
      <c r="AK221" s="471"/>
      <c r="AL221" s="471">
        <f>AI222*AL253</f>
        <v>-7.7249437768536211</v>
      </c>
      <c r="AM221" s="471"/>
      <c r="AN221" s="471"/>
      <c r="AO221" s="471">
        <f>AL222*AO253</f>
        <v>12.918861839755378</v>
      </c>
      <c r="AP221" s="471"/>
      <c r="AQ221" s="471"/>
      <c r="AR221" s="471">
        <f>AO222*AR253</f>
        <v>34.425980583522708</v>
      </c>
      <c r="AS221" s="471"/>
      <c r="AT221" s="471"/>
      <c r="AU221" s="471">
        <f>AR222*AU253</f>
        <v>56.701299854915895</v>
      </c>
      <c r="AV221" s="471"/>
      <c r="AW221" s="471"/>
      <c r="AX221" s="471">
        <f>AU222*AX253</f>
        <v>79.730575218146996</v>
      </c>
      <c r="AY221" s="471"/>
      <c r="AZ221" s="471"/>
      <c r="BA221" s="471">
        <f>AX222*BA253</f>
        <v>103.49495792385261</v>
      </c>
      <c r="BB221" s="471"/>
      <c r="BC221" s="471"/>
      <c r="BD221" s="471">
        <f>BA222*BD253</f>
        <v>128.02144709589243</v>
      </c>
      <c r="BE221" s="471"/>
      <c r="BF221" s="471"/>
      <c r="BG221" s="471">
        <f>BD222*BG253</f>
        <v>153.33834997639656</v>
      </c>
      <c r="BH221" s="471"/>
      <c r="BI221" s="471"/>
      <c r="BJ221" s="471">
        <f t="shared" ref="BJ221" si="568">BG222*BJ253</f>
        <v>179.47534954464246</v>
      </c>
    </row>
    <row r="222" spans="2:62" hidden="1" outlineLevel="1">
      <c r="B222" s="586" t="s">
        <v>564</v>
      </c>
      <c r="K222" s="587">
        <v>930.1</v>
      </c>
      <c r="L222" s="588">
        <f t="shared" ref="L222:R222" si="569">L169+L177</f>
        <v>938.19999999999993</v>
      </c>
      <c r="M222" s="588">
        <f t="shared" si="569"/>
        <v>939.3</v>
      </c>
      <c r="N222" s="588">
        <f t="shared" si="569"/>
        <v>939.3</v>
      </c>
      <c r="O222" s="588">
        <f t="shared" si="569"/>
        <v>885.8</v>
      </c>
      <c r="P222" s="588">
        <f t="shared" si="569"/>
        <v>989.6</v>
      </c>
      <c r="Q222" s="588">
        <f t="shared" si="569"/>
        <v>989.6</v>
      </c>
      <c r="R222" s="588">
        <f t="shared" si="569"/>
        <v>1012.4000000000001</v>
      </c>
      <c r="S222" s="588">
        <f t="shared" ref="S222:AU222" si="570">S250</f>
        <v>1010.6999999999999</v>
      </c>
      <c r="T222" s="588">
        <f>T169+T177</f>
        <v>1010.6999999999999</v>
      </c>
      <c r="U222" s="588">
        <f t="shared" si="570"/>
        <v>1037.8</v>
      </c>
      <c r="V222" s="588">
        <f t="shared" si="570"/>
        <v>1035</v>
      </c>
      <c r="W222" s="588">
        <f t="shared" si="570"/>
        <v>1035</v>
      </c>
      <c r="X222" s="588">
        <f t="shared" ref="X222:Y222" si="571">X250</f>
        <v>1089.2</v>
      </c>
      <c r="Y222" s="588">
        <f t="shared" si="571"/>
        <v>1103.4000000000001</v>
      </c>
      <c r="Z222" s="588">
        <f t="shared" si="570"/>
        <v>1103.4000000000001</v>
      </c>
      <c r="AA222" s="588">
        <f t="shared" si="570"/>
        <v>1118</v>
      </c>
      <c r="AB222" s="588">
        <f t="shared" si="570"/>
        <v>1235.8000000000002</v>
      </c>
      <c r="AC222" s="588">
        <f t="shared" si="570"/>
        <v>1235.8000000000002</v>
      </c>
      <c r="AD222" s="588">
        <f t="shared" ref="AD222:AE222" si="572">AD250</f>
        <v>1256.066842464018</v>
      </c>
      <c r="AE222" s="588">
        <f t="shared" si="572"/>
        <v>735.74846328277886</v>
      </c>
      <c r="AF222" s="588">
        <f t="shared" si="570"/>
        <v>735.74846328277886</v>
      </c>
      <c r="AG222" s="588">
        <f t="shared" si="570"/>
        <v>1288.5572632762298</v>
      </c>
      <c r="AH222" s="588">
        <f t="shared" si="570"/>
        <v>206.13749118177856</v>
      </c>
      <c r="AI222" s="588">
        <f t="shared" si="570"/>
        <v>206.13749118177856</v>
      </c>
      <c r="AJ222" s="588"/>
      <c r="AK222" s="588"/>
      <c r="AL222" s="588">
        <f t="shared" si="570"/>
        <v>-344.73542403642682</v>
      </c>
      <c r="AM222" s="588"/>
      <c r="AN222" s="588"/>
      <c r="AO222" s="588">
        <f t="shared" si="570"/>
        <v>-918.64555574155895</v>
      </c>
      <c r="AP222" s="588"/>
      <c r="AQ222" s="588"/>
      <c r="AR222" s="588">
        <f t="shared" si="570"/>
        <v>-1513.0548566398436</v>
      </c>
      <c r="AS222" s="588"/>
      <c r="AT222" s="588"/>
      <c r="AU222" s="588">
        <f t="shared" si="570"/>
        <v>-2127.5832188183372</v>
      </c>
      <c r="AV222" s="588"/>
      <c r="AW222" s="588"/>
      <c r="AX222" s="588">
        <f t="shared" ref="AX222" si="573">AX250</f>
        <v>-2761.727669825987</v>
      </c>
      <c r="AY222" s="588"/>
      <c r="AZ222" s="588"/>
      <c r="BA222" s="588">
        <f t="shared" ref="BA222:BD222" si="574">BA250</f>
        <v>-3416.2086720787429</v>
      </c>
      <c r="BB222" s="588"/>
      <c r="BC222" s="588"/>
      <c r="BD222" s="588">
        <f t="shared" si="574"/>
        <v>-4091.7815946826495</v>
      </c>
      <c r="BE222" s="588"/>
      <c r="BF222" s="588"/>
      <c r="BG222" s="588">
        <f t="shared" ref="BG222:BJ222" si="575">BG250</f>
        <v>-4789.2385178205295</v>
      </c>
      <c r="BH222" s="588"/>
      <c r="BI222" s="588"/>
      <c r="BJ222" s="588">
        <f t="shared" si="575"/>
        <v>-5509.4101170384292</v>
      </c>
    </row>
    <row r="223" spans="2:62" hidden="1" outlineLevel="1">
      <c r="B223" s="586" t="s">
        <v>565</v>
      </c>
      <c r="K223" s="587">
        <v>843.4</v>
      </c>
      <c r="L223" s="471">
        <f t="shared" ref="L223:R223" si="576">L160</f>
        <v>847.6</v>
      </c>
      <c r="M223" s="471">
        <f t="shared" si="576"/>
        <v>0</v>
      </c>
      <c r="N223" s="471">
        <f t="shared" si="576"/>
        <v>848</v>
      </c>
      <c r="O223" s="471">
        <f t="shared" si="576"/>
        <v>792.9</v>
      </c>
      <c r="P223" s="471">
        <f t="shared" si="576"/>
        <v>0</v>
      </c>
      <c r="Q223" s="471">
        <f t="shared" si="576"/>
        <v>894.3</v>
      </c>
      <c r="R223" s="471">
        <f t="shared" si="576"/>
        <v>913.1</v>
      </c>
      <c r="S223" s="471">
        <f t="shared" ref="S223:AU223" si="577">S244</f>
        <v>902.01604386245072</v>
      </c>
      <c r="T223" s="471">
        <f>T160</f>
        <v>923.7</v>
      </c>
      <c r="U223" s="471">
        <f t="shared" si="577"/>
        <v>906.16914567945958</v>
      </c>
      <c r="V223" s="471">
        <f t="shared" si="577"/>
        <v>910.85159237730215</v>
      </c>
      <c r="W223" s="471">
        <f t="shared" si="577"/>
        <v>910.85159237730215</v>
      </c>
      <c r="X223" s="471">
        <f t="shared" ref="X223:Y223" si="578">X244</f>
        <v>914.53924187100029</v>
      </c>
      <c r="Y223" s="471">
        <f t="shared" si="578"/>
        <v>919.72750865538137</v>
      </c>
      <c r="Z223" s="471">
        <f t="shared" si="577"/>
        <v>919.7275086553816</v>
      </c>
      <c r="AA223" s="471">
        <f t="shared" si="577"/>
        <v>923.07063122019929</v>
      </c>
      <c r="AB223" s="471">
        <f t="shared" si="577"/>
        <v>929.04255739380392</v>
      </c>
      <c r="AC223" s="471">
        <f t="shared" si="577"/>
        <v>929.0425573938038</v>
      </c>
      <c r="AD223" s="471">
        <f t="shared" ref="AD223:AE223" si="579">AD244</f>
        <v>932.00256501397723</v>
      </c>
      <c r="AE223" s="471">
        <f t="shared" si="579"/>
        <v>938.82201507818172</v>
      </c>
      <c r="AF223" s="471">
        <f t="shared" si="577"/>
        <v>938.82201507818172</v>
      </c>
      <c r="AG223" s="471">
        <f t="shared" si="577"/>
        <v>941.37211371485773</v>
      </c>
      <c r="AH223" s="471">
        <f t="shared" si="577"/>
        <v>949.1001817228323</v>
      </c>
      <c r="AI223" s="471">
        <f t="shared" si="577"/>
        <v>949.10018172283208</v>
      </c>
      <c r="AJ223" s="471"/>
      <c r="AK223" s="471"/>
      <c r="AL223" s="471">
        <f t="shared" si="577"/>
        <v>959.86896058107766</v>
      </c>
      <c r="AM223" s="471"/>
      <c r="AN223" s="471"/>
      <c r="AO223" s="471">
        <f t="shared" si="577"/>
        <v>971.11946418710716</v>
      </c>
      <c r="AP223" s="471"/>
      <c r="AQ223" s="471"/>
      <c r="AR223" s="471">
        <f t="shared" si="577"/>
        <v>982.83250428796487</v>
      </c>
      <c r="AS223" s="471"/>
      <c r="AT223" s="471"/>
      <c r="AU223" s="471">
        <f t="shared" si="577"/>
        <v>994.98034729714345</v>
      </c>
      <c r="AV223" s="471"/>
      <c r="AW223" s="471"/>
      <c r="AX223" s="471">
        <f t="shared" ref="AX223" si="580">AX244</f>
        <v>1007.5296746333973</v>
      </c>
      <c r="AY223" s="471"/>
      <c r="AZ223" s="471"/>
      <c r="BA223" s="471">
        <f t="shared" ref="BA223:BD223" si="581">BA244</f>
        <v>1020.4939493150312</v>
      </c>
      <c r="BB223" s="471"/>
      <c r="BC223" s="471"/>
      <c r="BD223" s="471">
        <f t="shared" si="581"/>
        <v>1033.8870898134633</v>
      </c>
      <c r="BE223" s="471"/>
      <c r="BF223" s="471"/>
      <c r="BG223" s="471">
        <f t="shared" ref="BG223:BJ223" si="582">BG244</f>
        <v>1047.7234855179527</v>
      </c>
      <c r="BH223" s="471"/>
      <c r="BI223" s="471"/>
      <c r="BJ223" s="471">
        <f t="shared" si="582"/>
        <v>1062.0180127255946</v>
      </c>
    </row>
    <row r="224" spans="2:62" hidden="1" outlineLevel="1">
      <c r="B224" s="586" t="s">
        <v>566</v>
      </c>
      <c r="K224" s="587">
        <f>K222-K223</f>
        <v>86.700000000000045</v>
      </c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</row>
    <row r="225" spans="2:62" hidden="1" outlineLevel="1">
      <c r="B225" s="586"/>
    </row>
    <row r="226" spans="2:62" s="593" customFormat="1" hidden="1" outlineLevel="2">
      <c r="B226" s="589" t="s">
        <v>567</v>
      </c>
      <c r="C226" s="590"/>
      <c r="D226" s="590"/>
      <c r="E226" s="590"/>
      <c r="F226" s="590"/>
      <c r="G226" s="590"/>
      <c r="H226" s="590"/>
      <c r="I226" s="590"/>
      <c r="J226" s="590"/>
      <c r="K226" s="591">
        <f>N219</f>
        <v>205.10000000000002</v>
      </c>
      <c r="L226" s="592">
        <f>L169</f>
        <v>191.9</v>
      </c>
      <c r="M226" s="592">
        <f>N226</f>
        <v>178.4</v>
      </c>
      <c r="N226" s="592">
        <f>N169</f>
        <v>178.4</v>
      </c>
      <c r="O226" s="592">
        <f>O169</f>
        <v>188</v>
      </c>
      <c r="P226" s="592">
        <f>Q226</f>
        <v>193.9</v>
      </c>
      <c r="Q226" s="592">
        <f>Q169</f>
        <v>193.9</v>
      </c>
      <c r="R226" s="592">
        <f>R169</f>
        <v>191.2</v>
      </c>
      <c r="S226" s="592">
        <f>T226</f>
        <v>-145.73080000000002</v>
      </c>
      <c r="T226" s="592">
        <f>W219</f>
        <v>-145.73080000000002</v>
      </c>
      <c r="U226" s="592">
        <f>AVERAGE(T226,W226)</f>
        <v>-147.7208</v>
      </c>
      <c r="V226" s="592">
        <f>W226</f>
        <v>-149.71080000000001</v>
      </c>
      <c r="W226" s="592">
        <f>Z219</f>
        <v>-149.71080000000001</v>
      </c>
      <c r="X226" s="592">
        <f>AVERAGE(W226,Z226)</f>
        <v>-148.66735</v>
      </c>
      <c r="Y226" s="592">
        <f>Z226</f>
        <v>-147.62390000000002</v>
      </c>
      <c r="Z226" s="592">
        <f>AC219</f>
        <v>-147.62390000000002</v>
      </c>
      <c r="AA226" s="592">
        <f>AVERAGE(Z226,AC226)</f>
        <v>-151.30385174915739</v>
      </c>
      <c r="AB226" s="592">
        <f>AC226</f>
        <v>-154.98380349831478</v>
      </c>
      <c r="AC226" s="592">
        <f>AF219</f>
        <v>-154.98380349831478</v>
      </c>
      <c r="AD226" s="592">
        <f>AVERAGE(AC226,AF226)</f>
        <v>-157.81149192644591</v>
      </c>
      <c r="AE226" s="592">
        <f>AF226</f>
        <v>-160.63918035457701</v>
      </c>
      <c r="AF226" s="592">
        <f>AI219</f>
        <v>-160.63918035457701</v>
      </c>
      <c r="AG226" s="592">
        <f>AVERAGE(AF226,AI226)</f>
        <v>-163.29540059608217</v>
      </c>
      <c r="AH226" s="592">
        <f>AI226</f>
        <v>-165.95162083758731</v>
      </c>
      <c r="AI226" s="592">
        <f>AL219</f>
        <v>-165.95162083758731</v>
      </c>
      <c r="AJ226" s="592"/>
      <c r="AK226" s="592"/>
      <c r="AL226" s="592">
        <f t="shared" ref="AL226" si="583">AO219</f>
        <v>-173.3752111763493</v>
      </c>
      <c r="AM226" s="592"/>
      <c r="AN226" s="592"/>
      <c r="AO226" s="592">
        <f>AL226*1.03</f>
        <v>-178.57646751163978</v>
      </c>
      <c r="AP226" s="592"/>
      <c r="AQ226" s="592"/>
      <c r="AR226" s="592">
        <f>AO226*1.03</f>
        <v>-183.93376153698898</v>
      </c>
      <c r="AS226" s="592"/>
      <c r="AT226" s="592"/>
      <c r="AU226" s="592">
        <f>AR226*1.03</f>
        <v>-189.45177438309867</v>
      </c>
      <c r="AV226" s="592"/>
      <c r="AW226" s="592"/>
      <c r="AX226" s="592">
        <f>AU226*1.03</f>
        <v>-195.13532761459163</v>
      </c>
      <c r="AY226" s="592"/>
      <c r="AZ226" s="592"/>
      <c r="BA226" s="592">
        <f>AX226*1.03</f>
        <v>-200.98938744302939</v>
      </c>
      <c r="BB226" s="592"/>
      <c r="BC226" s="592"/>
      <c r="BD226" s="592">
        <f>BA226*1.03</f>
        <v>-207.01906906632027</v>
      </c>
      <c r="BE226" s="592"/>
      <c r="BF226" s="592"/>
      <c r="BG226" s="592">
        <f>BD226*1.03</f>
        <v>-213.22964113830989</v>
      </c>
      <c r="BH226" s="592"/>
      <c r="BI226" s="592"/>
      <c r="BJ226" s="592">
        <f t="shared" ref="BJ226" si="584">BG226*1.03</f>
        <v>-219.6265303724592</v>
      </c>
    </row>
    <row r="227" spans="2:62" s="593" customFormat="1" hidden="1" outlineLevel="2">
      <c r="B227" s="589"/>
      <c r="C227" s="590"/>
      <c r="D227" s="590"/>
      <c r="E227" s="590"/>
      <c r="F227" s="590"/>
      <c r="G227" s="590"/>
      <c r="H227" s="590"/>
      <c r="I227" s="590"/>
      <c r="J227" s="590"/>
      <c r="K227" s="594"/>
      <c r="L227" s="590"/>
      <c r="M227" s="590"/>
      <c r="N227" s="590"/>
      <c r="O227" s="590"/>
      <c r="P227" s="590"/>
      <c r="Q227" s="590"/>
      <c r="R227" s="590"/>
      <c r="S227" s="590"/>
      <c r="T227" s="590"/>
      <c r="U227" s="590"/>
      <c r="V227" s="590"/>
      <c r="W227" s="590"/>
      <c r="X227" s="590"/>
      <c r="Y227" s="590"/>
      <c r="Z227" s="590"/>
      <c r="AA227" s="590"/>
      <c r="AB227" s="590"/>
      <c r="AC227" s="590"/>
      <c r="AD227" s="590"/>
      <c r="AE227" s="590"/>
      <c r="AF227" s="590"/>
      <c r="AG227" s="590"/>
      <c r="AH227" s="590"/>
      <c r="AI227" s="590"/>
      <c r="AJ227" s="590"/>
      <c r="AK227" s="590"/>
      <c r="AL227" s="590"/>
      <c r="AM227" s="590"/>
      <c r="AN227" s="590"/>
      <c r="AO227" s="590"/>
      <c r="AP227" s="590"/>
      <c r="AQ227" s="590"/>
      <c r="AR227" s="590"/>
      <c r="AS227" s="590"/>
      <c r="AT227" s="590"/>
      <c r="AU227" s="590"/>
      <c r="AV227" s="590"/>
      <c r="AW227" s="590"/>
      <c r="AX227" s="590"/>
      <c r="AY227" s="590"/>
      <c r="AZ227" s="590"/>
      <c r="BA227" s="590"/>
      <c r="BB227" s="590"/>
      <c r="BC227" s="590"/>
      <c r="BD227" s="590"/>
      <c r="BE227" s="590"/>
      <c r="BF227" s="590"/>
      <c r="BG227" s="590"/>
      <c r="BH227" s="590"/>
      <c r="BI227" s="590"/>
      <c r="BJ227" s="590"/>
    </row>
    <row r="228" spans="2:62" s="593" customFormat="1" hidden="1" outlineLevel="2">
      <c r="B228" s="589" t="s">
        <v>568</v>
      </c>
      <c r="C228" s="590"/>
      <c r="D228" s="590"/>
      <c r="E228" s="590"/>
      <c r="F228" s="590"/>
      <c r="G228" s="590"/>
      <c r="H228" s="590"/>
      <c r="I228" s="590"/>
      <c r="J228" s="590"/>
      <c r="K228" s="594"/>
      <c r="L228" s="590"/>
      <c r="M228" s="590"/>
      <c r="N228" s="590"/>
      <c r="O228" s="590"/>
      <c r="P228" s="590"/>
      <c r="Q228" s="590"/>
      <c r="R228" s="590"/>
      <c r="S228" s="590"/>
      <c r="T228" s="590"/>
      <c r="U228" s="590"/>
      <c r="V228" s="590"/>
      <c r="W228" s="590"/>
      <c r="X228" s="590"/>
      <c r="Y228" s="590"/>
      <c r="Z228" s="590"/>
      <c r="AA228" s="590"/>
      <c r="AB228" s="590"/>
      <c r="AC228" s="590"/>
      <c r="AD228" s="590"/>
      <c r="AE228" s="590"/>
      <c r="AF228" s="590"/>
      <c r="AG228" s="590"/>
      <c r="AH228" s="590"/>
      <c r="AI228" s="590"/>
      <c r="AJ228" s="590"/>
      <c r="AK228" s="590"/>
      <c r="AL228" s="590"/>
      <c r="AM228" s="590"/>
      <c r="AN228" s="590"/>
      <c r="AO228" s="590"/>
      <c r="AP228" s="590"/>
      <c r="AQ228" s="590"/>
      <c r="AR228" s="590"/>
      <c r="AS228" s="590"/>
      <c r="AT228" s="590"/>
      <c r="AU228" s="590"/>
      <c r="AV228" s="590"/>
      <c r="AW228" s="590"/>
      <c r="AX228" s="590"/>
      <c r="AY228" s="590"/>
      <c r="AZ228" s="590"/>
      <c r="BA228" s="590"/>
      <c r="BB228" s="590"/>
      <c r="BC228" s="590"/>
      <c r="BD228" s="590"/>
      <c r="BE228" s="590"/>
      <c r="BF228" s="590"/>
      <c r="BG228" s="590"/>
      <c r="BH228" s="590"/>
      <c r="BI228" s="590"/>
      <c r="BJ228" s="590"/>
    </row>
    <row r="229" spans="2:62" s="593" customFormat="1" hidden="1" outlineLevel="2">
      <c r="B229" s="595" t="s">
        <v>349</v>
      </c>
      <c r="C229" s="590"/>
      <c r="D229" s="590"/>
      <c r="E229" s="590"/>
      <c r="F229" s="590"/>
      <c r="G229" s="590"/>
      <c r="H229" s="590"/>
      <c r="I229" s="590"/>
      <c r="J229" s="590"/>
      <c r="K229" s="594"/>
      <c r="L229" s="592" t="e">
        <f>#REF!/(L$6-#REF!)*(L$219-L$220)</f>
        <v>#REF!</v>
      </c>
      <c r="M229" s="592" t="e">
        <f>#REF!/(M$6-#REF!)*M$221</f>
        <v>#REF!</v>
      </c>
      <c r="N229" s="592" t="e">
        <f>#REF!/(N$6-#REF!)*N$221</f>
        <v>#REF!</v>
      </c>
      <c r="O229" s="592" t="e">
        <f>#REF!/(O$6-#REF!)*(O$219-O$220)</f>
        <v>#REF!</v>
      </c>
      <c r="P229" s="592" t="e">
        <f>#REF!/(P$6-#REF!)*(P$219-P$220)</f>
        <v>#REF!</v>
      </c>
      <c r="Q229" s="592" t="e">
        <f>#REF!/(Q$6-#REF!)*Q$221</f>
        <v>#REF!</v>
      </c>
      <c r="R229" s="592" t="e">
        <f>#REF!/(R$6-#REF!)*(R$219-R$220)</f>
        <v>#REF!</v>
      </c>
      <c r="S229" s="592" t="e">
        <f>#REF!/(S$6-#REF!)*(S$219-S$220)</f>
        <v>#REF!</v>
      </c>
      <c r="T229" s="592" t="e">
        <f>#REF!/(T$6-#REF!)*(T$219-T$220)</f>
        <v>#REF!</v>
      </c>
      <c r="U229" s="592" t="e">
        <f>#REF!/(U$6-#REF!)*(U$219-U$220)</f>
        <v>#REF!</v>
      </c>
      <c r="V229" s="592" t="e">
        <f>#REF!/(V$6-#REF!)*(V$219-V$220)</f>
        <v>#REF!</v>
      </c>
      <c r="W229" s="592" t="e">
        <f>#REF!/(W$6-#REF!)*(W$219-W$220)</f>
        <v>#REF!</v>
      </c>
      <c r="X229" s="592" t="e">
        <f>#REF!/(X$6-#REF!)*(X$219-X$220)</f>
        <v>#REF!</v>
      </c>
      <c r="Y229" s="592" t="e">
        <f>#REF!/(Y$6-#REF!)*(Y$219-Y$220)</f>
        <v>#REF!</v>
      </c>
      <c r="Z229" s="592" t="e">
        <f>#REF!/(Z$6-#REF!)*(Z$219-Z$220)</f>
        <v>#REF!</v>
      </c>
      <c r="AA229" s="592" t="e">
        <f>#REF!/(AA$6-#REF!)*(AA$219-AA$220)</f>
        <v>#REF!</v>
      </c>
      <c r="AB229" s="592" t="e">
        <f>#REF!/(AB$6-#REF!)*(AB$219-AB$220)</f>
        <v>#REF!</v>
      </c>
      <c r="AC229" s="592" t="e">
        <f>#REF!/(AC$6-#REF!)*(AC$219-AC$220)</f>
        <v>#REF!</v>
      </c>
      <c r="AD229" s="592" t="e">
        <f>#REF!/(AD$6-#REF!)*(AD$219-AD$220)</f>
        <v>#REF!</v>
      </c>
      <c r="AE229" s="592" t="e">
        <f>#REF!/(AE$6-#REF!)*(AE$219-AE$220)</f>
        <v>#REF!</v>
      </c>
      <c r="AF229" s="592" t="e">
        <f>#REF!/(AF$6-#REF!)*(AF$219-AF$220)</f>
        <v>#REF!</v>
      </c>
      <c r="AG229" s="592" t="e">
        <f>#REF!/(AG$6-#REF!)*(AG$219-AG$220)</f>
        <v>#REF!</v>
      </c>
      <c r="AH229" s="592" t="e">
        <f>#REF!/(AH$6-#REF!)*(AH$219-AH$220)</f>
        <v>#REF!</v>
      </c>
      <c r="AI229" s="592" t="e">
        <f>#REF!/(AI$6-#REF!)*(AI$219-AI$220)</f>
        <v>#REF!</v>
      </c>
      <c r="AJ229" s="592"/>
      <c r="AK229" s="592"/>
      <c r="AL229" s="592" t="e">
        <f>#REF!/(AL$6-#REF!)*(AL$219-AL$220)</f>
        <v>#REF!</v>
      </c>
      <c r="AM229" s="592"/>
      <c r="AN229" s="592"/>
      <c r="AO229" s="592" t="e">
        <f>#REF!/(AO$6-#REF!)*(AO$219-AO$220)</f>
        <v>#REF!</v>
      </c>
      <c r="AP229" s="592"/>
      <c r="AQ229" s="592"/>
      <c r="AR229" s="592" t="e">
        <f>#REF!/(AR$6-#REF!)*(AR$219-AR$220)</f>
        <v>#REF!</v>
      </c>
      <c r="AS229" s="592"/>
      <c r="AT229" s="592"/>
      <c r="AU229" s="592" t="e">
        <f>#REF!/(AU$6-#REF!)*(AU$219-AU$220)</f>
        <v>#REF!</v>
      </c>
      <c r="AV229" s="592"/>
      <c r="AW229" s="592"/>
      <c r="AX229" s="592" t="e">
        <f>#REF!/(AX$6-#REF!)*(AX$219-AX$220)</f>
        <v>#REF!</v>
      </c>
      <c r="AY229" s="592"/>
      <c r="AZ229" s="592"/>
      <c r="BA229" s="592" t="e">
        <f>#REF!/(BA$6-#REF!)*(BA$219-BA$220)</f>
        <v>#REF!</v>
      </c>
      <c r="BB229" s="592"/>
      <c r="BC229" s="592"/>
      <c r="BD229" s="592" t="e">
        <f>#REF!/(BD$6-#REF!)*(BD$219-BD$220)</f>
        <v>#REF!</v>
      </c>
      <c r="BE229" s="592"/>
      <c r="BF229" s="592"/>
      <c r="BG229" s="592" t="e">
        <f>#REF!/(BG$6-#REF!)*(BG$219-BG$220)</f>
        <v>#REF!</v>
      </c>
      <c r="BH229" s="592"/>
      <c r="BI229" s="592"/>
      <c r="BJ229" s="592" t="e">
        <f>#REF!/(BJ$6-#REF!)*(BJ$219-BJ$220)</f>
        <v>#REF!</v>
      </c>
    </row>
    <row r="230" spans="2:62" s="593" customFormat="1" hidden="1" outlineLevel="2">
      <c r="B230" s="595" t="s">
        <v>413</v>
      </c>
      <c r="C230" s="590"/>
      <c r="D230" s="590"/>
      <c r="E230" s="590"/>
      <c r="F230" s="590"/>
      <c r="G230" s="590"/>
      <c r="H230" s="590"/>
      <c r="I230" s="590"/>
      <c r="J230" s="590"/>
      <c r="K230" s="594"/>
      <c r="L230" s="592" t="e">
        <f>#REF!/(L$6-#REF!)*(L$219-L$220)</f>
        <v>#REF!</v>
      </c>
      <c r="M230" s="592" t="e">
        <f>#REF!/(M$6-#REF!)*M$221</f>
        <v>#REF!</v>
      </c>
      <c r="N230" s="592" t="e">
        <f>#REF!/(N$6-#REF!)*N$221</f>
        <v>#REF!</v>
      </c>
      <c r="O230" s="592" t="e">
        <f>#REF!/(O$6-#REF!)*(O$219-O$220)</f>
        <v>#REF!</v>
      </c>
      <c r="P230" s="592" t="e">
        <f>#REF!/(P$6-#REF!)*(P$219-P$220)</f>
        <v>#REF!</v>
      </c>
      <c r="Q230" s="592" t="e">
        <f>#REF!/(Q$6-#REF!)*Q$221</f>
        <v>#REF!</v>
      </c>
      <c r="R230" s="592" t="e">
        <f>#REF!/(R$6-#REF!)*(R$219-R$220)</f>
        <v>#REF!</v>
      </c>
      <c r="S230" s="592" t="e">
        <f>#REF!/(S$6-#REF!)*(S$219-S$220)</f>
        <v>#REF!</v>
      </c>
      <c r="T230" s="592" t="e">
        <f>#REF!/(T$6-#REF!)*(T$219-T$220)</f>
        <v>#REF!</v>
      </c>
      <c r="U230" s="592" t="e">
        <f>#REF!/(U$6-#REF!)*(U$219-U$220)</f>
        <v>#REF!</v>
      </c>
      <c r="V230" s="592" t="e">
        <f>#REF!/(V$6-#REF!)*(V$219-V$220)</f>
        <v>#REF!</v>
      </c>
      <c r="W230" s="592" t="e">
        <f>#REF!/(W$6-#REF!)*(W$219-W$220)</f>
        <v>#REF!</v>
      </c>
      <c r="X230" s="592" t="e">
        <f>#REF!/(X$6-#REF!)*(X$219-X$220)</f>
        <v>#REF!</v>
      </c>
      <c r="Y230" s="592" t="e">
        <f>#REF!/(Y$6-#REF!)*(Y$219-Y$220)</f>
        <v>#REF!</v>
      </c>
      <c r="Z230" s="592" t="e">
        <f>#REF!/(Z$6-#REF!)*(Z$219-Z$220)</f>
        <v>#REF!</v>
      </c>
      <c r="AA230" s="592" t="e">
        <f>#REF!/(AA$6-#REF!)*(AA$219-AA$220)</f>
        <v>#REF!</v>
      </c>
      <c r="AB230" s="592" t="e">
        <f>#REF!/(AB$6-#REF!)*(AB$219-AB$220)</f>
        <v>#REF!</v>
      </c>
      <c r="AC230" s="592" t="e">
        <f>#REF!/(AC$6-#REF!)*(AC$219-AC$220)</f>
        <v>#REF!</v>
      </c>
      <c r="AD230" s="592" t="e">
        <f>#REF!/(AD$6-#REF!)*(AD$219-AD$220)</f>
        <v>#REF!</v>
      </c>
      <c r="AE230" s="592" t="e">
        <f>#REF!/(AE$6-#REF!)*(AE$219-AE$220)</f>
        <v>#REF!</v>
      </c>
      <c r="AF230" s="592" t="e">
        <f>#REF!/(AF$6-#REF!)*(AF$219-AF$220)</f>
        <v>#REF!</v>
      </c>
      <c r="AG230" s="592" t="e">
        <f>#REF!/(AG$6-#REF!)*(AG$219-AG$220)</f>
        <v>#REF!</v>
      </c>
      <c r="AH230" s="592" t="e">
        <f>#REF!/(AH$6-#REF!)*(AH$219-AH$220)</f>
        <v>#REF!</v>
      </c>
      <c r="AI230" s="592" t="e">
        <f>#REF!/(AI$6-#REF!)*(AI$219-AI$220)</f>
        <v>#REF!</v>
      </c>
      <c r="AJ230" s="592"/>
      <c r="AK230" s="592"/>
      <c r="AL230" s="592" t="e">
        <f>#REF!/(AL$6-#REF!)*(AL$219-AL$220)</f>
        <v>#REF!</v>
      </c>
      <c r="AM230" s="592"/>
      <c r="AN230" s="592"/>
      <c r="AO230" s="592" t="e">
        <f>#REF!/(AO$6-#REF!)*(AO$219-AO$220)</f>
        <v>#REF!</v>
      </c>
      <c r="AP230" s="592"/>
      <c r="AQ230" s="592"/>
      <c r="AR230" s="592" t="e">
        <f>#REF!/(AR$6-#REF!)*(AR$219-AR$220)</f>
        <v>#REF!</v>
      </c>
      <c r="AS230" s="592"/>
      <c r="AT230" s="592"/>
      <c r="AU230" s="592" t="e">
        <f>#REF!/(AU$6-#REF!)*(AU$219-AU$220)</f>
        <v>#REF!</v>
      </c>
      <c r="AV230" s="592"/>
      <c r="AW230" s="592"/>
      <c r="AX230" s="592" t="e">
        <f>#REF!/(AX$6-#REF!)*(AX$219-AX$220)</f>
        <v>#REF!</v>
      </c>
      <c r="AY230" s="592"/>
      <c r="AZ230" s="592"/>
      <c r="BA230" s="592" t="e">
        <f>#REF!/(BA$6-#REF!)*(BA$219-BA$220)</f>
        <v>#REF!</v>
      </c>
      <c r="BB230" s="592"/>
      <c r="BC230" s="592"/>
      <c r="BD230" s="592" t="e">
        <f>#REF!/(BD$6-#REF!)*(BD$219-BD$220)</f>
        <v>#REF!</v>
      </c>
      <c r="BE230" s="592"/>
      <c r="BF230" s="592"/>
      <c r="BG230" s="592" t="e">
        <f>#REF!/(BG$6-#REF!)*(BG$219-BG$220)</f>
        <v>#REF!</v>
      </c>
      <c r="BH230" s="592"/>
      <c r="BI230" s="592"/>
      <c r="BJ230" s="592" t="e">
        <f>#REF!/(BJ$6-#REF!)*(BJ$219-BJ$220)</f>
        <v>#REF!</v>
      </c>
    </row>
    <row r="231" spans="2:62" s="593" customFormat="1" hidden="1" outlineLevel="2">
      <c r="B231" s="595" t="s">
        <v>414</v>
      </c>
      <c r="C231" s="590"/>
      <c r="D231" s="590"/>
      <c r="E231" s="590"/>
      <c r="F231" s="590"/>
      <c r="G231" s="590"/>
      <c r="H231" s="590"/>
      <c r="I231" s="590"/>
      <c r="J231" s="590"/>
      <c r="K231" s="594"/>
      <c r="L231" s="592" t="e">
        <f>#REF!/(L$6-#REF!)*(L$219-L$220)</f>
        <v>#REF!</v>
      </c>
      <c r="M231" s="592" t="e">
        <f>#REF!/(M$6-#REF!)*M$221</f>
        <v>#REF!</v>
      </c>
      <c r="N231" s="592" t="e">
        <f>#REF!/(N$6-#REF!)*N$221</f>
        <v>#REF!</v>
      </c>
      <c r="O231" s="592" t="e">
        <f>#REF!/(O$6-#REF!)*(O$219-O$220)</f>
        <v>#REF!</v>
      </c>
      <c r="P231" s="592" t="e">
        <f>#REF!/(P$6-#REF!)*(P$219-P$220)</f>
        <v>#REF!</v>
      </c>
      <c r="Q231" s="592" t="e">
        <f>#REF!/(Q$6-#REF!)*Q$221</f>
        <v>#REF!</v>
      </c>
      <c r="R231" s="592" t="e">
        <f>#REF!/(R$6-#REF!)*(R$219-R$220)</f>
        <v>#REF!</v>
      </c>
      <c r="S231" s="592" t="e">
        <f>#REF!/(S$6-#REF!)*(S$219-S$220)</f>
        <v>#REF!</v>
      </c>
      <c r="T231" s="592" t="e">
        <f>#REF!/(T$6-#REF!)*(T$219-T$220)</f>
        <v>#REF!</v>
      </c>
      <c r="U231" s="592" t="e">
        <f>#REF!/(U$6-#REF!)*(U$219-U$220)</f>
        <v>#REF!</v>
      </c>
      <c r="V231" s="592" t="e">
        <f>#REF!/(V$6-#REF!)*(V$219-V$220)</f>
        <v>#REF!</v>
      </c>
      <c r="W231" s="592" t="e">
        <f>#REF!/(W$6-#REF!)*(W$219-W$220)</f>
        <v>#REF!</v>
      </c>
      <c r="X231" s="592" t="e">
        <f>#REF!/(X$6-#REF!)*(X$219-X$220)</f>
        <v>#REF!</v>
      </c>
      <c r="Y231" s="592" t="e">
        <f>#REF!/(Y$6-#REF!)*(Y$219-Y$220)</f>
        <v>#REF!</v>
      </c>
      <c r="Z231" s="592" t="e">
        <f>#REF!/(Z$6-#REF!)*(Z$219-Z$220)</f>
        <v>#REF!</v>
      </c>
      <c r="AA231" s="592" t="e">
        <f>#REF!/(AA$6-#REF!)*(AA$219-AA$220)</f>
        <v>#REF!</v>
      </c>
      <c r="AB231" s="592" t="e">
        <f>#REF!/(AB$6-#REF!)*(AB$219-AB$220)</f>
        <v>#REF!</v>
      </c>
      <c r="AC231" s="592" t="e">
        <f>#REF!/(AC$6-#REF!)*(AC$219-AC$220)</f>
        <v>#REF!</v>
      </c>
      <c r="AD231" s="592" t="e">
        <f>#REF!/(AD$6-#REF!)*(AD$219-AD$220)</f>
        <v>#REF!</v>
      </c>
      <c r="AE231" s="592" t="e">
        <f>#REF!/(AE$6-#REF!)*(AE$219-AE$220)</f>
        <v>#REF!</v>
      </c>
      <c r="AF231" s="592" t="e">
        <f>#REF!/(AF$6-#REF!)*(AF$219-AF$220)</f>
        <v>#REF!</v>
      </c>
      <c r="AG231" s="592" t="e">
        <f>#REF!/(AG$6-#REF!)*(AG$219-AG$220)</f>
        <v>#REF!</v>
      </c>
      <c r="AH231" s="592" t="e">
        <f>#REF!/(AH$6-#REF!)*(AH$219-AH$220)</f>
        <v>#REF!</v>
      </c>
      <c r="AI231" s="592" t="e">
        <f>#REF!/(AI$6-#REF!)*(AI$219-AI$220)</f>
        <v>#REF!</v>
      </c>
      <c r="AJ231" s="592"/>
      <c r="AK231" s="592"/>
      <c r="AL231" s="592" t="e">
        <f>#REF!/(AL$6-#REF!)*(AL$219-AL$220)</f>
        <v>#REF!</v>
      </c>
      <c r="AM231" s="592"/>
      <c r="AN231" s="592"/>
      <c r="AO231" s="592" t="e">
        <f>#REF!/(AO$6-#REF!)*(AO$219-AO$220)</f>
        <v>#REF!</v>
      </c>
      <c r="AP231" s="592"/>
      <c r="AQ231" s="592"/>
      <c r="AR231" s="592" t="e">
        <f>#REF!/(AR$6-#REF!)*(AR$219-AR$220)</f>
        <v>#REF!</v>
      </c>
      <c r="AS231" s="592"/>
      <c r="AT231" s="592"/>
      <c r="AU231" s="592" t="e">
        <f>#REF!/(AU$6-#REF!)*(AU$219-AU$220)</f>
        <v>#REF!</v>
      </c>
      <c r="AV231" s="592"/>
      <c r="AW231" s="592"/>
      <c r="AX231" s="592" t="e">
        <f>#REF!/(AX$6-#REF!)*(AX$219-AX$220)</f>
        <v>#REF!</v>
      </c>
      <c r="AY231" s="592"/>
      <c r="AZ231" s="592"/>
      <c r="BA231" s="592" t="e">
        <f>#REF!/(BA$6-#REF!)*(BA$219-BA$220)</f>
        <v>#REF!</v>
      </c>
      <c r="BB231" s="592"/>
      <c r="BC231" s="592"/>
      <c r="BD231" s="592" t="e">
        <f>#REF!/(BD$6-#REF!)*(BD$219-BD$220)</f>
        <v>#REF!</v>
      </c>
      <c r="BE231" s="592"/>
      <c r="BF231" s="592"/>
      <c r="BG231" s="592" t="e">
        <f>#REF!/(BG$6-#REF!)*(BG$219-BG$220)</f>
        <v>#REF!</v>
      </c>
      <c r="BH231" s="592"/>
      <c r="BI231" s="592"/>
      <c r="BJ231" s="592" t="e">
        <f>#REF!/(BJ$6-#REF!)*(BJ$219-BJ$220)</f>
        <v>#REF!</v>
      </c>
    </row>
    <row r="232" spans="2:62" s="593" customFormat="1" hidden="1" outlineLevel="2">
      <c r="B232" s="596"/>
      <c r="C232" s="590"/>
      <c r="D232" s="590"/>
      <c r="E232" s="590"/>
      <c r="F232" s="590"/>
      <c r="G232" s="590"/>
      <c r="H232" s="590"/>
      <c r="I232" s="590"/>
      <c r="J232" s="590"/>
      <c r="K232" s="594"/>
      <c r="L232" s="590"/>
      <c r="M232" s="590"/>
      <c r="N232" s="590"/>
      <c r="O232" s="590"/>
      <c r="P232" s="590"/>
      <c r="Q232" s="590"/>
      <c r="R232" s="590"/>
      <c r="S232" s="590"/>
      <c r="T232" s="590"/>
      <c r="U232" s="590"/>
      <c r="V232" s="590"/>
      <c r="W232" s="590"/>
      <c r="X232" s="590"/>
      <c r="Y232" s="590"/>
      <c r="Z232" s="590"/>
      <c r="AA232" s="590"/>
      <c r="AB232" s="590"/>
      <c r="AC232" s="590"/>
      <c r="AD232" s="590"/>
      <c r="AE232" s="590"/>
      <c r="AF232" s="590"/>
      <c r="AG232" s="590"/>
      <c r="AH232" s="590"/>
      <c r="AI232" s="590"/>
      <c r="AJ232" s="590"/>
      <c r="AK232" s="590"/>
      <c r="AL232" s="590"/>
      <c r="AM232" s="590"/>
      <c r="AN232" s="590"/>
      <c r="AO232" s="590"/>
      <c r="AP232" s="590"/>
      <c r="AQ232" s="590"/>
      <c r="AR232" s="590"/>
      <c r="AS232" s="590"/>
      <c r="AT232" s="590"/>
      <c r="AU232" s="590"/>
      <c r="AV232" s="590"/>
      <c r="AW232" s="590"/>
      <c r="AX232" s="590"/>
      <c r="AY232" s="590"/>
      <c r="AZ232" s="590"/>
      <c r="BA232" s="590"/>
      <c r="BB232" s="590"/>
      <c r="BC232" s="590"/>
      <c r="BD232" s="590"/>
      <c r="BE232" s="590"/>
      <c r="BF232" s="590"/>
      <c r="BG232" s="590"/>
      <c r="BH232" s="590"/>
      <c r="BI232" s="590"/>
      <c r="BJ232" s="590"/>
    </row>
    <row r="233" spans="2:62" s="593" customFormat="1" hidden="1" outlineLevel="2">
      <c r="B233" s="596" t="s">
        <v>394</v>
      </c>
      <c r="C233" s="590"/>
      <c r="D233" s="590"/>
      <c r="E233" s="590"/>
      <c r="F233" s="590"/>
      <c r="G233" s="590"/>
      <c r="H233" s="590"/>
      <c r="I233" s="590"/>
      <c r="J233" s="590"/>
      <c r="K233" s="594"/>
      <c r="L233" s="597">
        <f t="shared" ref="L233:AU233" si="585">SUM(L234:L236)</f>
        <v>697</v>
      </c>
      <c r="M233" s="597">
        <f t="shared" si="585"/>
        <v>697</v>
      </c>
      <c r="N233" s="597">
        <f t="shared" si="585"/>
        <v>697</v>
      </c>
      <c r="O233" s="597">
        <f t="shared" si="585"/>
        <v>697</v>
      </c>
      <c r="P233" s="597">
        <f t="shared" si="585"/>
        <v>696</v>
      </c>
      <c r="Q233" s="597">
        <f t="shared" si="585"/>
        <v>698</v>
      </c>
      <c r="R233" s="597">
        <f t="shared" si="585"/>
        <v>710</v>
      </c>
      <c r="S233" s="597">
        <f t="shared" si="585"/>
        <v>716</v>
      </c>
      <c r="T233" s="597">
        <f t="shared" si="585"/>
        <v>716</v>
      </c>
      <c r="U233" s="597">
        <f t="shared" si="585"/>
        <v>722</v>
      </c>
      <c r="V233" s="597">
        <f t="shared" si="585"/>
        <v>736</v>
      </c>
      <c r="W233" s="597">
        <f t="shared" si="585"/>
        <v>736</v>
      </c>
      <c r="X233" s="597">
        <f t="shared" ref="X233:Y233" si="586">SUM(X234:X236)</f>
        <v>751</v>
      </c>
      <c r="Y233" s="597">
        <f t="shared" si="586"/>
        <v>759</v>
      </c>
      <c r="Z233" s="597">
        <f t="shared" si="585"/>
        <v>759</v>
      </c>
      <c r="AA233" s="597">
        <f t="shared" ref="AA233:AB233" si="587">SUM(AA234:AA236)</f>
        <v>774</v>
      </c>
      <c r="AB233" s="597">
        <f t="shared" si="587"/>
        <v>782</v>
      </c>
      <c r="AC233" s="597">
        <f t="shared" si="585"/>
        <v>782</v>
      </c>
      <c r="AD233" s="597">
        <f t="shared" ref="AD233:AE233" si="588">SUM(AD234:AD236)</f>
        <v>790</v>
      </c>
      <c r="AE233" s="597">
        <f t="shared" si="588"/>
        <v>799</v>
      </c>
      <c r="AF233" s="597">
        <f t="shared" si="585"/>
        <v>799</v>
      </c>
      <c r="AG233" s="597">
        <f t="shared" ref="AG233:AH233" si="589">SUM(AG234:AG236)</f>
        <v>807</v>
      </c>
      <c r="AH233" s="597">
        <f t="shared" si="589"/>
        <v>815</v>
      </c>
      <c r="AI233" s="597">
        <f t="shared" si="585"/>
        <v>815</v>
      </c>
      <c r="AJ233" s="597"/>
      <c r="AK233" s="597"/>
      <c r="AL233" s="597">
        <f t="shared" si="585"/>
        <v>828</v>
      </c>
      <c r="AM233" s="597"/>
      <c r="AN233" s="597"/>
      <c r="AO233" s="597">
        <f t="shared" si="585"/>
        <v>839</v>
      </c>
      <c r="AP233" s="597"/>
      <c r="AQ233" s="597"/>
      <c r="AR233" s="597">
        <f t="shared" si="585"/>
        <v>846</v>
      </c>
      <c r="AS233" s="597"/>
      <c r="AT233" s="597"/>
      <c r="AU233" s="597">
        <f t="shared" si="585"/>
        <v>850</v>
      </c>
      <c r="AV233" s="597"/>
      <c r="AW233" s="597"/>
      <c r="AX233" s="597">
        <f t="shared" ref="AX233" si="590">SUM(AX234:AX236)</f>
        <v>854</v>
      </c>
      <c r="AY233" s="597"/>
      <c r="AZ233" s="597"/>
      <c r="BA233" s="597">
        <f t="shared" ref="BA233:BD233" si="591">SUM(BA234:BA236)</f>
        <v>858</v>
      </c>
      <c r="BB233" s="597"/>
      <c r="BC233" s="597"/>
      <c r="BD233" s="597">
        <f t="shared" si="591"/>
        <v>862</v>
      </c>
      <c r="BE233" s="597"/>
      <c r="BF233" s="597"/>
      <c r="BG233" s="597">
        <f t="shared" ref="BG233:BJ233" si="592">SUM(BG234:BG236)</f>
        <v>866</v>
      </c>
      <c r="BH233" s="597"/>
      <c r="BI233" s="597"/>
      <c r="BJ233" s="597">
        <f t="shared" si="592"/>
        <v>870</v>
      </c>
    </row>
    <row r="234" spans="2:62" s="593" customFormat="1" hidden="1" outlineLevel="2">
      <c r="B234" s="595" t="s">
        <v>349</v>
      </c>
      <c r="C234" s="590"/>
      <c r="D234" s="590"/>
      <c r="E234" s="590"/>
      <c r="F234" s="590"/>
      <c r="G234" s="590"/>
      <c r="H234" s="590"/>
      <c r="I234" s="590"/>
      <c r="J234" s="590"/>
      <c r="K234" s="594"/>
      <c r="L234" s="597">
        <f>Divisionals!L67</f>
        <v>325</v>
      </c>
      <c r="M234" s="597">
        <f>Divisionals!M67</f>
        <v>326</v>
      </c>
      <c r="N234" s="597">
        <f>Divisionals!N67</f>
        <v>326</v>
      </c>
      <c r="O234" s="597">
        <f>Divisionals!O67</f>
        <v>327</v>
      </c>
      <c r="P234" s="597">
        <f>Divisionals!P67</f>
        <v>327</v>
      </c>
      <c r="Q234" s="597">
        <f>Divisionals!Q67</f>
        <v>327</v>
      </c>
      <c r="R234" s="597">
        <f>Divisionals!R67</f>
        <v>329</v>
      </c>
      <c r="S234" s="597">
        <f>Divisionals!S67</f>
        <v>329</v>
      </c>
      <c r="T234" s="597">
        <f>Divisionals!T67</f>
        <v>329</v>
      </c>
      <c r="U234" s="597">
        <f>Divisionals!U67</f>
        <v>330</v>
      </c>
      <c r="V234" s="597">
        <f>Divisionals!V67</f>
        <v>331</v>
      </c>
      <c r="W234" s="597">
        <f>Divisionals!W67</f>
        <v>331</v>
      </c>
      <c r="X234" s="597">
        <f>Divisionals!X67</f>
        <v>337</v>
      </c>
      <c r="Y234" s="597">
        <f>Divisionals!Y67</f>
        <v>341</v>
      </c>
      <c r="Z234" s="597">
        <f>Divisionals!Z67</f>
        <v>341</v>
      </c>
      <c r="AA234" s="597">
        <f>Divisionals!AA67</f>
        <v>348</v>
      </c>
      <c r="AB234" s="597">
        <f>Divisionals!AB67</f>
        <v>352</v>
      </c>
      <c r="AC234" s="597">
        <f>Divisionals!AC67</f>
        <v>352</v>
      </c>
      <c r="AD234" s="597">
        <f>Divisionals!AD67</f>
        <v>355</v>
      </c>
      <c r="AE234" s="597">
        <f>Divisionals!AE67</f>
        <v>359</v>
      </c>
      <c r="AF234" s="597">
        <f>Divisionals!AF67</f>
        <v>359</v>
      </c>
      <c r="AG234" s="597">
        <f>Divisionals!AG67</f>
        <v>363</v>
      </c>
      <c r="AH234" s="597">
        <f>Divisionals!AH67</f>
        <v>367</v>
      </c>
      <c r="AI234" s="597">
        <f>Divisionals!AI67</f>
        <v>367</v>
      </c>
      <c r="AJ234" s="597"/>
      <c r="AK234" s="597"/>
      <c r="AL234" s="597">
        <f>Divisionals!AL67</f>
        <v>375</v>
      </c>
      <c r="AM234" s="597"/>
      <c r="AN234" s="597"/>
      <c r="AO234" s="597">
        <f>Divisionals!AO67</f>
        <v>381</v>
      </c>
      <c r="AP234" s="597"/>
      <c r="AQ234" s="597"/>
      <c r="AR234" s="597">
        <f>Divisionals!AR67</f>
        <v>385</v>
      </c>
      <c r="AS234" s="597"/>
      <c r="AT234" s="597"/>
      <c r="AU234" s="597">
        <f>Divisionals!AU67</f>
        <v>386</v>
      </c>
      <c r="AV234" s="597"/>
      <c r="AW234" s="597"/>
      <c r="AX234" s="597">
        <f>Divisionals!AX67</f>
        <v>387</v>
      </c>
      <c r="AY234" s="597"/>
      <c r="AZ234" s="597"/>
      <c r="BA234" s="597">
        <f>Divisionals!BA67</f>
        <v>388</v>
      </c>
      <c r="BB234" s="597"/>
      <c r="BC234" s="597"/>
      <c r="BD234" s="597">
        <f>Divisionals!BD67</f>
        <v>389</v>
      </c>
      <c r="BE234" s="597"/>
      <c r="BF234" s="597"/>
      <c r="BG234" s="597">
        <f>Divisionals!BG67</f>
        <v>390</v>
      </c>
      <c r="BH234" s="597"/>
      <c r="BI234" s="597"/>
      <c r="BJ234" s="597">
        <f>Divisionals!BJ67</f>
        <v>391</v>
      </c>
    </row>
    <row r="235" spans="2:62" s="593" customFormat="1" hidden="1" outlineLevel="2">
      <c r="B235" s="595" t="s">
        <v>413</v>
      </c>
      <c r="C235" s="590"/>
      <c r="D235" s="590"/>
      <c r="E235" s="590"/>
      <c r="F235" s="590"/>
      <c r="G235" s="590"/>
      <c r="H235" s="590"/>
      <c r="I235" s="590"/>
      <c r="J235" s="590"/>
      <c r="K235" s="594"/>
      <c r="L235" s="597">
        <f>Divisionals!L178+Divisionals!L233</f>
        <v>212</v>
      </c>
      <c r="M235" s="597">
        <f>Divisionals!M178+Divisionals!M233</f>
        <v>211</v>
      </c>
      <c r="N235" s="597">
        <f>Divisionals!N178+Divisionals!N233</f>
        <v>211</v>
      </c>
      <c r="O235" s="597">
        <f>Divisionals!O178+Divisionals!O233</f>
        <v>213</v>
      </c>
      <c r="P235" s="597">
        <f>Divisionals!P178+Divisionals!P233</f>
        <v>216</v>
      </c>
      <c r="Q235" s="597">
        <f>Divisionals!Q178+Divisionals!Q233</f>
        <v>218</v>
      </c>
      <c r="R235" s="597">
        <f>Divisionals!R178+Divisionals!R233</f>
        <v>227</v>
      </c>
      <c r="S235" s="597">
        <f>Divisionals!S178+Divisionals!S233</f>
        <v>232</v>
      </c>
      <c r="T235" s="597">
        <f>Divisionals!T178+Divisionals!T233</f>
        <v>232</v>
      </c>
      <c r="U235" s="597">
        <f>Divisionals!U178+Divisionals!U233</f>
        <v>237</v>
      </c>
      <c r="V235" s="597">
        <f>Divisionals!V178+Divisionals!V233</f>
        <v>246</v>
      </c>
      <c r="W235" s="597">
        <f>Divisionals!W178+Divisionals!W233</f>
        <v>246</v>
      </c>
      <c r="X235" s="597">
        <f>Divisionals!X178+Divisionals!X233</f>
        <v>255</v>
      </c>
      <c r="Y235" s="597">
        <f>Divisionals!Y178+Divisionals!Y233</f>
        <v>259</v>
      </c>
      <c r="Z235" s="597">
        <f>Divisionals!Z178+Divisionals!Z233</f>
        <v>259</v>
      </c>
      <c r="AA235" s="597">
        <f>Divisionals!AA178+Divisionals!AA233</f>
        <v>263</v>
      </c>
      <c r="AB235" s="597">
        <f>Divisionals!AB178+Divisionals!AB233</f>
        <v>268</v>
      </c>
      <c r="AC235" s="597">
        <f>Divisionals!AC178+Divisionals!AC233</f>
        <v>268</v>
      </c>
      <c r="AD235" s="597">
        <f>Divisionals!AD178+Divisionals!AD233</f>
        <v>270</v>
      </c>
      <c r="AE235" s="597">
        <f>Divisionals!AE178+Divisionals!AE233</f>
        <v>272</v>
      </c>
      <c r="AF235" s="597">
        <f>Divisionals!AF178+Divisionals!AF233</f>
        <v>272</v>
      </c>
      <c r="AG235" s="597">
        <f>Divisionals!AG178+Divisionals!AG233</f>
        <v>275</v>
      </c>
      <c r="AH235" s="597">
        <f>Divisionals!AH178+Divisionals!AH233</f>
        <v>278</v>
      </c>
      <c r="AI235" s="597">
        <f>Divisionals!AI178+Divisionals!AI233</f>
        <v>278</v>
      </c>
      <c r="AJ235" s="597"/>
      <c r="AK235" s="597"/>
      <c r="AL235" s="597">
        <f>Divisionals!AL178+Divisionals!AL233</f>
        <v>281</v>
      </c>
      <c r="AM235" s="597"/>
      <c r="AN235" s="597"/>
      <c r="AO235" s="597">
        <f>Divisionals!AO178+Divisionals!AO233</f>
        <v>284</v>
      </c>
      <c r="AP235" s="597"/>
      <c r="AQ235" s="597"/>
      <c r="AR235" s="597">
        <f>Divisionals!AR178+Divisionals!AR233</f>
        <v>285</v>
      </c>
      <c r="AS235" s="597"/>
      <c r="AT235" s="597"/>
      <c r="AU235" s="597">
        <f>Divisionals!AU178+Divisionals!AU233</f>
        <v>286</v>
      </c>
      <c r="AV235" s="597"/>
      <c r="AW235" s="597"/>
      <c r="AX235" s="597">
        <f>Divisionals!AX178+Divisionals!AX233</f>
        <v>287</v>
      </c>
      <c r="AY235" s="597"/>
      <c r="AZ235" s="597"/>
      <c r="BA235" s="597">
        <f>Divisionals!BA178+Divisionals!BA233</f>
        <v>288</v>
      </c>
      <c r="BB235" s="597"/>
      <c r="BC235" s="597"/>
      <c r="BD235" s="597">
        <f>Divisionals!BD178+Divisionals!BD233</f>
        <v>289</v>
      </c>
      <c r="BE235" s="597"/>
      <c r="BF235" s="597"/>
      <c r="BG235" s="597">
        <f>Divisionals!BG178+Divisionals!BG233</f>
        <v>290</v>
      </c>
      <c r="BH235" s="597"/>
      <c r="BI235" s="597"/>
      <c r="BJ235" s="597">
        <f>Divisionals!BJ178+Divisionals!BJ233</f>
        <v>291</v>
      </c>
    </row>
    <row r="236" spans="2:62" s="593" customFormat="1" hidden="1" outlineLevel="2">
      <c r="B236" s="595" t="s">
        <v>414</v>
      </c>
      <c r="C236" s="590"/>
      <c r="D236" s="590"/>
      <c r="E236" s="590"/>
      <c r="F236" s="590"/>
      <c r="G236" s="590"/>
      <c r="H236" s="590"/>
      <c r="I236" s="590"/>
      <c r="J236" s="590"/>
      <c r="K236" s="594"/>
      <c r="L236" s="597">
        <f>Divisionals!L344</f>
        <v>160</v>
      </c>
      <c r="M236" s="597">
        <f>Divisionals!M344</f>
        <v>160</v>
      </c>
      <c r="N236" s="597">
        <f>Divisionals!N344</f>
        <v>160</v>
      </c>
      <c r="O236" s="597">
        <f>Divisionals!O344</f>
        <v>157</v>
      </c>
      <c r="P236" s="597">
        <f>Divisionals!P344</f>
        <v>153</v>
      </c>
      <c r="Q236" s="597">
        <f>Divisionals!Q344</f>
        <v>153</v>
      </c>
      <c r="R236" s="597">
        <f>Divisionals!R344</f>
        <v>154</v>
      </c>
      <c r="S236" s="597">
        <f>Divisionals!S344</f>
        <v>155</v>
      </c>
      <c r="T236" s="597">
        <f>Divisionals!T344</f>
        <v>155</v>
      </c>
      <c r="U236" s="597">
        <f>Divisionals!U344</f>
        <v>155</v>
      </c>
      <c r="V236" s="597">
        <f>Divisionals!V344</f>
        <v>159</v>
      </c>
      <c r="W236" s="597">
        <f>Divisionals!W344</f>
        <v>159</v>
      </c>
      <c r="X236" s="597">
        <f>Divisionals!X344</f>
        <v>159</v>
      </c>
      <c r="Y236" s="597">
        <f>Divisionals!Y344</f>
        <v>159</v>
      </c>
      <c r="Z236" s="597">
        <f>Divisionals!Z344</f>
        <v>159</v>
      </c>
      <c r="AA236" s="597">
        <f>Divisionals!AA344</f>
        <v>163</v>
      </c>
      <c r="AB236" s="597">
        <f>Divisionals!AB344</f>
        <v>162</v>
      </c>
      <c r="AC236" s="597">
        <f>Divisionals!AC344</f>
        <v>162</v>
      </c>
      <c r="AD236" s="597">
        <f>Divisionals!AD344</f>
        <v>165</v>
      </c>
      <c r="AE236" s="597">
        <f>Divisionals!AE344</f>
        <v>168</v>
      </c>
      <c r="AF236" s="597">
        <f>Divisionals!AF344</f>
        <v>168</v>
      </c>
      <c r="AG236" s="597">
        <f>Divisionals!AG344</f>
        <v>169</v>
      </c>
      <c r="AH236" s="597">
        <f>Divisionals!AH344</f>
        <v>170</v>
      </c>
      <c r="AI236" s="597">
        <f>Divisionals!AI344</f>
        <v>170</v>
      </c>
      <c r="AJ236" s="597"/>
      <c r="AK236" s="597"/>
      <c r="AL236" s="597">
        <f>Divisionals!AL344</f>
        <v>172</v>
      </c>
      <c r="AM236" s="597"/>
      <c r="AN236" s="597"/>
      <c r="AO236" s="597">
        <f>Divisionals!AO344</f>
        <v>174</v>
      </c>
      <c r="AP236" s="597"/>
      <c r="AQ236" s="597"/>
      <c r="AR236" s="597">
        <f>Divisionals!AR344</f>
        <v>176</v>
      </c>
      <c r="AS236" s="597"/>
      <c r="AT236" s="597"/>
      <c r="AU236" s="597">
        <f>Divisionals!AU344</f>
        <v>178</v>
      </c>
      <c r="AV236" s="597"/>
      <c r="AW236" s="597"/>
      <c r="AX236" s="597">
        <f>Divisionals!AX344</f>
        <v>180</v>
      </c>
      <c r="AY236" s="597"/>
      <c r="AZ236" s="597"/>
      <c r="BA236" s="597">
        <f>Divisionals!BA344</f>
        <v>182</v>
      </c>
      <c r="BB236" s="597"/>
      <c r="BC236" s="597"/>
      <c r="BD236" s="597">
        <f>Divisionals!BD344</f>
        <v>184</v>
      </c>
      <c r="BE236" s="597"/>
      <c r="BF236" s="597"/>
      <c r="BG236" s="597">
        <f>Divisionals!BG344</f>
        <v>186</v>
      </c>
      <c r="BH236" s="597"/>
      <c r="BI236" s="597"/>
      <c r="BJ236" s="597">
        <f>Divisionals!BJ344</f>
        <v>188</v>
      </c>
    </row>
    <row r="237" spans="2:62" s="593" customFormat="1" hidden="1" outlineLevel="2">
      <c r="B237" s="596"/>
      <c r="C237" s="590"/>
      <c r="D237" s="590"/>
      <c r="E237" s="590"/>
      <c r="F237" s="590"/>
      <c r="G237" s="590"/>
      <c r="H237" s="590"/>
      <c r="I237" s="590"/>
      <c r="J237" s="590"/>
      <c r="K237" s="594"/>
      <c r="L237" s="590"/>
      <c r="M237" s="590"/>
      <c r="N237" s="590"/>
      <c r="O237" s="590"/>
      <c r="P237" s="590"/>
      <c r="Q237" s="590"/>
      <c r="R237" s="590"/>
      <c r="S237" s="590"/>
      <c r="T237" s="590"/>
      <c r="U237" s="590"/>
      <c r="V237" s="590"/>
      <c r="W237" s="590"/>
      <c r="X237" s="590"/>
      <c r="Y237" s="590"/>
      <c r="Z237" s="590"/>
      <c r="AA237" s="590"/>
      <c r="AB237" s="590"/>
      <c r="AC237" s="590"/>
      <c r="AD237" s="590"/>
      <c r="AE237" s="590"/>
      <c r="AF237" s="590"/>
      <c r="AG237" s="590"/>
      <c r="AH237" s="590"/>
      <c r="AI237" s="590"/>
      <c r="AJ237" s="590"/>
      <c r="AK237" s="590"/>
      <c r="AL237" s="590"/>
      <c r="AM237" s="590"/>
      <c r="AN237" s="590"/>
      <c r="AO237" s="590"/>
      <c r="AP237" s="590"/>
      <c r="AQ237" s="590"/>
      <c r="AR237" s="590"/>
      <c r="AS237" s="590"/>
      <c r="AT237" s="590"/>
      <c r="AU237" s="590"/>
      <c r="AV237" s="590"/>
      <c r="AW237" s="590"/>
      <c r="AX237" s="590"/>
      <c r="AY237" s="590"/>
      <c r="AZ237" s="590"/>
      <c r="BA237" s="590"/>
      <c r="BB237" s="590"/>
      <c r="BC237" s="590"/>
      <c r="BD237" s="590"/>
      <c r="BE237" s="590"/>
      <c r="BF237" s="590"/>
      <c r="BG237" s="590"/>
      <c r="BH237" s="590"/>
      <c r="BI237" s="590"/>
      <c r="BJ237" s="590"/>
    </row>
    <row r="238" spans="2:62" s="593" customFormat="1" hidden="1" outlineLevel="2">
      <c r="B238" s="596" t="s">
        <v>569</v>
      </c>
      <c r="C238" s="590"/>
      <c r="D238" s="590"/>
      <c r="E238" s="590"/>
      <c r="F238" s="590"/>
      <c r="G238" s="590"/>
      <c r="H238" s="590"/>
      <c r="I238" s="590"/>
      <c r="J238" s="590"/>
      <c r="K238" s="594"/>
      <c r="L238" s="590"/>
      <c r="M238" s="590"/>
      <c r="N238" s="590"/>
      <c r="O238" s="598">
        <f t="shared" ref="O238:W238" si="593">O233/L233-1</f>
        <v>0</v>
      </c>
      <c r="P238" s="598">
        <f t="shared" si="593"/>
        <v>-1.4347202295552641E-3</v>
      </c>
      <c r="Q238" s="598">
        <f t="shared" si="593"/>
        <v>1.4347202295552641E-3</v>
      </c>
      <c r="R238" s="598">
        <f t="shared" si="593"/>
        <v>1.865136298421799E-2</v>
      </c>
      <c r="S238" s="598">
        <f t="shared" si="593"/>
        <v>2.8735632183908066E-2</v>
      </c>
      <c r="T238" s="598">
        <f t="shared" si="593"/>
        <v>2.5787965616045794E-2</v>
      </c>
      <c r="U238" s="598">
        <f t="shared" si="593"/>
        <v>1.6901408450704203E-2</v>
      </c>
      <c r="V238" s="598">
        <f t="shared" si="593"/>
        <v>2.7932960893854775E-2</v>
      </c>
      <c r="W238" s="598">
        <f t="shared" si="593"/>
        <v>2.7932960893854775E-2</v>
      </c>
      <c r="X238" s="598">
        <f t="shared" ref="X238" si="594">X233/U233-1</f>
        <v>4.0166204986149534E-2</v>
      </c>
      <c r="Y238" s="598">
        <f t="shared" ref="Y238" si="595">Y233/V233-1</f>
        <v>3.125E-2</v>
      </c>
      <c r="Z238" s="598">
        <f>Z233/W233-1</f>
        <v>3.125E-2</v>
      </c>
      <c r="AA238" s="598">
        <f t="shared" ref="AA238:AB238" si="596">AA233/X233-1</f>
        <v>3.0625832223701632E-2</v>
      </c>
      <c r="AB238" s="598">
        <f t="shared" si="596"/>
        <v>3.0303030303030276E-2</v>
      </c>
      <c r="AC238" s="598">
        <f>AC233/Z233-1</f>
        <v>3.0303030303030276E-2</v>
      </c>
      <c r="AD238" s="598">
        <f t="shared" ref="AD238" si="597">AD233/AA233-1</f>
        <v>2.067183462532296E-2</v>
      </c>
      <c r="AE238" s="598">
        <f t="shared" ref="AE238" si="598">AE233/AB233-1</f>
        <v>2.1739130434782705E-2</v>
      </c>
      <c r="AF238" s="598">
        <f>AF233/AC233-1</f>
        <v>2.1739130434782705E-2</v>
      </c>
      <c r="AG238" s="598">
        <f t="shared" ref="AG238" si="599">AG233/AD233-1</f>
        <v>2.1518987341772045E-2</v>
      </c>
      <c r="AH238" s="598">
        <f t="shared" ref="AH238" si="600">AH233/AE233-1</f>
        <v>2.0025031289111483E-2</v>
      </c>
      <c r="AI238" s="598">
        <f>AI233/AF233-1</f>
        <v>2.0025031289111483E-2</v>
      </c>
      <c r="AJ238" s="598"/>
      <c r="AK238" s="598"/>
      <c r="AL238" s="598">
        <f>AL233/AI233-1</f>
        <v>1.5950920245398681E-2</v>
      </c>
      <c r="AM238" s="598"/>
      <c r="AN238" s="598"/>
      <c r="AO238" s="598">
        <f>AO233/AL233-1</f>
        <v>1.3285024154589431E-2</v>
      </c>
      <c r="AP238" s="598"/>
      <c r="AQ238" s="598"/>
      <c r="AR238" s="598">
        <f>AR233/AO233-1</f>
        <v>8.3432657926103548E-3</v>
      </c>
      <c r="AS238" s="598"/>
      <c r="AT238" s="598"/>
      <c r="AU238" s="598">
        <f>AU233/AR233-1</f>
        <v>4.7281323877068626E-3</v>
      </c>
      <c r="AV238" s="598"/>
      <c r="AW238" s="598"/>
      <c r="AX238" s="598">
        <f>AX233/AU233-1</f>
        <v>4.7058823529411153E-3</v>
      </c>
      <c r="AY238" s="598"/>
      <c r="AZ238" s="598"/>
      <c r="BA238" s="598">
        <f>BA233/AX233-1</f>
        <v>4.6838407494145251E-3</v>
      </c>
      <c r="BB238" s="598"/>
      <c r="BC238" s="598"/>
      <c r="BD238" s="598">
        <f>BD233/BA233-1</f>
        <v>4.6620046620047262E-3</v>
      </c>
      <c r="BE238" s="598"/>
      <c r="BF238" s="598"/>
      <c r="BG238" s="598">
        <f>BG233/BD233-1</f>
        <v>4.6403712296982924E-3</v>
      </c>
      <c r="BH238" s="598"/>
      <c r="BI238" s="598"/>
      <c r="BJ238" s="598">
        <f t="shared" ref="BJ238" si="601">BJ233/BG233-1</f>
        <v>4.6189376443417363E-3</v>
      </c>
    </row>
    <row r="239" spans="2:62" s="593" customFormat="1" hidden="1" outlineLevel="2">
      <c r="C239" s="590"/>
      <c r="D239" s="590"/>
      <c r="E239" s="590"/>
      <c r="F239" s="590"/>
      <c r="G239" s="590"/>
      <c r="H239" s="590"/>
      <c r="I239" s="590"/>
      <c r="J239" s="590"/>
      <c r="K239" s="594"/>
      <c r="L239" s="590"/>
      <c r="M239" s="590"/>
      <c r="N239" s="590"/>
      <c r="O239" s="590"/>
      <c r="P239" s="590"/>
      <c r="Q239" s="590"/>
      <c r="R239" s="590"/>
      <c r="S239" s="590"/>
      <c r="T239" s="590"/>
      <c r="U239" s="590"/>
      <c r="V239" s="590"/>
      <c r="W239" s="590"/>
      <c r="X239" s="590"/>
      <c r="Y239" s="590"/>
      <c r="Z239" s="590"/>
      <c r="AA239" s="590"/>
      <c r="AB239" s="590"/>
      <c r="AC239" s="590"/>
      <c r="AD239" s="590"/>
      <c r="AE239" s="590"/>
      <c r="AF239" s="590"/>
      <c r="AG239" s="590"/>
      <c r="AH239" s="590"/>
      <c r="AI239" s="590"/>
      <c r="AJ239" s="590"/>
      <c r="AK239" s="590"/>
      <c r="AL239" s="590"/>
      <c r="AM239" s="590"/>
      <c r="AN239" s="590"/>
      <c r="AO239" s="590"/>
      <c r="AP239" s="590"/>
      <c r="AQ239" s="590"/>
      <c r="AR239" s="590"/>
      <c r="AS239" s="590"/>
      <c r="AT239" s="590"/>
      <c r="AU239" s="590"/>
      <c r="AV239" s="590"/>
      <c r="AW239" s="590"/>
      <c r="AX239" s="590"/>
      <c r="AY239" s="590"/>
      <c r="AZ239" s="590"/>
      <c r="BA239" s="590"/>
      <c r="BB239" s="590"/>
      <c r="BC239" s="590"/>
      <c r="BD239" s="590"/>
      <c r="BE239" s="590"/>
      <c r="BF239" s="590"/>
      <c r="BG239" s="590"/>
      <c r="BH239" s="590"/>
      <c r="BI239" s="590"/>
      <c r="BJ239" s="590"/>
    </row>
    <row r="240" spans="2:62" s="593" customFormat="1" hidden="1" outlineLevel="2">
      <c r="B240" s="599" t="s">
        <v>590</v>
      </c>
      <c r="C240" s="590"/>
      <c r="D240" s="590"/>
      <c r="E240" s="590"/>
      <c r="F240" s="590"/>
      <c r="G240" s="590"/>
      <c r="H240" s="590"/>
      <c r="I240" s="590"/>
      <c r="J240" s="590"/>
      <c r="K240" s="594"/>
      <c r="L240" s="590"/>
      <c r="M240" s="590"/>
      <c r="N240" s="590"/>
      <c r="O240" s="590"/>
      <c r="P240" s="590"/>
      <c r="Q240" s="590"/>
      <c r="R240" s="590"/>
      <c r="S240" s="590"/>
      <c r="T240" s="590"/>
      <c r="U240" s="590"/>
      <c r="V240" s="590"/>
      <c r="W240" s="590"/>
      <c r="X240" s="590"/>
      <c r="Y240" s="590"/>
      <c r="Z240" s="590"/>
      <c r="AA240" s="590"/>
      <c r="AB240" s="590"/>
      <c r="AC240" s="590"/>
      <c r="AD240" s="590"/>
      <c r="AE240" s="590"/>
      <c r="AF240" s="590"/>
      <c r="AG240" s="590"/>
      <c r="AH240" s="590"/>
      <c r="AI240" s="590"/>
      <c r="AJ240" s="590"/>
      <c r="AK240" s="590"/>
      <c r="AL240" s="590"/>
      <c r="AM240" s="590"/>
      <c r="AN240" s="590"/>
      <c r="AO240" s="590"/>
      <c r="AP240" s="590"/>
      <c r="AQ240" s="590"/>
      <c r="AR240" s="590"/>
      <c r="AS240" s="590"/>
      <c r="AT240" s="590"/>
      <c r="AU240" s="590"/>
      <c r="AV240" s="590"/>
      <c r="AW240" s="590"/>
      <c r="AX240" s="590"/>
      <c r="AY240" s="590"/>
      <c r="AZ240" s="590"/>
      <c r="BA240" s="590"/>
      <c r="BB240" s="590"/>
      <c r="BC240" s="590"/>
      <c r="BD240" s="590"/>
      <c r="BE240" s="590"/>
      <c r="BF240" s="590"/>
      <c r="BG240" s="590"/>
      <c r="BH240" s="590"/>
      <c r="BI240" s="590"/>
      <c r="BJ240" s="590"/>
    </row>
    <row r="241" spans="2:62" s="593" customFormat="1" hidden="1" outlineLevel="2">
      <c r="B241" s="600" t="s">
        <v>591</v>
      </c>
      <c r="C241" s="590"/>
      <c r="D241" s="590"/>
      <c r="E241" s="590"/>
      <c r="F241" s="590"/>
      <c r="G241" s="590"/>
      <c r="H241" s="590"/>
      <c r="I241" s="590"/>
      <c r="J241" s="590"/>
      <c r="K241" s="594"/>
      <c r="L241" s="592">
        <f>K244</f>
        <v>843.4</v>
      </c>
      <c r="M241" s="592">
        <f>L244</f>
        <v>847.6</v>
      </c>
      <c r="N241" s="592">
        <f>K244</f>
        <v>843.4</v>
      </c>
      <c r="O241" s="592">
        <f>N244</f>
        <v>848</v>
      </c>
      <c r="P241" s="592">
        <f>O244</f>
        <v>792.9</v>
      </c>
      <c r="Q241" s="592">
        <f>N244</f>
        <v>848</v>
      </c>
      <c r="R241" s="592">
        <f>Q244</f>
        <v>894.3</v>
      </c>
      <c r="S241" s="592">
        <f>R244</f>
        <v>913.1</v>
      </c>
      <c r="T241" s="592">
        <f>Q244</f>
        <v>894.3</v>
      </c>
      <c r="U241" s="592">
        <f>T244</f>
        <v>902.01604386245072</v>
      </c>
      <c r="V241" s="592">
        <f>U244</f>
        <v>906.16914567945958</v>
      </c>
      <c r="W241" s="592">
        <f>T244</f>
        <v>902.01604386245072</v>
      </c>
      <c r="X241" s="592">
        <f>W244</f>
        <v>910.85159237730215</v>
      </c>
      <c r="Y241" s="592">
        <f>X244</f>
        <v>914.53924187100029</v>
      </c>
      <c r="Z241" s="592">
        <f>W244</f>
        <v>910.85159237730215</v>
      </c>
      <c r="AA241" s="592">
        <f>Z244</f>
        <v>919.7275086553816</v>
      </c>
      <c r="AB241" s="592">
        <f>AA244</f>
        <v>923.07063122019929</v>
      </c>
      <c r="AC241" s="592">
        <f>Z244</f>
        <v>919.7275086553816</v>
      </c>
      <c r="AD241" s="592">
        <f>AC244</f>
        <v>929.0425573938038</v>
      </c>
      <c r="AE241" s="592">
        <f>AD244</f>
        <v>932.00256501397723</v>
      </c>
      <c r="AF241" s="592">
        <f>AC244</f>
        <v>929.0425573938038</v>
      </c>
      <c r="AG241" s="592">
        <f>AF244</f>
        <v>938.82201507818172</v>
      </c>
      <c r="AH241" s="592">
        <f>AG244</f>
        <v>941.37211371485773</v>
      </c>
      <c r="AI241" s="592">
        <f>AF244</f>
        <v>938.82201507818172</v>
      </c>
      <c r="AJ241" s="592"/>
      <c r="AK241" s="592"/>
      <c r="AL241" s="592">
        <f>AI244</f>
        <v>949.10018172283208</v>
      </c>
      <c r="AM241" s="592"/>
      <c r="AN241" s="592"/>
      <c r="AO241" s="592">
        <f>AL244</f>
        <v>959.86896058107766</v>
      </c>
      <c r="AP241" s="592"/>
      <c r="AQ241" s="592"/>
      <c r="AR241" s="592">
        <f>AO244</f>
        <v>971.11946418710716</v>
      </c>
      <c r="AS241" s="592"/>
      <c r="AT241" s="592"/>
      <c r="AU241" s="592">
        <f>AR244</f>
        <v>982.83250428796487</v>
      </c>
      <c r="AV241" s="592"/>
      <c r="AW241" s="592"/>
      <c r="AX241" s="592">
        <f>AU244</f>
        <v>994.98034729714345</v>
      </c>
      <c r="AY241" s="592"/>
      <c r="AZ241" s="592"/>
      <c r="BA241" s="592">
        <f>AX244</f>
        <v>1007.5296746333973</v>
      </c>
      <c r="BB241" s="592"/>
      <c r="BC241" s="592"/>
      <c r="BD241" s="592">
        <f>BA244</f>
        <v>1020.4939493150312</v>
      </c>
      <c r="BE241" s="592"/>
      <c r="BF241" s="592"/>
      <c r="BG241" s="592">
        <f>BD244</f>
        <v>1033.8870898134633</v>
      </c>
      <c r="BH241" s="592"/>
      <c r="BI241" s="592"/>
      <c r="BJ241" s="592">
        <f t="shared" ref="BJ241" si="602">BG244</f>
        <v>1047.7234855179527</v>
      </c>
    </row>
    <row r="242" spans="2:62" s="593" customFormat="1" hidden="1" outlineLevel="2">
      <c r="B242" s="600" t="s">
        <v>103</v>
      </c>
      <c r="C242" s="590"/>
      <c r="D242" s="590"/>
      <c r="E242" s="590"/>
      <c r="F242" s="590"/>
      <c r="G242" s="590"/>
      <c r="H242" s="590"/>
      <c r="I242" s="590"/>
      <c r="J242" s="590"/>
      <c r="K242" s="594"/>
      <c r="L242" s="592">
        <f t="shared" ref="L242:AU242" si="603">-L220</f>
        <v>86.800000000000011</v>
      </c>
      <c r="M242" s="592">
        <f t="shared" si="603"/>
        <v>89.400000000000034</v>
      </c>
      <c r="N242" s="592">
        <f t="shared" si="603"/>
        <v>176.20000000000005</v>
      </c>
      <c r="O242" s="592">
        <f t="shared" si="603"/>
        <v>90.80000000000004</v>
      </c>
      <c r="P242" s="592">
        <f t="shared" si="603"/>
        <v>94.5</v>
      </c>
      <c r="Q242" s="592">
        <f t="shared" si="603"/>
        <v>185.30000000000004</v>
      </c>
      <c r="R242" s="592">
        <f t="shared" si="603"/>
        <v>98.69999999999996</v>
      </c>
      <c r="S242" s="592">
        <f t="shared" si="603"/>
        <v>107.19999999999996</v>
      </c>
      <c r="T242" s="592">
        <f t="shared" si="603"/>
        <v>205.89999999999992</v>
      </c>
      <c r="U242" s="592">
        <f t="shared" si="603"/>
        <v>104.39999999999999</v>
      </c>
      <c r="V242" s="592">
        <f t="shared" si="603"/>
        <v>131.37360000000001</v>
      </c>
      <c r="W242" s="592">
        <f t="shared" si="603"/>
        <v>235.77360000000002</v>
      </c>
      <c r="X242" s="592">
        <f t="shared" ref="X242:Y242" si="604">-X220</f>
        <v>92.699534975369431</v>
      </c>
      <c r="Y242" s="592">
        <f t="shared" si="604"/>
        <v>144.15126502463056</v>
      </c>
      <c r="Z242" s="592">
        <f t="shared" si="603"/>
        <v>236.85079999999999</v>
      </c>
      <c r="AA242" s="592">
        <f t="shared" si="603"/>
        <v>84.03887290640391</v>
      </c>
      <c r="AB242" s="592">
        <f t="shared" si="603"/>
        <v>164.53002709359612</v>
      </c>
      <c r="AC242" s="592">
        <f t="shared" si="603"/>
        <v>248.56890000000001</v>
      </c>
      <c r="AD242" s="592">
        <f t="shared" ref="AD242:AE242" si="605">-AD220</f>
        <v>74.408191554685601</v>
      </c>
      <c r="AE242" s="592">
        <f t="shared" si="605"/>
        <v>186.55330284691368</v>
      </c>
      <c r="AF242" s="592">
        <f t="shared" si="603"/>
        <v>260.96149440159928</v>
      </c>
      <c r="AG242" s="592">
        <f t="shared" si="603"/>
        <v>64.10396599925339</v>
      </c>
      <c r="AH242" s="592">
        <f t="shared" si="603"/>
        <v>210.16540699279921</v>
      </c>
      <c r="AI242" s="592">
        <f t="shared" si="603"/>
        <v>274.26937299205258</v>
      </c>
      <c r="AJ242" s="592"/>
      <c r="AK242" s="592"/>
      <c r="AL242" s="592">
        <f t="shared" si="603"/>
        <v>287.36119265767201</v>
      </c>
      <c r="AM242" s="592"/>
      <c r="AN242" s="592"/>
      <c r="AO242" s="592">
        <f t="shared" si="603"/>
        <v>300.21585332794274</v>
      </c>
      <c r="AP242" s="592"/>
      <c r="AQ242" s="592"/>
      <c r="AR242" s="592">
        <f t="shared" si="603"/>
        <v>312.55848200953238</v>
      </c>
      <c r="AS242" s="592"/>
      <c r="AT242" s="592"/>
      <c r="AU242" s="592">
        <f t="shared" si="603"/>
        <v>324.1610493898134</v>
      </c>
      <c r="AV242" s="592"/>
      <c r="AW242" s="592"/>
      <c r="AX242" s="592">
        <f t="shared" ref="AX242" si="606">-AX220</f>
        <v>334.87452178815863</v>
      </c>
      <c r="AY242" s="592"/>
      <c r="AZ242" s="592"/>
      <c r="BA242" s="592">
        <f t="shared" ref="BA242:BD242" si="607">-BA220</f>
        <v>345.94725024030259</v>
      </c>
      <c r="BB242" s="592"/>
      <c r="BC242" s="592"/>
      <c r="BD242" s="592">
        <f t="shared" si="607"/>
        <v>357.39138835731205</v>
      </c>
      <c r="BE242" s="592"/>
      <c r="BF242" s="592"/>
      <c r="BG242" s="592">
        <f t="shared" ref="BG242:BJ242" si="608">-BG220</f>
        <v>369.21950242121852</v>
      </c>
      <c r="BH242" s="592"/>
      <c r="BI242" s="592"/>
      <c r="BJ242" s="592">
        <f t="shared" si="608"/>
        <v>381.44458540165073</v>
      </c>
    </row>
    <row r="243" spans="2:62" s="593" customFormat="1" hidden="1" outlineLevel="2">
      <c r="B243" s="600" t="s">
        <v>592</v>
      </c>
      <c r="C243" s="590"/>
      <c r="D243" s="590"/>
      <c r="E243" s="590"/>
      <c r="F243" s="590"/>
      <c r="G243" s="590"/>
      <c r="H243" s="590"/>
      <c r="I243" s="590"/>
      <c r="J243" s="590"/>
      <c r="K243" s="594"/>
      <c r="L243" s="592">
        <f>L244-SUM(L241:L242)</f>
        <v>-82.600000000000023</v>
      </c>
      <c r="M243" s="592">
        <f>N243-L243</f>
        <v>-89</v>
      </c>
      <c r="N243" s="592">
        <f>N244-SUM(N241:N242)</f>
        <v>-171.60000000000002</v>
      </c>
      <c r="O243" s="592">
        <f>O244-SUM(O241:O242)</f>
        <v>-145.90000000000009</v>
      </c>
      <c r="P243" s="592">
        <f>Q243-O243</f>
        <v>6.9000000000000909</v>
      </c>
      <c r="Q243" s="592">
        <f>Q244-SUM(Q241:Q242)</f>
        <v>-139</v>
      </c>
      <c r="R243" s="592">
        <f>R244-SUM(R241:R242)</f>
        <v>-79.899999999999864</v>
      </c>
      <c r="S243" s="592">
        <f>T243-R243</f>
        <v>-118.2839561375493</v>
      </c>
      <c r="T243" s="592">
        <f>-T242*(1+T253)</f>
        <v>-198.18395613754916</v>
      </c>
      <c r="U243" s="592">
        <f>-U242*(1+U253)</f>
        <v>-100.24689818299107</v>
      </c>
      <c r="V243" s="592">
        <f>W243-U243</f>
        <v>-126.69115330215747</v>
      </c>
      <c r="W243" s="592">
        <f t="shared" ref="W243:AU243" si="609">-W242*(1+W253)</f>
        <v>-226.93805148514855</v>
      </c>
      <c r="X243" s="592">
        <f>-X242*(1+X253)</f>
        <v>-89.011885481671257</v>
      </c>
      <c r="Y243" s="592">
        <f>Z243-X243</f>
        <v>-138.96299824024931</v>
      </c>
      <c r="Z243" s="592">
        <f t="shared" si="609"/>
        <v>-227.97488372192058</v>
      </c>
      <c r="AA243" s="592">
        <f>-AA242*(1+AA253)</f>
        <v>-80.695750341586205</v>
      </c>
      <c r="AB243" s="592">
        <f>AC243-AA243</f>
        <v>-158.55810091999157</v>
      </c>
      <c r="AC243" s="592">
        <f t="shared" si="609"/>
        <v>-239.25385126157778</v>
      </c>
      <c r="AD243" s="592">
        <f>-AD242*(1+AD253)</f>
        <v>-71.448183934512102</v>
      </c>
      <c r="AE243" s="592">
        <f>AF243-AD243</f>
        <v>-179.73385278270916</v>
      </c>
      <c r="AF243" s="592">
        <f t="shared" si="609"/>
        <v>-251.18203671722125</v>
      </c>
      <c r="AG243" s="592">
        <f>-AG242*(1+AG253)</f>
        <v>-61.553867362577364</v>
      </c>
      <c r="AH243" s="592">
        <f>AI243-AG243</f>
        <v>-202.43733898482469</v>
      </c>
      <c r="AI243" s="592">
        <f t="shared" si="609"/>
        <v>-263.99120634740206</v>
      </c>
      <c r="AJ243" s="592"/>
      <c r="AK243" s="592"/>
      <c r="AL243" s="592">
        <f t="shared" si="609"/>
        <v>-276.59241379942648</v>
      </c>
      <c r="AM243" s="592"/>
      <c r="AN243" s="592"/>
      <c r="AO243" s="592">
        <f t="shared" si="609"/>
        <v>-288.96534972191319</v>
      </c>
      <c r="AP243" s="592"/>
      <c r="AQ243" s="592"/>
      <c r="AR243" s="592">
        <f t="shared" si="609"/>
        <v>-300.84544190867479</v>
      </c>
      <c r="AS243" s="592"/>
      <c r="AT243" s="592"/>
      <c r="AU243" s="592">
        <f t="shared" si="609"/>
        <v>-312.01320638063481</v>
      </c>
      <c r="AV243" s="592"/>
      <c r="AW243" s="592"/>
      <c r="AX243" s="592">
        <f t="shared" ref="AX243" si="610">-AX242*(1+AX253)</f>
        <v>-322.32519445190485</v>
      </c>
      <c r="AY243" s="592"/>
      <c r="AZ243" s="592"/>
      <c r="BA243" s="592">
        <f t="shared" ref="BA243:BD243" si="611">-BA242*(1+BA253)</f>
        <v>-332.98297555866878</v>
      </c>
      <c r="BB243" s="592"/>
      <c r="BC243" s="592"/>
      <c r="BD243" s="592">
        <f t="shared" si="611"/>
        <v>-343.99824785887984</v>
      </c>
      <c r="BE243" s="592"/>
      <c r="BF243" s="592"/>
      <c r="BG243" s="592">
        <f t="shared" ref="BG243:BJ243" si="612">-BG242*(1+BG253)</f>
        <v>-355.38310671672912</v>
      </c>
      <c r="BH243" s="592"/>
      <c r="BI243" s="592"/>
      <c r="BJ243" s="592">
        <f t="shared" si="612"/>
        <v>-367.15005819400875</v>
      </c>
    </row>
    <row r="244" spans="2:62" s="593" customFormat="1" hidden="1" outlineLevel="2">
      <c r="B244" s="600" t="s">
        <v>593</v>
      </c>
      <c r="C244" s="590"/>
      <c r="D244" s="590"/>
      <c r="E244" s="590"/>
      <c r="F244" s="590"/>
      <c r="G244" s="590"/>
      <c r="H244" s="590"/>
      <c r="I244" s="590"/>
      <c r="J244" s="590"/>
      <c r="K244" s="591">
        <f>K223</f>
        <v>843.4</v>
      </c>
      <c r="L244" s="592">
        <f>L160</f>
        <v>847.6</v>
      </c>
      <c r="M244" s="592">
        <f>SUM(M241:M243)</f>
        <v>848</v>
      </c>
      <c r="N244" s="592">
        <f>N160</f>
        <v>848</v>
      </c>
      <c r="O244" s="592">
        <f>O160</f>
        <v>792.9</v>
      </c>
      <c r="P244" s="592">
        <f>SUM(P241:P243)</f>
        <v>894.30000000000007</v>
      </c>
      <c r="Q244" s="592">
        <f>Q160</f>
        <v>894.3</v>
      </c>
      <c r="R244" s="592">
        <f>R160</f>
        <v>913.1</v>
      </c>
      <c r="S244" s="592">
        <f t="shared" ref="S244:AU244" si="613">SUM(S241:S243)</f>
        <v>902.01604386245072</v>
      </c>
      <c r="T244" s="592">
        <f t="shared" si="613"/>
        <v>902.01604386245072</v>
      </c>
      <c r="U244" s="592">
        <f t="shared" si="613"/>
        <v>906.16914567945958</v>
      </c>
      <c r="V244" s="592">
        <f t="shared" si="613"/>
        <v>910.85159237730215</v>
      </c>
      <c r="W244" s="592">
        <f t="shared" si="613"/>
        <v>910.85159237730215</v>
      </c>
      <c r="X244" s="592">
        <f t="shared" ref="X244:Y244" si="614">SUM(X241:X243)</f>
        <v>914.53924187100029</v>
      </c>
      <c r="Y244" s="592">
        <f t="shared" si="614"/>
        <v>919.72750865538137</v>
      </c>
      <c r="Z244" s="592">
        <f t="shared" si="613"/>
        <v>919.7275086553816</v>
      </c>
      <c r="AA244" s="592">
        <f t="shared" si="613"/>
        <v>923.07063122019929</v>
      </c>
      <c r="AB244" s="592">
        <f t="shared" si="613"/>
        <v>929.04255739380392</v>
      </c>
      <c r="AC244" s="592">
        <f t="shared" si="613"/>
        <v>929.0425573938038</v>
      </c>
      <c r="AD244" s="592">
        <f t="shared" ref="AD244:AE244" si="615">SUM(AD241:AD243)</f>
        <v>932.00256501397723</v>
      </c>
      <c r="AE244" s="592">
        <f t="shared" si="615"/>
        <v>938.82201507818172</v>
      </c>
      <c r="AF244" s="592">
        <f t="shared" si="613"/>
        <v>938.82201507818172</v>
      </c>
      <c r="AG244" s="592">
        <f t="shared" si="613"/>
        <v>941.37211371485773</v>
      </c>
      <c r="AH244" s="592">
        <f t="shared" si="613"/>
        <v>949.1001817228323</v>
      </c>
      <c r="AI244" s="592">
        <f t="shared" si="613"/>
        <v>949.10018172283208</v>
      </c>
      <c r="AJ244" s="592"/>
      <c r="AK244" s="592"/>
      <c r="AL244" s="592">
        <f t="shared" si="613"/>
        <v>959.86896058107766</v>
      </c>
      <c r="AM244" s="592"/>
      <c r="AN244" s="592"/>
      <c r="AO244" s="592">
        <f t="shared" si="613"/>
        <v>971.11946418710716</v>
      </c>
      <c r="AP244" s="592"/>
      <c r="AQ244" s="592"/>
      <c r="AR244" s="592">
        <f t="shared" si="613"/>
        <v>982.83250428796487</v>
      </c>
      <c r="AS244" s="592"/>
      <c r="AT244" s="592"/>
      <c r="AU244" s="592">
        <f t="shared" si="613"/>
        <v>994.98034729714345</v>
      </c>
      <c r="AV244" s="592"/>
      <c r="AW244" s="592"/>
      <c r="AX244" s="592">
        <f t="shared" ref="AX244" si="616">SUM(AX241:AX243)</f>
        <v>1007.5296746333973</v>
      </c>
      <c r="AY244" s="592"/>
      <c r="AZ244" s="592"/>
      <c r="BA244" s="592">
        <f t="shared" ref="BA244:BD244" si="617">SUM(BA241:BA243)</f>
        <v>1020.4939493150312</v>
      </c>
      <c r="BB244" s="592"/>
      <c r="BC244" s="592"/>
      <c r="BD244" s="592">
        <f t="shared" si="617"/>
        <v>1033.8870898134633</v>
      </c>
      <c r="BE244" s="592"/>
      <c r="BF244" s="592"/>
      <c r="BG244" s="592">
        <f t="shared" ref="BG244:BJ244" si="618">SUM(BG241:BG243)</f>
        <v>1047.7234855179527</v>
      </c>
      <c r="BH244" s="592"/>
      <c r="BI244" s="592"/>
      <c r="BJ244" s="592">
        <f t="shared" si="618"/>
        <v>1062.0180127255946</v>
      </c>
    </row>
    <row r="245" spans="2:62" s="593" customFormat="1" hidden="1" outlineLevel="2">
      <c r="B245" s="600"/>
      <c r="C245" s="590"/>
      <c r="D245" s="590"/>
      <c r="E245" s="590"/>
      <c r="F245" s="590"/>
      <c r="G245" s="590"/>
      <c r="H245" s="590"/>
      <c r="I245" s="590"/>
      <c r="J245" s="590"/>
      <c r="K245" s="594"/>
      <c r="L245" s="590"/>
      <c r="M245" s="590"/>
      <c r="N245" s="590"/>
      <c r="O245" s="590"/>
      <c r="P245" s="590"/>
      <c r="Q245" s="590"/>
      <c r="R245" s="590"/>
      <c r="S245" s="590"/>
      <c r="T245" s="590"/>
      <c r="U245" s="590"/>
      <c r="V245" s="590"/>
      <c r="W245" s="590"/>
      <c r="X245" s="590"/>
      <c r="Y245" s="590"/>
      <c r="Z245" s="590"/>
      <c r="AA245" s="590"/>
      <c r="AB245" s="590"/>
      <c r="AC245" s="590"/>
      <c r="AD245" s="590"/>
      <c r="AE245" s="590"/>
      <c r="AF245" s="590"/>
      <c r="AG245" s="590"/>
      <c r="AH245" s="590"/>
      <c r="AI245" s="590"/>
      <c r="AJ245" s="590"/>
      <c r="AK245" s="590"/>
      <c r="AL245" s="590"/>
      <c r="AM245" s="590"/>
      <c r="AN245" s="590"/>
      <c r="AO245" s="590"/>
      <c r="AP245" s="590"/>
      <c r="AQ245" s="590"/>
      <c r="AR245" s="590"/>
      <c r="AS245" s="590"/>
      <c r="AT245" s="590"/>
      <c r="AU245" s="590"/>
      <c r="AV245" s="590"/>
      <c r="AW245" s="590"/>
      <c r="AX245" s="590"/>
      <c r="AY245" s="590"/>
      <c r="AZ245" s="590"/>
      <c r="BA245" s="590"/>
      <c r="BB245" s="590"/>
      <c r="BC245" s="590"/>
      <c r="BD245" s="590"/>
      <c r="BE245" s="590"/>
      <c r="BF245" s="590"/>
      <c r="BG245" s="590"/>
      <c r="BH245" s="590"/>
      <c r="BI245" s="590"/>
      <c r="BJ245" s="590"/>
    </row>
    <row r="246" spans="2:62" s="593" customFormat="1" hidden="1" outlineLevel="2">
      <c r="B246" s="599" t="s">
        <v>594</v>
      </c>
      <c r="C246" s="590"/>
      <c r="D246" s="590"/>
      <c r="E246" s="590"/>
      <c r="F246" s="590"/>
      <c r="G246" s="590"/>
      <c r="H246" s="590"/>
      <c r="I246" s="590"/>
      <c r="J246" s="590"/>
      <c r="K246" s="594"/>
      <c r="L246" s="590"/>
      <c r="M246" s="590"/>
      <c r="N246" s="590"/>
      <c r="O246" s="590"/>
      <c r="P246" s="590"/>
      <c r="Q246" s="590"/>
      <c r="R246" s="590"/>
      <c r="S246" s="590"/>
      <c r="T246" s="590"/>
      <c r="U246" s="590"/>
      <c r="V246" s="590"/>
      <c r="W246" s="590"/>
      <c r="X246" s="590"/>
      <c r="Y246" s="590"/>
      <c r="Z246" s="590"/>
      <c r="AA246" s="590"/>
      <c r="AB246" s="590"/>
      <c r="AC246" s="590"/>
      <c r="AD246" s="590"/>
      <c r="AE246" s="590"/>
      <c r="AF246" s="590"/>
      <c r="AG246" s="590"/>
      <c r="AH246" s="590"/>
      <c r="AI246" s="590"/>
      <c r="AJ246" s="590"/>
      <c r="AK246" s="590"/>
      <c r="AL246" s="590"/>
      <c r="AM246" s="590"/>
      <c r="AN246" s="590"/>
      <c r="AO246" s="590"/>
      <c r="AP246" s="590"/>
      <c r="AQ246" s="590"/>
      <c r="AR246" s="590"/>
      <c r="AS246" s="590"/>
      <c r="AT246" s="590"/>
      <c r="AU246" s="590"/>
      <c r="AV246" s="590"/>
      <c r="AW246" s="590"/>
      <c r="AX246" s="590"/>
      <c r="AY246" s="590"/>
      <c r="AZ246" s="590"/>
      <c r="BA246" s="590"/>
      <c r="BB246" s="590"/>
      <c r="BC246" s="590"/>
      <c r="BD246" s="590"/>
      <c r="BE246" s="590"/>
      <c r="BF246" s="590"/>
      <c r="BG246" s="590"/>
      <c r="BH246" s="590"/>
      <c r="BI246" s="590"/>
      <c r="BJ246" s="590"/>
    </row>
    <row r="247" spans="2:62" s="593" customFormat="1" hidden="1" outlineLevel="2">
      <c r="B247" s="600" t="s">
        <v>591</v>
      </c>
      <c r="C247" s="590"/>
      <c r="D247" s="590"/>
      <c r="E247" s="590"/>
      <c r="F247" s="590"/>
      <c r="G247" s="590"/>
      <c r="H247" s="590"/>
      <c r="I247" s="590"/>
      <c r="J247" s="590"/>
      <c r="K247" s="594"/>
      <c r="L247" s="592">
        <f t="shared" ref="L247:S247" si="619">K250</f>
        <v>930.1</v>
      </c>
      <c r="M247" s="592">
        <f t="shared" si="619"/>
        <v>938.19999999999993</v>
      </c>
      <c r="N247" s="592">
        <f t="shared" si="619"/>
        <v>761.99999999999989</v>
      </c>
      <c r="O247" s="592">
        <f t="shared" si="619"/>
        <v>939.3</v>
      </c>
      <c r="P247" s="592">
        <f t="shared" si="619"/>
        <v>885.8</v>
      </c>
      <c r="Q247" s="592">
        <f t="shared" si="619"/>
        <v>795.6</v>
      </c>
      <c r="R247" s="592">
        <f t="shared" si="619"/>
        <v>989.6</v>
      </c>
      <c r="S247" s="592">
        <f t="shared" si="619"/>
        <v>1012.4000000000001</v>
      </c>
      <c r="T247" s="592">
        <f>Q250</f>
        <v>989.6</v>
      </c>
      <c r="U247" s="592">
        <f>T250</f>
        <v>1010.6999999999999</v>
      </c>
      <c r="V247" s="592">
        <f>U250</f>
        <v>1037.8</v>
      </c>
      <c r="W247" s="592">
        <f>T250</f>
        <v>1010.6999999999999</v>
      </c>
      <c r="X247" s="592">
        <f>W250</f>
        <v>1035</v>
      </c>
      <c r="Y247" s="592">
        <f>X250</f>
        <v>1089.2</v>
      </c>
      <c r="Z247" s="592">
        <f>W250</f>
        <v>1035</v>
      </c>
      <c r="AA247" s="592">
        <f>Z250</f>
        <v>1103.4000000000001</v>
      </c>
      <c r="AB247" s="592">
        <f>AA250</f>
        <v>1118</v>
      </c>
      <c r="AC247" s="592">
        <f>Z250</f>
        <v>1103.4000000000001</v>
      </c>
      <c r="AD247" s="592">
        <f>AC250</f>
        <v>1235.8000000000002</v>
      </c>
      <c r="AE247" s="592">
        <f>AD250</f>
        <v>1256.066842464018</v>
      </c>
      <c r="AF247" s="592">
        <f>AC250</f>
        <v>1235.8000000000002</v>
      </c>
      <c r="AG247" s="592">
        <f>AF250</f>
        <v>735.74846328277886</v>
      </c>
      <c r="AH247" s="592">
        <f>AG250</f>
        <v>1288.5572632762298</v>
      </c>
      <c r="AI247" s="592">
        <f>AF250</f>
        <v>735.74846328277886</v>
      </c>
      <c r="AJ247" s="592"/>
      <c r="AK247" s="592"/>
      <c r="AL247" s="592">
        <f>AI250</f>
        <v>206.13749118177856</v>
      </c>
      <c r="AM247" s="592"/>
      <c r="AN247" s="592"/>
      <c r="AO247" s="592">
        <f>AL250</f>
        <v>-344.73542403642682</v>
      </c>
      <c r="AP247" s="592"/>
      <c r="AQ247" s="592"/>
      <c r="AR247" s="592">
        <f>AO250</f>
        <v>-918.64555574155895</v>
      </c>
      <c r="AS247" s="592"/>
      <c r="AT247" s="592"/>
      <c r="AU247" s="592">
        <f>AR250</f>
        <v>-1513.0548566398436</v>
      </c>
      <c r="AV247" s="592"/>
      <c r="AW247" s="592"/>
      <c r="AX247" s="592">
        <f>AU250</f>
        <v>-2127.5832188183372</v>
      </c>
      <c r="AY247" s="592"/>
      <c r="AZ247" s="592"/>
      <c r="BA247" s="592">
        <f>AX250</f>
        <v>-2761.727669825987</v>
      </c>
      <c r="BB247" s="592"/>
      <c r="BC247" s="592"/>
      <c r="BD247" s="592">
        <f>BA250</f>
        <v>-3416.2086720787429</v>
      </c>
      <c r="BE247" s="592"/>
      <c r="BF247" s="592"/>
      <c r="BG247" s="592">
        <f>BD250</f>
        <v>-4091.7815946826495</v>
      </c>
      <c r="BH247" s="592"/>
      <c r="BI247" s="592"/>
      <c r="BJ247" s="592">
        <f t="shared" ref="BJ247" si="620">BG250</f>
        <v>-4789.2385178205295</v>
      </c>
    </row>
    <row r="248" spans="2:62" s="593" customFormat="1" hidden="1" outlineLevel="2">
      <c r="B248" s="600" t="s">
        <v>595</v>
      </c>
      <c r="C248" s="590"/>
      <c r="D248" s="590"/>
      <c r="E248" s="590"/>
      <c r="F248" s="590"/>
      <c r="G248" s="590"/>
      <c r="H248" s="590"/>
      <c r="I248" s="590"/>
      <c r="J248" s="590"/>
      <c r="K248" s="594"/>
      <c r="L248" s="601">
        <f>L124</f>
        <v>-84.6</v>
      </c>
      <c r="M248" s="601">
        <f>N248-L248</f>
        <v>-87.200000000000017</v>
      </c>
      <c r="N248" s="601">
        <f>N124</f>
        <v>-171.8</v>
      </c>
      <c r="O248" s="601">
        <f>O124</f>
        <v>-91</v>
      </c>
      <c r="P248" s="601">
        <f>Q248-O248</f>
        <v>-97.1</v>
      </c>
      <c r="Q248" s="601">
        <f>Q124</f>
        <v>-188.1</v>
      </c>
      <c r="R248" s="601">
        <f>R124</f>
        <v>-97.2</v>
      </c>
      <c r="S248" s="601">
        <f>T248-R248</f>
        <v>-118.8</v>
      </c>
      <c r="T248" s="601">
        <f>T124</f>
        <v>-216</v>
      </c>
      <c r="U248" s="601">
        <f>U124</f>
        <v>-82.9</v>
      </c>
      <c r="V248" s="601">
        <f>W248-U248</f>
        <v>-127.79999999999998</v>
      </c>
      <c r="W248" s="601">
        <f>W124</f>
        <v>-210.7</v>
      </c>
      <c r="X248" s="601">
        <f>X124</f>
        <v>-88.9</v>
      </c>
      <c r="Y248" s="601">
        <f>Z248-X248</f>
        <v>-110.19999999999999</v>
      </c>
      <c r="Z248" s="601">
        <f>Z124</f>
        <v>-199.1</v>
      </c>
      <c r="AA248" s="601">
        <f>AA124</f>
        <v>-114.3</v>
      </c>
      <c r="AB248" s="601">
        <f>AC248-AA248</f>
        <v>-117.30000000000003</v>
      </c>
      <c r="AC248" s="601">
        <f>AC124</f>
        <v>-231.60000000000002</v>
      </c>
      <c r="AD248" s="601">
        <f>AD124</f>
        <v>-124.43475000000001</v>
      </c>
      <c r="AE248" s="601">
        <f>AF248-AD248</f>
        <v>-124.43475000000001</v>
      </c>
      <c r="AF248" s="601">
        <f>AF124</f>
        <v>-248.86950000000002</v>
      </c>
      <c r="AG248" s="601">
        <f>AG124</f>
        <v>-132.80988287679912</v>
      </c>
      <c r="AH248" s="601">
        <f>AI248-AG248</f>
        <v>-132.80988287679912</v>
      </c>
      <c r="AI248" s="601">
        <f>AI124</f>
        <v>-265.61976575359824</v>
      </c>
      <c r="AJ248" s="601"/>
      <c r="AK248" s="601"/>
      <c r="AL248" s="601">
        <f>AL124</f>
        <v>-274.2805014187789</v>
      </c>
      <c r="AM248" s="601"/>
      <c r="AN248" s="601"/>
      <c r="AO248" s="601">
        <f>AO124</f>
        <v>-284.94478198321895</v>
      </c>
      <c r="AP248" s="601"/>
      <c r="AQ248" s="601"/>
      <c r="AR248" s="601">
        <f>AR124</f>
        <v>-293.56385898960997</v>
      </c>
      <c r="AS248" s="601"/>
      <c r="AT248" s="601"/>
      <c r="AU248" s="601">
        <f>AU124</f>
        <v>-302.51515579785848</v>
      </c>
      <c r="AV248" s="601"/>
      <c r="AW248" s="601"/>
      <c r="AX248" s="601">
        <f>AX124</f>
        <v>-311.81925655574491</v>
      </c>
      <c r="AY248" s="601"/>
      <c r="AZ248" s="601"/>
      <c r="BA248" s="601">
        <f>BA124</f>
        <v>-321.49802669408723</v>
      </c>
      <c r="BB248" s="601"/>
      <c r="BC248" s="601"/>
      <c r="BD248" s="601">
        <f>BD124</f>
        <v>-331.57467474502653</v>
      </c>
      <c r="BE248" s="601"/>
      <c r="BF248" s="601"/>
      <c r="BG248" s="601">
        <f>BG124</f>
        <v>-342.0738164211507</v>
      </c>
      <c r="BH248" s="601"/>
      <c r="BI248" s="601"/>
      <c r="BJ248" s="601">
        <f>BJ124</f>
        <v>-353.02154102389102</v>
      </c>
    </row>
    <row r="249" spans="2:62" s="593" customFormat="1" hidden="1" outlineLevel="2">
      <c r="B249" s="600" t="s">
        <v>592</v>
      </c>
      <c r="C249" s="590"/>
      <c r="D249" s="590"/>
      <c r="E249" s="590"/>
      <c r="F249" s="590"/>
      <c r="G249" s="590"/>
      <c r="H249" s="590"/>
      <c r="I249" s="590"/>
      <c r="J249" s="590"/>
      <c r="K249" s="594"/>
      <c r="L249" s="592">
        <f>L250-SUM(L247:L248)</f>
        <v>92.699999999999932</v>
      </c>
      <c r="M249" s="592">
        <f>M243</f>
        <v>-89</v>
      </c>
      <c r="N249" s="592">
        <f>N250-SUM(N247:N248)</f>
        <v>349.10000000000014</v>
      </c>
      <c r="O249" s="592">
        <f>O250-SUM(O247:O248)</f>
        <v>37.5</v>
      </c>
      <c r="P249" s="592">
        <f>P243</f>
        <v>6.9000000000000909</v>
      </c>
      <c r="Q249" s="592">
        <f>Q250-SUM(Q247:Q248)</f>
        <v>382.1</v>
      </c>
      <c r="R249" s="592">
        <f>R250-SUM(R247:R248)</f>
        <v>120.00000000000011</v>
      </c>
      <c r="S249" s="592">
        <f t="shared" ref="S249:AC249" si="621">S250-SUM(S247:S248)</f>
        <v>117.0999999999998</v>
      </c>
      <c r="T249" s="592">
        <f t="shared" si="621"/>
        <v>237.09999999999991</v>
      </c>
      <c r="U249" s="592">
        <f t="shared" si="621"/>
        <v>110</v>
      </c>
      <c r="V249" s="592">
        <f t="shared" si="621"/>
        <v>125</v>
      </c>
      <c r="W249" s="592">
        <f t="shared" si="621"/>
        <v>235</v>
      </c>
      <c r="X249" s="592">
        <f t="shared" ref="X249:Y249" si="622">X250-SUM(X247:X248)</f>
        <v>143.10000000000002</v>
      </c>
      <c r="Y249" s="592">
        <f t="shared" si="622"/>
        <v>124.40000000000009</v>
      </c>
      <c r="Z249" s="592">
        <f t="shared" si="621"/>
        <v>267.50000000000011</v>
      </c>
      <c r="AA249" s="592">
        <f t="shared" si="621"/>
        <v>128.89999999999986</v>
      </c>
      <c r="AB249" s="592">
        <f t="shared" si="621"/>
        <v>235.10000000000025</v>
      </c>
      <c r="AC249" s="592">
        <f t="shared" si="621"/>
        <v>364.00000000000011</v>
      </c>
      <c r="AD249" s="592">
        <f t="shared" ref="AD249:AE249" si="623">AD250-SUM(AD247:AD248)</f>
        <v>144.70159246401772</v>
      </c>
      <c r="AE249" s="592">
        <f t="shared" si="623"/>
        <v>-395.88362918123926</v>
      </c>
      <c r="AF249" s="592">
        <f t="shared" ref="AF249:AU249" si="624">AF243</f>
        <v>-251.18203671722125</v>
      </c>
      <c r="AG249" s="592">
        <f t="shared" ref="AG249:AH249" si="625">AG250-SUM(AG247:AG248)</f>
        <v>685.61868287025004</v>
      </c>
      <c r="AH249" s="592">
        <f t="shared" si="625"/>
        <v>-949.60988921765215</v>
      </c>
      <c r="AI249" s="592">
        <f t="shared" si="624"/>
        <v>-263.99120634740206</v>
      </c>
      <c r="AJ249" s="592"/>
      <c r="AK249" s="592"/>
      <c r="AL249" s="592">
        <f t="shared" si="624"/>
        <v>-276.59241379942648</v>
      </c>
      <c r="AM249" s="592"/>
      <c r="AN249" s="592"/>
      <c r="AO249" s="592">
        <f t="shared" si="624"/>
        <v>-288.96534972191319</v>
      </c>
      <c r="AP249" s="592"/>
      <c r="AQ249" s="592"/>
      <c r="AR249" s="592">
        <f t="shared" si="624"/>
        <v>-300.84544190867479</v>
      </c>
      <c r="AS249" s="592"/>
      <c r="AT249" s="592"/>
      <c r="AU249" s="592">
        <f t="shared" si="624"/>
        <v>-312.01320638063481</v>
      </c>
      <c r="AV249" s="592"/>
      <c r="AW249" s="592"/>
      <c r="AX249" s="592">
        <f t="shared" ref="AX249" si="626">AX243</f>
        <v>-322.32519445190485</v>
      </c>
      <c r="AY249" s="592"/>
      <c r="AZ249" s="592"/>
      <c r="BA249" s="592">
        <f t="shared" ref="BA249:BD249" si="627">BA243</f>
        <v>-332.98297555866878</v>
      </c>
      <c r="BB249" s="592"/>
      <c r="BC249" s="592"/>
      <c r="BD249" s="592">
        <f t="shared" si="627"/>
        <v>-343.99824785887984</v>
      </c>
      <c r="BE249" s="592"/>
      <c r="BF249" s="592"/>
      <c r="BG249" s="592">
        <f t="shared" ref="BG249:BJ249" si="628">BG243</f>
        <v>-355.38310671672912</v>
      </c>
      <c r="BH249" s="592"/>
      <c r="BI249" s="592"/>
      <c r="BJ249" s="592">
        <f t="shared" si="628"/>
        <v>-367.15005819400875</v>
      </c>
    </row>
    <row r="250" spans="2:62" s="593" customFormat="1" hidden="1" outlineLevel="2">
      <c r="B250" s="600" t="s">
        <v>593</v>
      </c>
      <c r="C250" s="590"/>
      <c r="D250" s="590"/>
      <c r="E250" s="590"/>
      <c r="F250" s="590"/>
      <c r="G250" s="590"/>
      <c r="H250" s="590"/>
      <c r="I250" s="590"/>
      <c r="J250" s="590"/>
      <c r="K250" s="591">
        <f>K222</f>
        <v>930.1</v>
      </c>
      <c r="L250" s="592">
        <f>L169+L177</f>
        <v>938.19999999999993</v>
      </c>
      <c r="M250" s="592">
        <f>SUM(M247:M249)</f>
        <v>761.99999999999989</v>
      </c>
      <c r="N250" s="592">
        <f>N169+N177</f>
        <v>939.3</v>
      </c>
      <c r="O250" s="592">
        <f>O169+O177</f>
        <v>885.8</v>
      </c>
      <c r="P250" s="592">
        <f>SUM(P247:P249)</f>
        <v>795.6</v>
      </c>
      <c r="Q250" s="592">
        <f>Q169+Q177</f>
        <v>989.6</v>
      </c>
      <c r="R250" s="592">
        <f>R169+R177</f>
        <v>1012.4000000000001</v>
      </c>
      <c r="S250" s="592">
        <f>T250</f>
        <v>1010.6999999999999</v>
      </c>
      <c r="T250" s="592">
        <f>T169+T177</f>
        <v>1010.6999999999999</v>
      </c>
      <c r="U250" s="592">
        <f>U169+U177</f>
        <v>1037.8</v>
      </c>
      <c r="V250" s="592">
        <f>W250</f>
        <v>1035</v>
      </c>
      <c r="W250" s="592">
        <f>W169+W177</f>
        <v>1035</v>
      </c>
      <c r="X250" s="592">
        <f>X169+X177</f>
        <v>1089.2</v>
      </c>
      <c r="Y250" s="592">
        <f>Z250</f>
        <v>1103.4000000000001</v>
      </c>
      <c r="Z250" s="592">
        <f>Z169+Z177</f>
        <v>1103.4000000000001</v>
      </c>
      <c r="AA250" s="592">
        <f>AA169+AA177</f>
        <v>1118</v>
      </c>
      <c r="AB250" s="592">
        <f>AC250</f>
        <v>1235.8000000000002</v>
      </c>
      <c r="AC250" s="592">
        <f>AC169+AC177</f>
        <v>1235.8000000000002</v>
      </c>
      <c r="AD250" s="592">
        <f>AD169+AD177</f>
        <v>1256.066842464018</v>
      </c>
      <c r="AE250" s="592">
        <f>AF250</f>
        <v>735.74846328277886</v>
      </c>
      <c r="AF250" s="592">
        <f t="shared" ref="AF250:AU250" si="629">SUM(AF247:AF249)</f>
        <v>735.74846328277886</v>
      </c>
      <c r="AG250" s="592">
        <f>AG169+AG177</f>
        <v>1288.5572632762298</v>
      </c>
      <c r="AH250" s="592">
        <f>AI250</f>
        <v>206.13749118177856</v>
      </c>
      <c r="AI250" s="592">
        <f t="shared" si="629"/>
        <v>206.13749118177856</v>
      </c>
      <c r="AJ250" s="592"/>
      <c r="AK250" s="592"/>
      <c r="AL250" s="592">
        <f t="shared" si="629"/>
        <v>-344.73542403642682</v>
      </c>
      <c r="AM250" s="592"/>
      <c r="AN250" s="592"/>
      <c r="AO250" s="592">
        <f t="shared" si="629"/>
        <v>-918.64555574155895</v>
      </c>
      <c r="AP250" s="592"/>
      <c r="AQ250" s="592"/>
      <c r="AR250" s="592">
        <f t="shared" si="629"/>
        <v>-1513.0548566398436</v>
      </c>
      <c r="AS250" s="592"/>
      <c r="AT250" s="592"/>
      <c r="AU250" s="592">
        <f t="shared" si="629"/>
        <v>-2127.5832188183372</v>
      </c>
      <c r="AV250" s="592"/>
      <c r="AW250" s="592"/>
      <c r="AX250" s="592">
        <f t="shared" ref="AX250" si="630">SUM(AX247:AX249)</f>
        <v>-2761.727669825987</v>
      </c>
      <c r="AY250" s="592"/>
      <c r="AZ250" s="592"/>
      <c r="BA250" s="592">
        <f t="shared" ref="BA250:BD250" si="631">SUM(BA247:BA249)</f>
        <v>-3416.2086720787429</v>
      </c>
      <c r="BB250" s="592"/>
      <c r="BC250" s="592"/>
      <c r="BD250" s="592">
        <f t="shared" si="631"/>
        <v>-4091.7815946826495</v>
      </c>
      <c r="BE250" s="592"/>
      <c r="BF250" s="592"/>
      <c r="BG250" s="592">
        <f t="shared" ref="BG250:BJ250" si="632">SUM(BG247:BG249)</f>
        <v>-4789.2385178205295</v>
      </c>
      <c r="BH250" s="592"/>
      <c r="BI250" s="592"/>
      <c r="BJ250" s="592">
        <f t="shared" si="632"/>
        <v>-5509.4101170384292</v>
      </c>
    </row>
    <row r="251" spans="2:62" s="593" customFormat="1" hidden="1" outlineLevel="2">
      <c r="B251" s="600" t="s">
        <v>596</v>
      </c>
      <c r="C251" s="590"/>
      <c r="D251" s="590"/>
      <c r="E251" s="590"/>
      <c r="F251" s="590"/>
      <c r="G251" s="590"/>
      <c r="H251" s="590"/>
      <c r="I251" s="590"/>
      <c r="J251" s="590"/>
      <c r="K251" s="594"/>
      <c r="L251" s="590"/>
      <c r="M251" s="590"/>
      <c r="N251" s="590"/>
      <c r="O251" s="590"/>
      <c r="P251" s="590"/>
      <c r="Q251" s="590"/>
      <c r="R251" s="590"/>
      <c r="S251" s="590"/>
      <c r="T251" s="590"/>
      <c r="U251" s="590"/>
      <c r="V251" s="590"/>
      <c r="W251" s="590"/>
      <c r="X251" s="590"/>
      <c r="Y251" s="590"/>
      <c r="Z251" s="590"/>
      <c r="AA251" s="590"/>
      <c r="AB251" s="590"/>
      <c r="AC251" s="590"/>
      <c r="AD251" s="590"/>
      <c r="AE251" s="590"/>
      <c r="AF251" s="590"/>
      <c r="AG251" s="590"/>
      <c r="AH251" s="590"/>
      <c r="AI251" s="590"/>
      <c r="AJ251" s="590"/>
      <c r="AK251" s="590"/>
      <c r="AL251" s="590"/>
      <c r="AM251" s="590"/>
      <c r="AN251" s="590"/>
      <c r="AO251" s="590"/>
      <c r="AP251" s="590"/>
      <c r="AQ251" s="590"/>
      <c r="AR251" s="590"/>
      <c r="AS251" s="590"/>
      <c r="AT251" s="590"/>
      <c r="AU251" s="590"/>
      <c r="AV251" s="590"/>
      <c r="AW251" s="590"/>
      <c r="AX251" s="590"/>
      <c r="AY251" s="590"/>
      <c r="AZ251" s="590"/>
      <c r="BA251" s="590"/>
      <c r="BB251" s="590"/>
      <c r="BC251" s="590"/>
      <c r="BD251" s="590"/>
      <c r="BE251" s="590"/>
      <c r="BF251" s="590"/>
      <c r="BG251" s="590"/>
      <c r="BH251" s="590"/>
      <c r="BI251" s="590"/>
      <c r="BJ251" s="590"/>
    </row>
    <row r="252" spans="2:62" s="593" customFormat="1" hidden="1" outlineLevel="2">
      <c r="C252" s="590"/>
      <c r="D252" s="590"/>
      <c r="E252" s="590"/>
      <c r="F252" s="590"/>
      <c r="G252" s="590"/>
      <c r="H252" s="590"/>
      <c r="I252" s="590"/>
      <c r="J252" s="590"/>
      <c r="K252" s="594"/>
      <c r="L252" s="590"/>
      <c r="M252" s="590"/>
      <c r="N252" s="590"/>
      <c r="O252" s="590"/>
      <c r="P252" s="590"/>
      <c r="Q252" s="590"/>
      <c r="R252" s="590"/>
      <c r="S252" s="590"/>
      <c r="T252" s="590"/>
      <c r="U252" s="590"/>
      <c r="V252" s="590"/>
      <c r="W252" s="590"/>
      <c r="X252" s="590"/>
      <c r="Y252" s="590"/>
      <c r="Z252" s="590"/>
      <c r="AA252" s="590"/>
      <c r="AB252" s="590"/>
      <c r="AC252" s="590"/>
      <c r="AD252" s="590"/>
      <c r="AE252" s="590"/>
      <c r="AF252" s="590"/>
      <c r="AG252" s="590"/>
      <c r="AH252" s="590"/>
      <c r="AI252" s="590"/>
      <c r="AJ252" s="590"/>
      <c r="AK252" s="590"/>
      <c r="AL252" s="590"/>
      <c r="AM252" s="590"/>
      <c r="AN252" s="590"/>
      <c r="AO252" s="590"/>
      <c r="AP252" s="590"/>
      <c r="AQ252" s="590"/>
      <c r="AR252" s="590"/>
      <c r="AS252" s="590"/>
      <c r="AT252" s="590"/>
      <c r="AU252" s="590"/>
      <c r="AV252" s="590"/>
      <c r="AW252" s="590"/>
      <c r="AX252" s="590"/>
      <c r="AY252" s="590"/>
      <c r="AZ252" s="590"/>
      <c r="BA252" s="590"/>
      <c r="BB252" s="590"/>
      <c r="BC252" s="590"/>
      <c r="BD252" s="590"/>
      <c r="BE252" s="590"/>
      <c r="BF252" s="590"/>
      <c r="BG252" s="590"/>
      <c r="BH252" s="590"/>
      <c r="BI252" s="590"/>
      <c r="BJ252" s="590"/>
    </row>
    <row r="253" spans="2:62" s="593" customFormat="1" hidden="1" outlineLevel="2">
      <c r="B253" s="593" t="s">
        <v>597</v>
      </c>
      <c r="C253" s="590"/>
      <c r="D253" s="590"/>
      <c r="E253" s="590"/>
      <c r="F253" s="590"/>
      <c r="G253" s="590"/>
      <c r="H253" s="590"/>
      <c r="I253" s="590"/>
      <c r="J253" s="590"/>
      <c r="K253" s="594"/>
      <c r="L253" s="602">
        <f>L221/K222*2</f>
        <v>-3.9780668745296205E-2</v>
      </c>
      <c r="M253" s="590"/>
      <c r="N253" s="602">
        <f>N221/K222</f>
        <v>-4.0103214708095899E-2</v>
      </c>
      <c r="O253" s="603">
        <f>L253</f>
        <v>-3.9780668745296205E-2</v>
      </c>
      <c r="P253" s="590"/>
      <c r="Q253" s="602">
        <f>Q221/N222</f>
        <v>-3.7474715213456834E-2</v>
      </c>
      <c r="R253" s="603">
        <f>O253</f>
        <v>-3.9780668745296205E-2</v>
      </c>
      <c r="S253" s="590"/>
      <c r="T253" s="603">
        <f>Q253</f>
        <v>-3.7474715213456834E-2</v>
      </c>
      <c r="U253" s="603">
        <f>R253</f>
        <v>-3.9780668745296205E-2</v>
      </c>
      <c r="V253" s="590"/>
      <c r="W253" s="603">
        <f>T253</f>
        <v>-3.7474715213456834E-2</v>
      </c>
      <c r="X253" s="603">
        <f>U253</f>
        <v>-3.9780668745296205E-2</v>
      </c>
      <c r="Y253" s="590"/>
      <c r="Z253" s="603">
        <f>W253</f>
        <v>-3.7474715213456834E-2</v>
      </c>
      <c r="AA253" s="603">
        <f>X253</f>
        <v>-3.9780668745296205E-2</v>
      </c>
      <c r="AB253" s="590"/>
      <c r="AC253" s="603">
        <f>Z253</f>
        <v>-3.7474715213456834E-2</v>
      </c>
      <c r="AD253" s="603">
        <f>AA253</f>
        <v>-3.9780668745296205E-2</v>
      </c>
      <c r="AE253" s="590"/>
      <c r="AF253" s="603">
        <f>AC253</f>
        <v>-3.7474715213456834E-2</v>
      </c>
      <c r="AG253" s="603">
        <f>AD253</f>
        <v>-3.9780668745296205E-2</v>
      </c>
      <c r="AH253" s="590"/>
      <c r="AI253" s="603">
        <f>AF253</f>
        <v>-3.7474715213456834E-2</v>
      </c>
      <c r="AJ253" s="603"/>
      <c r="AK253" s="603"/>
      <c r="AL253" s="603">
        <f>AI253</f>
        <v>-3.7474715213456834E-2</v>
      </c>
      <c r="AM253" s="603"/>
      <c r="AN253" s="603"/>
      <c r="AO253" s="603">
        <f>AL253</f>
        <v>-3.7474715213456834E-2</v>
      </c>
      <c r="AP253" s="603"/>
      <c r="AQ253" s="603"/>
      <c r="AR253" s="603">
        <f>AO253</f>
        <v>-3.7474715213456834E-2</v>
      </c>
      <c r="AS253" s="603"/>
      <c r="AT253" s="603"/>
      <c r="AU253" s="603">
        <f>AR253</f>
        <v>-3.7474715213456834E-2</v>
      </c>
      <c r="AV253" s="603"/>
      <c r="AW253" s="603"/>
      <c r="AX253" s="603">
        <f>AU253</f>
        <v>-3.7474715213456834E-2</v>
      </c>
      <c r="AY253" s="603"/>
      <c r="AZ253" s="603"/>
      <c r="BA253" s="603">
        <f>AX253</f>
        <v>-3.7474715213456834E-2</v>
      </c>
      <c r="BB253" s="603"/>
      <c r="BC253" s="603"/>
      <c r="BD253" s="603">
        <f>BA253</f>
        <v>-3.7474715213456834E-2</v>
      </c>
      <c r="BE253" s="603"/>
      <c r="BF253" s="603"/>
      <c r="BG253" s="603">
        <f>BD253</f>
        <v>-3.7474715213456834E-2</v>
      </c>
      <c r="BH253" s="603"/>
      <c r="BI253" s="603"/>
      <c r="BJ253" s="603">
        <f t="shared" ref="BJ253" si="633">BG253</f>
        <v>-3.7474715213456834E-2</v>
      </c>
    </row>
    <row r="254" spans="2:62" s="593" customFormat="1" hidden="1" outlineLevel="2">
      <c r="C254" s="590"/>
      <c r="D254" s="590"/>
      <c r="E254" s="590"/>
      <c r="F254" s="590"/>
      <c r="G254" s="590"/>
      <c r="H254" s="590"/>
      <c r="I254" s="590"/>
      <c r="J254" s="590"/>
      <c r="K254" s="594"/>
      <c r="L254" s="590"/>
      <c r="M254" s="590"/>
      <c r="N254" s="590"/>
      <c r="O254" s="590"/>
      <c r="P254" s="590"/>
      <c r="Q254" s="590"/>
      <c r="R254" s="590"/>
      <c r="S254" s="590"/>
      <c r="T254" s="590"/>
      <c r="U254" s="590"/>
      <c r="V254" s="590"/>
      <c r="W254" s="590"/>
      <c r="X254" s="590"/>
      <c r="Y254" s="590"/>
      <c r="Z254" s="590"/>
      <c r="AA254" s="590"/>
      <c r="AB254" s="590"/>
      <c r="AC254" s="590"/>
      <c r="AD254" s="590"/>
      <c r="AE254" s="590"/>
      <c r="AF254" s="590"/>
      <c r="AG254" s="590"/>
      <c r="AH254" s="590"/>
      <c r="AI254" s="590"/>
      <c r="AJ254" s="590"/>
      <c r="AK254" s="590"/>
      <c r="AL254" s="590"/>
      <c r="AM254" s="590"/>
      <c r="AN254" s="590"/>
      <c r="AO254" s="590"/>
      <c r="AP254" s="590"/>
      <c r="AQ254" s="590"/>
      <c r="AR254" s="590"/>
      <c r="AS254" s="590"/>
      <c r="AT254" s="590"/>
      <c r="AU254" s="590"/>
      <c r="AV254" s="590"/>
      <c r="AW254" s="590"/>
      <c r="AX254" s="590"/>
      <c r="AY254" s="590"/>
      <c r="AZ254" s="590"/>
      <c r="BA254" s="590"/>
      <c r="BB254" s="590"/>
      <c r="BC254" s="590"/>
      <c r="BD254" s="590"/>
      <c r="BE254" s="590"/>
      <c r="BF254" s="590"/>
      <c r="BG254" s="590"/>
      <c r="BH254" s="590"/>
      <c r="BI254" s="590"/>
      <c r="BJ254" s="590"/>
    </row>
    <row r="255" spans="2:62" s="593" customFormat="1" hidden="1" outlineLevel="2">
      <c r="B255" s="593" t="s">
        <v>611</v>
      </c>
      <c r="C255" s="590"/>
      <c r="D255" s="590"/>
      <c r="E255" s="590"/>
      <c r="F255" s="590"/>
      <c r="G255" s="590"/>
      <c r="H255" s="590"/>
      <c r="I255" s="590"/>
      <c r="J255" s="590"/>
      <c r="K255" s="594"/>
      <c r="L255" s="598">
        <f>L219/L6</f>
        <v>6.8924909947353841E-2</v>
      </c>
      <c r="M255" s="598"/>
      <c r="N255" s="598">
        <f>N219/N6</f>
        <v>7.2591491470234318E-2</v>
      </c>
      <c r="O255" s="598">
        <f>MODEL!O64-1.1%</f>
        <v>-4.2519108459503574E-2</v>
      </c>
      <c r="P255" s="598"/>
      <c r="Q255" s="598">
        <f>Q219/Q6</f>
        <v>6.3363354666821137E-2</v>
      </c>
      <c r="R255" s="598">
        <f>MODEL!R64-1.1%</f>
        <v>-4.5482758620689658E-2</v>
      </c>
      <c r="S255" s="598"/>
      <c r="T255" s="598">
        <f>MODEL!T64-1.1%</f>
        <v>-3.8823148408898903E-2</v>
      </c>
      <c r="U255" s="598">
        <f>MODEL!U64-1.1%</f>
        <v>-4.122875816993464E-2</v>
      </c>
      <c r="V255" s="598"/>
      <c r="W255" s="598">
        <f>MODEL!W64-1.1%</f>
        <v>-3.8321973282844222E-2</v>
      </c>
      <c r="X255" s="598">
        <f>MODEL!X64-1.1%</f>
        <v>-4.3171847158978427E-2</v>
      </c>
      <c r="Y255" s="598"/>
      <c r="Z255" s="598">
        <f>MODEL!Z64-1.1%</f>
        <v>-3.8557432780467707E-2</v>
      </c>
      <c r="AA255" s="598">
        <f>MODEL!AA64-1.1%</f>
        <v>-4.0138192862566445E-2</v>
      </c>
      <c r="AB255" s="598"/>
      <c r="AC255" s="598">
        <f>MODEL!AC64-1.1%</f>
        <v>-3.6227612947556997E-2</v>
      </c>
      <c r="AD255" s="598">
        <f>MODEL!AD64-1.1%</f>
        <v>-4.0138192862566445E-2</v>
      </c>
      <c r="AE255" s="598"/>
      <c r="AF255" s="598">
        <f>MODEL!AF64-1.1%</f>
        <v>-3.6227612947556997E-2</v>
      </c>
      <c r="AG255" s="598">
        <f>MODEL!AG64-1.1%</f>
        <v>-4.0138192862566445E-2</v>
      </c>
      <c r="AH255" s="598"/>
      <c r="AI255" s="598">
        <f>MODEL!AI64-1.1%</f>
        <v>-3.5727612947556997E-2</v>
      </c>
      <c r="AJ255" s="598"/>
      <c r="AK255" s="598"/>
      <c r="AL255" s="598">
        <f>MODEL!AL64-1.1%</f>
        <v>-3.5227612947556997E-2</v>
      </c>
      <c r="AM255" s="598"/>
      <c r="AN255" s="598"/>
      <c r="AO255" s="598">
        <f>MODEL!AO64-1.1%</f>
        <v>-3.5227612947556997E-2</v>
      </c>
      <c r="AP255" s="598"/>
      <c r="AQ255" s="598"/>
      <c r="AR255" s="598">
        <f>MODEL!AR64-1.1%</f>
        <v>-3.4727612947556996E-2</v>
      </c>
      <c r="AS255" s="598"/>
      <c r="AT255" s="598"/>
      <c r="AU255" s="598">
        <f>MODEL!AU64-1.1%</f>
        <v>-3.4227612947556996E-2</v>
      </c>
      <c r="AV255" s="598"/>
      <c r="AW255" s="598"/>
      <c r="AX255" s="598">
        <f>MODEL!AX64-1.1%</f>
        <v>-3.3727612947556995E-2</v>
      </c>
      <c r="AY255" s="598"/>
      <c r="AZ255" s="598"/>
      <c r="BA255" s="598">
        <f>MODEL!BA64-1.1%</f>
        <v>-3.3227612947556995E-2</v>
      </c>
      <c r="BB255" s="598"/>
      <c r="BC255" s="598"/>
      <c r="BD255" s="598">
        <f>MODEL!BD64-1.1%</f>
        <v>-3.2727612947556994E-2</v>
      </c>
      <c r="BE255" s="598"/>
      <c r="BF255" s="598"/>
      <c r="BG255" s="598">
        <f>MODEL!BG64-1.1%</f>
        <v>-3.2227612947556994E-2</v>
      </c>
      <c r="BH255" s="598"/>
      <c r="BI255" s="598"/>
      <c r="BJ255" s="598">
        <f>MODEL!BJ64-1.1%</f>
        <v>-3.1727612947556993E-2</v>
      </c>
    </row>
    <row r="256" spans="2:62" s="593" customFormat="1" hidden="1" outlineLevel="2">
      <c r="C256" s="590"/>
      <c r="D256" s="590"/>
      <c r="E256" s="590"/>
      <c r="F256" s="590"/>
      <c r="G256" s="590"/>
      <c r="H256" s="590"/>
      <c r="I256" s="590"/>
      <c r="J256" s="590"/>
      <c r="K256" s="594"/>
      <c r="L256" s="590"/>
      <c r="M256" s="590"/>
      <c r="N256" s="590"/>
      <c r="O256" s="590"/>
      <c r="P256" s="590"/>
      <c r="Q256" s="590"/>
      <c r="R256" s="590"/>
      <c r="S256" s="590"/>
      <c r="T256" s="590"/>
      <c r="U256" s="590"/>
      <c r="V256" s="590"/>
      <c r="W256" s="590"/>
      <c r="X256" s="590"/>
      <c r="Y256" s="590"/>
      <c r="Z256" s="590"/>
      <c r="AA256" s="590"/>
      <c r="AB256" s="590"/>
      <c r="AC256" s="590"/>
      <c r="AD256" s="590"/>
      <c r="AE256" s="590"/>
      <c r="AF256" s="590"/>
      <c r="AG256" s="590"/>
      <c r="AH256" s="590"/>
      <c r="AI256" s="590"/>
      <c r="AJ256" s="590"/>
      <c r="AK256" s="590"/>
      <c r="AL256" s="590"/>
      <c r="AM256" s="590"/>
      <c r="AN256" s="590"/>
      <c r="AO256" s="590"/>
      <c r="AP256" s="590"/>
      <c r="AQ256" s="590"/>
      <c r="AR256" s="590"/>
      <c r="AS256" s="590"/>
      <c r="AT256" s="590"/>
      <c r="AU256" s="590"/>
      <c r="AV256" s="590"/>
      <c r="AW256" s="590"/>
      <c r="AX256" s="590"/>
      <c r="AY256" s="590"/>
      <c r="AZ256" s="590"/>
      <c r="BA256" s="590"/>
      <c r="BB256" s="590"/>
      <c r="BC256" s="590"/>
      <c r="BD256" s="590"/>
      <c r="BE256" s="590"/>
      <c r="BF256" s="590"/>
      <c r="BG256" s="590"/>
      <c r="BH256" s="590"/>
      <c r="BI256" s="590"/>
      <c r="BJ256" s="590"/>
    </row>
    <row r="257" spans="2:62" s="593" customFormat="1" hidden="1" outlineLevel="2">
      <c r="B257" s="593" t="s">
        <v>694</v>
      </c>
      <c r="C257" s="590"/>
      <c r="D257" s="590"/>
      <c r="E257" s="590"/>
      <c r="F257" s="590"/>
      <c r="G257" s="590"/>
      <c r="H257" s="590"/>
      <c r="I257" s="590"/>
      <c r="J257" s="590"/>
      <c r="K257" s="594"/>
      <c r="L257" s="592">
        <f>L220</f>
        <v>-86.800000000000011</v>
      </c>
      <c r="M257" s="592">
        <f>M220</f>
        <v>-89.400000000000034</v>
      </c>
      <c r="N257" s="592">
        <f>N220</f>
        <v>-176.20000000000005</v>
      </c>
      <c r="O257" s="592">
        <f>O258*O6</f>
        <v>-128.14885663618733</v>
      </c>
      <c r="P257" s="592">
        <f>Q257-O257</f>
        <v>-57.151143363812707</v>
      </c>
      <c r="Q257" s="592">
        <f>Q220</f>
        <v>-185.30000000000004</v>
      </c>
      <c r="R257" s="592">
        <f>R220</f>
        <v>-98.69999999999996</v>
      </c>
      <c r="S257" s="592">
        <f>T257-R257</f>
        <v>-82.976002649793003</v>
      </c>
      <c r="T257" s="592">
        <f>T258*T6</f>
        <v>-181.67600264979296</v>
      </c>
      <c r="U257" s="592">
        <f>U258*U6</f>
        <v>-101.60526502463053</v>
      </c>
      <c r="V257" s="592">
        <f>W257-U257</f>
        <v>337.37886502463056</v>
      </c>
      <c r="W257" s="592">
        <f>W258*W6</f>
        <v>235.77360000000002</v>
      </c>
      <c r="X257" s="592">
        <f>X258*X6</f>
        <v>-92.699534975369431</v>
      </c>
      <c r="Y257" s="592">
        <f>Z257-X257</f>
        <v>329.55033497536942</v>
      </c>
      <c r="Z257" s="592">
        <f>Z258*Z6</f>
        <v>236.85079999999999</v>
      </c>
      <c r="AA257" s="592">
        <f>AA258*AA6</f>
        <v>-84.03887290640391</v>
      </c>
      <c r="AB257" s="592">
        <f>AC257-AA257</f>
        <v>332.60777290640391</v>
      </c>
      <c r="AC257" s="592">
        <f>AC258*AC6</f>
        <v>248.56890000000001</v>
      </c>
      <c r="AD257" s="592">
        <f>AD258*AD6</f>
        <v>-74.408191554685601</v>
      </c>
      <c r="AE257" s="592">
        <f>AF257-AD257</f>
        <v>335.36968595628491</v>
      </c>
      <c r="AF257" s="592">
        <f>AF258*AF6</f>
        <v>260.96149440159928</v>
      </c>
      <c r="AG257" s="592">
        <f>AG258*AG6</f>
        <v>-64.10396599925339</v>
      </c>
      <c r="AH257" s="592">
        <f>AI257-AG257</f>
        <v>338.37333899130596</v>
      </c>
      <c r="AI257" s="592">
        <f>AI258*AI6</f>
        <v>274.26937299205258</v>
      </c>
      <c r="AJ257" s="592"/>
      <c r="AK257" s="592"/>
      <c r="AL257" s="592">
        <f>AL258*AL6</f>
        <v>287.36119265767201</v>
      </c>
      <c r="AM257" s="592"/>
      <c r="AN257" s="592"/>
      <c r="AO257" s="592">
        <f>AO258*AO6</f>
        <v>300.21585332794274</v>
      </c>
      <c r="AP257" s="592"/>
      <c r="AQ257" s="592"/>
      <c r="AR257" s="592">
        <f>AR258*AR6</f>
        <v>312.55848200953238</v>
      </c>
      <c r="AS257" s="592"/>
      <c r="AT257" s="592"/>
      <c r="AU257" s="592">
        <f>AU258*AU6</f>
        <v>324.1610493898134</v>
      </c>
      <c r="AV257" s="592"/>
      <c r="AW257" s="592"/>
      <c r="AX257" s="592">
        <f>AX258*AX6</f>
        <v>334.87452178815863</v>
      </c>
      <c r="AY257" s="592"/>
      <c r="AZ257" s="592"/>
      <c r="BA257" s="592">
        <f>BA258*BA6</f>
        <v>345.94725024030259</v>
      </c>
      <c r="BB257" s="592"/>
      <c r="BC257" s="592"/>
      <c r="BD257" s="592">
        <f>BD258*BD6</f>
        <v>357.39138835731205</v>
      </c>
      <c r="BE257" s="592"/>
      <c r="BF257" s="592"/>
      <c r="BG257" s="592">
        <f>BG258*BG6</f>
        <v>369.21950242121852</v>
      </c>
      <c r="BH257" s="592"/>
      <c r="BI257" s="592"/>
      <c r="BJ257" s="592">
        <f>BJ258*BJ6</f>
        <v>381.44458540165073</v>
      </c>
    </row>
    <row r="258" spans="2:62" s="593" customFormat="1" hidden="1" outlineLevel="2">
      <c r="C258" s="590"/>
      <c r="D258" s="590"/>
      <c r="E258" s="590"/>
      <c r="F258" s="590"/>
      <c r="G258" s="590"/>
      <c r="H258" s="590"/>
      <c r="I258" s="590"/>
      <c r="J258" s="590"/>
      <c r="K258" s="594"/>
      <c r="L258" s="598">
        <f>L257/L6</f>
        <v>-6.0127459129952904E-2</v>
      </c>
      <c r="M258" s="598">
        <f>M257/M6</f>
        <v>-6.4698219713417313E-2</v>
      </c>
      <c r="N258" s="598">
        <f>N257/N6</f>
        <v>-6.2362851277695218E-2</v>
      </c>
      <c r="O258" s="598">
        <f>L258-1.2%</f>
        <v>-7.2127459129952901E-2</v>
      </c>
      <c r="P258" s="598">
        <f>M258-1.1%</f>
        <v>-7.5698219713417308E-2</v>
      </c>
      <c r="Q258" s="598">
        <f>Q257/Q6</f>
        <v>-5.3661926964177126E-2</v>
      </c>
      <c r="R258" s="598">
        <f>R257/R6</f>
        <v>-5.7881773399014763E-2</v>
      </c>
      <c r="S258" s="598">
        <f>P258-1.1%</f>
        <v>-8.6698219713417304E-2</v>
      </c>
      <c r="T258" s="598">
        <f>Q258+0.25%</f>
        <v>-5.1161926964177123E-2</v>
      </c>
      <c r="U258" s="598">
        <f>R258+0.6%</f>
        <v>-5.1881773399014765E-2</v>
      </c>
      <c r="V258" s="598">
        <f>S258-1.1%</f>
        <v>-9.76982197134173E-2</v>
      </c>
      <c r="W258" s="598">
        <v>6.2E-2</v>
      </c>
      <c r="X258" s="598">
        <f>U258+0.6%</f>
        <v>-4.5881773399014766E-2</v>
      </c>
      <c r="Y258" s="598">
        <f>V258-1.1%</f>
        <v>-0.1086982197134173</v>
      </c>
      <c r="Z258" s="598">
        <v>6.0999999999999999E-2</v>
      </c>
      <c r="AA258" s="598">
        <f>X258+0.6%</f>
        <v>-3.9881773399014768E-2</v>
      </c>
      <c r="AB258" s="598">
        <f>Y258-1.1%</f>
        <v>-0.11969821971341729</v>
      </c>
      <c r="AC258" s="598">
        <v>6.0999999999999999E-2</v>
      </c>
      <c r="AD258" s="598">
        <f>AA258+0.6%</f>
        <v>-3.388177339901477E-2</v>
      </c>
      <c r="AE258" s="598">
        <f>AB258-1.1%</f>
        <v>-0.1306982197134173</v>
      </c>
      <c r="AF258" s="598">
        <f>AC258</f>
        <v>6.0999999999999999E-2</v>
      </c>
      <c r="AG258" s="598">
        <f>AD258+0.6%</f>
        <v>-2.7881773399014771E-2</v>
      </c>
      <c r="AH258" s="598">
        <f>AE258-1.1%</f>
        <v>-0.14169821971341731</v>
      </c>
      <c r="AI258" s="598">
        <f>AF258</f>
        <v>6.0999999999999999E-2</v>
      </c>
      <c r="AJ258" s="598"/>
      <c r="AK258" s="598"/>
      <c r="AL258" s="598">
        <f>AI258</f>
        <v>6.0999999999999999E-2</v>
      </c>
      <c r="AM258" s="598"/>
      <c r="AN258" s="598"/>
      <c r="AO258" s="598">
        <f>AL258</f>
        <v>6.0999999999999999E-2</v>
      </c>
      <c r="AP258" s="598"/>
      <c r="AQ258" s="598"/>
      <c r="AR258" s="598">
        <f>AO258</f>
        <v>6.0999999999999999E-2</v>
      </c>
      <c r="AS258" s="598"/>
      <c r="AT258" s="598"/>
      <c r="AU258" s="598">
        <f>AR258</f>
        <v>6.0999999999999999E-2</v>
      </c>
      <c r="AV258" s="598"/>
      <c r="AW258" s="598"/>
      <c r="AX258" s="598">
        <f>AU258</f>
        <v>6.0999999999999999E-2</v>
      </c>
      <c r="AY258" s="598"/>
      <c r="AZ258" s="598"/>
      <c r="BA258" s="598">
        <f>AX258</f>
        <v>6.0999999999999999E-2</v>
      </c>
      <c r="BB258" s="598"/>
      <c r="BC258" s="598"/>
      <c r="BD258" s="598">
        <f>BA258</f>
        <v>6.0999999999999999E-2</v>
      </c>
      <c r="BE258" s="598"/>
      <c r="BF258" s="598"/>
      <c r="BG258" s="598">
        <f>BD258</f>
        <v>6.0999999999999999E-2</v>
      </c>
      <c r="BH258" s="598"/>
      <c r="BI258" s="598"/>
      <c r="BJ258" s="598">
        <f t="shared" ref="BJ258" si="634">BG258</f>
        <v>6.0999999999999999E-2</v>
      </c>
    </row>
    <row r="259" spans="2:62" s="593" customFormat="1" hidden="1" outlineLevel="2">
      <c r="C259" s="590"/>
      <c r="D259" s="590"/>
      <c r="E259" s="590"/>
      <c r="F259" s="590"/>
      <c r="G259" s="590"/>
      <c r="H259" s="590"/>
      <c r="I259" s="590"/>
      <c r="J259" s="590"/>
      <c r="K259" s="594"/>
      <c r="L259" s="590"/>
      <c r="M259" s="590"/>
      <c r="N259" s="590"/>
      <c r="O259" s="598">
        <f>O257/L257-1</f>
        <v>0.47636931608510724</v>
      </c>
      <c r="P259" s="598">
        <f>P257/M257-1</f>
        <v>-0.36072546572916464</v>
      </c>
      <c r="Q259" s="590"/>
      <c r="R259" s="598"/>
      <c r="S259" s="598">
        <f t="shared" ref="S259:AB259" si="635">S257/P257-1</f>
        <v>0.45186951241875284</v>
      </c>
      <c r="T259" s="598">
        <f t="shared" si="635"/>
        <v>-1.955746006587733E-2</v>
      </c>
      <c r="U259" s="598">
        <f t="shared" si="635"/>
        <v>2.9435309266773624E-2</v>
      </c>
      <c r="V259" s="598">
        <f t="shared" si="635"/>
        <v>-5.0659811783000155</v>
      </c>
      <c r="W259" s="598">
        <f t="shared" si="635"/>
        <v>-2.2977696369425744</v>
      </c>
      <c r="X259" s="598">
        <f t="shared" si="635"/>
        <v>-8.7650281184761702E-2</v>
      </c>
      <c r="Y259" s="598">
        <f t="shared" si="635"/>
        <v>-2.3203972924295657E-2</v>
      </c>
      <c r="Z259" s="598">
        <f t="shared" si="635"/>
        <v>4.5687897203079419E-3</v>
      </c>
      <c r="AA259" s="598">
        <f t="shared" ref="AA259" si="636">AA257/X257-1</f>
        <v>-9.3427243958307704E-2</v>
      </c>
      <c r="AB259" s="598">
        <f t="shared" si="635"/>
        <v>9.2776052898353445E-3</v>
      </c>
      <c r="AC259" s="598">
        <f>AC257/Z257-1</f>
        <v>4.9474605954465956E-2</v>
      </c>
      <c r="AD259" s="598">
        <f t="shared" ref="AD259" si="637">AD257/AA257-1</f>
        <v>-0.11459793567726961</v>
      </c>
      <c r="AE259" s="598">
        <f t="shared" ref="AE259" si="638">AE257/AB257-1</f>
        <v>8.3038139059312677E-3</v>
      </c>
      <c r="AF259" s="598">
        <f>AF257/AC257-1</f>
        <v>4.9855771987562747E-2</v>
      </c>
      <c r="AG259" s="598">
        <f t="shared" ref="AG259" si="639">AG257/AD257-1</f>
        <v>-0.13848240818834068</v>
      </c>
      <c r="AH259" s="598">
        <f t="shared" ref="AH259" si="640">AH257/AE257-1</f>
        <v>8.9562448867621658E-3</v>
      </c>
      <c r="AI259" s="598">
        <f>AI257/AF257-1</f>
        <v>5.0995564004448601E-2</v>
      </c>
      <c r="AJ259" s="598"/>
      <c r="AK259" s="598"/>
      <c r="AL259" s="598">
        <f>AL257/AI257-1</f>
        <v>4.7733436376065086E-2</v>
      </c>
      <c r="AM259" s="598"/>
      <c r="AN259" s="598"/>
      <c r="AO259" s="598">
        <f>AO257/AL257-1</f>
        <v>4.4733460880308495E-2</v>
      </c>
      <c r="AP259" s="598"/>
      <c r="AQ259" s="598"/>
      <c r="AR259" s="598">
        <f>AR257/AO257-1</f>
        <v>4.1112514694908953E-2</v>
      </c>
      <c r="AS259" s="598"/>
      <c r="AT259" s="598"/>
      <c r="AU259" s="598">
        <f>AU257/AR257-1</f>
        <v>3.7121268652460238E-2</v>
      </c>
      <c r="AV259" s="598"/>
      <c r="AW259" s="598"/>
      <c r="AX259" s="598">
        <f>AX257/AU257-1</f>
        <v>3.3049844879611046E-2</v>
      </c>
      <c r="AY259" s="598"/>
      <c r="AZ259" s="598"/>
      <c r="BA259" s="598">
        <f>BA257/AX257-1</f>
        <v>3.3065305753982033E-2</v>
      </c>
      <c r="BB259" s="598"/>
      <c r="BC259" s="598"/>
      <c r="BD259" s="598">
        <f>BD257/BA257-1</f>
        <v>3.3080587023195385E-2</v>
      </c>
      <c r="BE259" s="598"/>
      <c r="BF259" s="598"/>
      <c r="BG259" s="598">
        <f>BG257/BD257-1</f>
        <v>3.3095688506296517E-2</v>
      </c>
      <c r="BH259" s="598"/>
      <c r="BI259" s="598"/>
      <c r="BJ259" s="598">
        <f t="shared" ref="BJ259" si="641">BJ257/BG257-1</f>
        <v>3.3110610084960745E-2</v>
      </c>
    </row>
    <row r="260" spans="2:62" hidden="1" outlineLevel="1">
      <c r="B260" s="583" t="s">
        <v>695</v>
      </c>
      <c r="C260" s="566"/>
      <c r="D260" s="566"/>
      <c r="E260" s="566"/>
      <c r="F260" s="566"/>
      <c r="G260" s="566"/>
      <c r="H260" s="566"/>
      <c r="I260" s="566"/>
      <c r="J260" s="566"/>
      <c r="K260" s="567"/>
      <c r="L260" s="584"/>
      <c r="M260" s="584"/>
      <c r="N260" s="604"/>
      <c r="O260" s="584"/>
      <c r="P260" s="584"/>
      <c r="Q260" s="604"/>
      <c r="R260" s="584"/>
      <c r="S260" s="584"/>
      <c r="T260" s="584"/>
      <c r="U260" s="584"/>
      <c r="V260" s="584"/>
      <c r="W260" s="584"/>
      <c r="X260" s="584"/>
      <c r="Y260" s="584"/>
      <c r="Z260" s="584"/>
      <c r="AA260" s="584"/>
      <c r="AB260" s="584"/>
      <c r="AC260" s="584"/>
      <c r="AD260" s="584"/>
      <c r="AE260" s="584"/>
      <c r="AF260" s="584"/>
      <c r="AG260" s="584"/>
      <c r="AH260" s="584"/>
      <c r="AI260" s="584"/>
      <c r="AJ260" s="584"/>
      <c r="AK260" s="584"/>
      <c r="AL260" s="584"/>
      <c r="AM260" s="584"/>
      <c r="AN260" s="584"/>
      <c r="AO260" s="584"/>
      <c r="AP260" s="584"/>
      <c r="AQ260" s="584"/>
      <c r="AR260" s="584"/>
      <c r="AS260" s="584"/>
      <c r="AT260" s="584"/>
      <c r="AU260" s="584"/>
      <c r="AV260" s="584"/>
      <c r="AW260" s="584"/>
      <c r="AX260" s="584"/>
      <c r="AY260" s="584"/>
      <c r="AZ260" s="584"/>
      <c r="BA260" s="584"/>
      <c r="BB260" s="584"/>
      <c r="BC260" s="584"/>
      <c r="BD260" s="584"/>
      <c r="BE260" s="584"/>
      <c r="BF260" s="584"/>
      <c r="BG260" s="584"/>
      <c r="BH260" s="584"/>
      <c r="BI260" s="584"/>
      <c r="BJ260" s="584"/>
    </row>
    <row r="261" spans="2:62" hidden="1" outlineLevel="1">
      <c r="B261" s="122" t="s">
        <v>65</v>
      </c>
      <c r="L261" s="480">
        <f>L6</f>
        <v>1443.6</v>
      </c>
      <c r="M261" s="480">
        <f>N261-L261</f>
        <v>1381.7999999999997</v>
      </c>
      <c r="N261" s="480">
        <f>N6</f>
        <v>2825.3999999999996</v>
      </c>
      <c r="O261" s="480">
        <f>O6</f>
        <v>1776.7</v>
      </c>
      <c r="P261" s="480">
        <f>Q261-O261</f>
        <v>1676.3999999999999</v>
      </c>
      <c r="Q261" s="480">
        <f>Q6</f>
        <v>3453.1</v>
      </c>
      <c r="R261" s="480">
        <f>R6</f>
        <v>1705.1999999999998</v>
      </c>
      <c r="S261" s="480">
        <f>T261-R261</f>
        <v>1845.8000000000002</v>
      </c>
      <c r="T261" s="480">
        <f>T6</f>
        <v>3551</v>
      </c>
      <c r="U261" s="480">
        <f>U6</f>
        <v>1958.4</v>
      </c>
      <c r="V261" s="480">
        <f>V6</f>
        <v>1844.4</v>
      </c>
      <c r="W261" s="480"/>
      <c r="X261" s="480"/>
      <c r="Y261" s="480"/>
      <c r="Z261" s="480"/>
      <c r="AA261" s="480"/>
      <c r="AB261" s="480"/>
      <c r="AC261" s="480"/>
      <c r="AD261" s="480"/>
      <c r="AE261" s="480"/>
      <c r="AF261" s="480"/>
      <c r="AG261" s="480"/>
      <c r="AH261" s="480"/>
      <c r="AI261" s="480"/>
      <c r="AJ261" s="480"/>
      <c r="AK261" s="480"/>
      <c r="AL261" s="480"/>
      <c r="AM261" s="480"/>
      <c r="AN261" s="480"/>
      <c r="AO261" s="480"/>
      <c r="AP261" s="480"/>
      <c r="AQ261" s="480"/>
      <c r="AR261" s="480"/>
      <c r="AS261" s="480"/>
      <c r="AT261" s="480"/>
      <c r="AU261" s="480"/>
      <c r="AV261" s="480"/>
      <c r="AW261" s="480"/>
      <c r="AX261" s="480"/>
      <c r="AY261" s="480"/>
      <c r="AZ261" s="480"/>
      <c r="BA261" s="480"/>
      <c r="BB261" s="480"/>
      <c r="BC261" s="480"/>
      <c r="BD261" s="480"/>
      <c r="BE261" s="480"/>
      <c r="BF261" s="480"/>
      <c r="BG261" s="480"/>
      <c r="BH261" s="480"/>
      <c r="BI261" s="480"/>
      <c r="BJ261" s="480"/>
    </row>
    <row r="262" spans="2:62" hidden="1" outlineLevel="1">
      <c r="B262" s="122" t="s">
        <v>66</v>
      </c>
      <c r="L262" s="471">
        <v>159.80000000000001</v>
      </c>
      <c r="M262" s="471">
        <f t="shared" ref="M262:M268" si="642">N262-L262</f>
        <v>168.3</v>
      </c>
      <c r="N262" s="471">
        <v>328.1</v>
      </c>
      <c r="O262" s="471">
        <v>311.39999999999998</v>
      </c>
      <c r="P262" s="471">
        <f t="shared" ref="P262:P268" si="643">Q262-O262</f>
        <v>246</v>
      </c>
      <c r="Q262" s="471">
        <v>557.4</v>
      </c>
      <c r="R262" s="471">
        <v>216</v>
      </c>
      <c r="S262" s="471">
        <f t="shared" ref="S262:S268" si="644">T262-R262</f>
        <v>248.3</v>
      </c>
      <c r="T262" s="484">
        <v>464.3</v>
      </c>
      <c r="U262" s="605">
        <v>284.39999999999998</v>
      </c>
      <c r="V262" s="471">
        <f>V25-V219</f>
        <v>624.73080000000004</v>
      </c>
      <c r="W262" s="484"/>
      <c r="X262" s="605"/>
      <c r="Y262" s="471"/>
      <c r="Z262" s="484"/>
      <c r="AA262" s="605"/>
      <c r="AB262" s="471"/>
      <c r="AC262" s="484"/>
      <c r="AD262" s="471"/>
      <c r="AE262" s="471"/>
      <c r="AF262" s="471"/>
      <c r="AG262" s="471"/>
      <c r="AH262" s="471"/>
      <c r="AI262" s="471"/>
      <c r="AJ262" s="471"/>
      <c r="AK262" s="471"/>
      <c r="AL262" s="471"/>
      <c r="AM262" s="471"/>
      <c r="AN262" s="471"/>
      <c r="AO262" s="471"/>
      <c r="AP262" s="471"/>
      <c r="AQ262" s="471"/>
      <c r="AR262" s="471"/>
      <c r="AS262" s="471"/>
      <c r="AT262" s="471"/>
      <c r="AU262" s="471"/>
      <c r="AV262" s="471"/>
      <c r="AW262" s="471"/>
      <c r="AX262" s="471"/>
      <c r="AY262" s="471"/>
      <c r="AZ262" s="471"/>
      <c r="BA262" s="471"/>
      <c r="BB262" s="471"/>
      <c r="BC262" s="471"/>
      <c r="BD262" s="471"/>
      <c r="BE262" s="471"/>
      <c r="BF262" s="471"/>
      <c r="BG262" s="471"/>
      <c r="BH262" s="471"/>
      <c r="BI262" s="471"/>
      <c r="BJ262" s="471"/>
    </row>
    <row r="263" spans="2:62" hidden="1" outlineLevel="1">
      <c r="B263" s="122" t="s">
        <v>39</v>
      </c>
      <c r="L263" s="471">
        <v>-44.4</v>
      </c>
      <c r="M263" s="471">
        <f t="shared" si="642"/>
        <v>-47.6</v>
      </c>
      <c r="N263" s="471">
        <v>-92</v>
      </c>
      <c r="O263" s="471">
        <v>-55.4</v>
      </c>
      <c r="P263" s="471">
        <f t="shared" si="643"/>
        <v>-58.699999999999996</v>
      </c>
      <c r="Q263" s="471">
        <v>-114.1</v>
      </c>
      <c r="R263" s="471">
        <v>-47.9</v>
      </c>
      <c r="S263" s="471">
        <f t="shared" si="644"/>
        <v>-51.4</v>
      </c>
      <c r="T263" s="484">
        <v>-99.3</v>
      </c>
      <c r="U263" s="605">
        <v>-59.2</v>
      </c>
      <c r="V263" s="471">
        <f>V29-V220</f>
        <v>-34.626399999999961</v>
      </c>
      <c r="W263" s="484"/>
      <c r="X263" s="605"/>
      <c r="Y263" s="471"/>
      <c r="Z263" s="484"/>
      <c r="AA263" s="605"/>
      <c r="AB263" s="471"/>
      <c r="AC263" s="484"/>
      <c r="AD263" s="471"/>
      <c r="AE263" s="471"/>
      <c r="AF263" s="471"/>
      <c r="AG263" s="471"/>
      <c r="AH263" s="471"/>
      <c r="AI263" s="471"/>
      <c r="AJ263" s="471"/>
      <c r="AK263" s="471"/>
      <c r="AL263" s="471"/>
      <c r="AM263" s="471"/>
      <c r="AN263" s="471"/>
      <c r="AO263" s="471"/>
      <c r="AP263" s="471"/>
      <c r="AQ263" s="471"/>
      <c r="AR263" s="471"/>
      <c r="AS263" s="471"/>
      <c r="AT263" s="471"/>
      <c r="AU263" s="471"/>
      <c r="AV263" s="471"/>
      <c r="AW263" s="471"/>
      <c r="AX263" s="471"/>
      <c r="AY263" s="471"/>
      <c r="AZ263" s="471"/>
      <c r="BA263" s="471"/>
      <c r="BB263" s="471"/>
      <c r="BC263" s="471"/>
      <c r="BD263" s="471"/>
      <c r="BE263" s="471"/>
      <c r="BF263" s="471"/>
      <c r="BG263" s="471"/>
      <c r="BH263" s="471"/>
      <c r="BI263" s="471"/>
      <c r="BJ263" s="471"/>
    </row>
    <row r="264" spans="2:62" hidden="1" outlineLevel="1">
      <c r="B264" s="122" t="s">
        <v>70</v>
      </c>
      <c r="L264" s="471">
        <f>L262+L263</f>
        <v>115.4</v>
      </c>
      <c r="M264" s="471">
        <f t="shared" si="642"/>
        <v>120.69999999999999</v>
      </c>
      <c r="N264" s="471">
        <v>236.1</v>
      </c>
      <c r="O264" s="471">
        <v>256</v>
      </c>
      <c r="P264" s="471">
        <f t="shared" si="643"/>
        <v>187.3</v>
      </c>
      <c r="Q264" s="471">
        <v>443.3</v>
      </c>
      <c r="R264" s="471">
        <v>168.1</v>
      </c>
      <c r="S264" s="471">
        <f t="shared" si="644"/>
        <v>196.9</v>
      </c>
      <c r="T264" s="484">
        <v>365</v>
      </c>
      <c r="U264" s="605">
        <v>225.2</v>
      </c>
      <c r="V264" s="471">
        <f t="shared" ref="V264" si="645">V262-V263</f>
        <v>659.35720000000003</v>
      </c>
      <c r="W264" s="484"/>
      <c r="X264" s="605"/>
      <c r="Y264" s="471"/>
      <c r="Z264" s="484"/>
      <c r="AA264" s="605"/>
      <c r="AB264" s="471"/>
      <c r="AC264" s="484"/>
      <c r="AD264" s="471"/>
      <c r="AE264" s="471"/>
      <c r="AF264" s="471"/>
      <c r="AG264" s="471"/>
      <c r="AH264" s="471"/>
      <c r="AI264" s="471"/>
      <c r="AJ264" s="471"/>
      <c r="AK264" s="471"/>
      <c r="AL264" s="471"/>
      <c r="AM264" s="471"/>
      <c r="AN264" s="471"/>
      <c r="AO264" s="471"/>
      <c r="AP264" s="471"/>
      <c r="AQ264" s="471"/>
      <c r="AR264" s="471"/>
      <c r="AS264" s="471"/>
      <c r="AT264" s="471"/>
      <c r="AU264" s="471"/>
      <c r="AV264" s="471"/>
      <c r="AW264" s="471"/>
      <c r="AX264" s="471"/>
      <c r="AY264" s="471"/>
      <c r="AZ264" s="471"/>
      <c r="BA264" s="471"/>
      <c r="BB264" s="471"/>
      <c r="BC264" s="471"/>
      <c r="BD264" s="471"/>
      <c r="BE264" s="471"/>
      <c r="BF264" s="471"/>
      <c r="BG264" s="471"/>
      <c r="BH264" s="471"/>
      <c r="BI264" s="471"/>
      <c r="BJ264" s="471"/>
    </row>
    <row r="265" spans="2:62" hidden="1" outlineLevel="1">
      <c r="B265" s="122" t="s">
        <v>141</v>
      </c>
      <c r="L265" s="480">
        <v>-9.4</v>
      </c>
      <c r="M265" s="480">
        <f t="shared" si="642"/>
        <v>-8.4</v>
      </c>
      <c r="N265" s="480">
        <v>-17.8</v>
      </c>
      <c r="O265" s="480">
        <v>-3.1</v>
      </c>
      <c r="P265" s="480">
        <f t="shared" si="643"/>
        <v>-2.6999999999999997</v>
      </c>
      <c r="Q265" s="480">
        <v>-5.8</v>
      </c>
      <c r="R265" s="480">
        <v>-3.2</v>
      </c>
      <c r="S265" s="480">
        <f t="shared" si="644"/>
        <v>-4.8999999999999995</v>
      </c>
      <c r="T265" s="522">
        <v>-8.1</v>
      </c>
      <c r="U265" s="606">
        <v>-2.5</v>
      </c>
      <c r="V265" s="480">
        <f>V37-V221</f>
        <v>-2.8243053337591846</v>
      </c>
      <c r="W265" s="522"/>
      <c r="X265" s="606"/>
      <c r="Y265" s="480"/>
      <c r="Z265" s="522"/>
      <c r="AA265" s="606"/>
      <c r="AB265" s="480"/>
      <c r="AC265" s="522"/>
      <c r="AD265" s="480"/>
      <c r="AE265" s="480"/>
      <c r="AF265" s="480"/>
      <c r="AG265" s="480"/>
      <c r="AH265" s="480"/>
      <c r="AI265" s="480"/>
      <c r="AJ265" s="480"/>
      <c r="AK265" s="480"/>
      <c r="AL265" s="480"/>
      <c r="AM265" s="480"/>
      <c r="AN265" s="480"/>
      <c r="AO265" s="480"/>
      <c r="AP265" s="480"/>
      <c r="AQ265" s="480"/>
      <c r="AR265" s="480"/>
      <c r="AS265" s="480"/>
      <c r="AT265" s="480"/>
      <c r="AU265" s="480"/>
      <c r="AV265" s="480"/>
      <c r="AW265" s="480"/>
      <c r="AX265" s="480"/>
      <c r="AY265" s="480"/>
      <c r="AZ265" s="480"/>
      <c r="BA265" s="480"/>
      <c r="BB265" s="480"/>
      <c r="BC265" s="480"/>
      <c r="BD265" s="480"/>
      <c r="BE265" s="480"/>
      <c r="BF265" s="480"/>
      <c r="BG265" s="480"/>
      <c r="BH265" s="480"/>
      <c r="BI265" s="480"/>
      <c r="BJ265" s="480"/>
    </row>
    <row r="266" spans="2:62" hidden="1" outlineLevel="1">
      <c r="B266" s="122" t="s">
        <v>696</v>
      </c>
      <c r="L266" s="471">
        <v>106</v>
      </c>
      <c r="M266" s="471">
        <f t="shared" si="642"/>
        <v>112.30000000000001</v>
      </c>
      <c r="N266" s="471">
        <v>218.3</v>
      </c>
      <c r="O266" s="471">
        <v>252.9</v>
      </c>
      <c r="P266" s="471">
        <f t="shared" si="643"/>
        <v>184.6</v>
      </c>
      <c r="Q266" s="471">
        <v>437.5</v>
      </c>
      <c r="R266" s="471">
        <v>164.9</v>
      </c>
      <c r="S266" s="471">
        <f t="shared" si="644"/>
        <v>191.99999999999997</v>
      </c>
      <c r="T266" s="484">
        <v>356.9</v>
      </c>
      <c r="U266" s="605">
        <f t="shared" ref="U266:V266" si="646">U264-U265</f>
        <v>227.7</v>
      </c>
      <c r="V266" s="471">
        <f t="shared" si="646"/>
        <v>662.18150533375922</v>
      </c>
      <c r="W266" s="484"/>
      <c r="X266" s="605"/>
      <c r="Y266" s="471"/>
      <c r="Z266" s="484"/>
      <c r="AA266" s="605"/>
      <c r="AB266" s="471"/>
      <c r="AC266" s="484"/>
      <c r="AD266" s="471"/>
      <c r="AE266" s="471"/>
      <c r="AF266" s="471"/>
      <c r="AG266" s="471"/>
      <c r="AH266" s="471"/>
      <c r="AI266" s="471"/>
      <c r="AJ266" s="471"/>
      <c r="AK266" s="471"/>
      <c r="AL266" s="471"/>
      <c r="AM266" s="471"/>
      <c r="AN266" s="471"/>
      <c r="AO266" s="471"/>
      <c r="AP266" s="471"/>
      <c r="AQ266" s="471"/>
      <c r="AR266" s="471"/>
      <c r="AS266" s="471"/>
      <c r="AT266" s="471"/>
      <c r="AU266" s="471"/>
      <c r="AV266" s="471"/>
      <c r="AW266" s="471"/>
      <c r="AX266" s="471"/>
      <c r="AY266" s="471"/>
      <c r="AZ266" s="471"/>
      <c r="BA266" s="471"/>
      <c r="BB266" s="471"/>
      <c r="BC266" s="471"/>
      <c r="BD266" s="471"/>
      <c r="BE266" s="471"/>
      <c r="BF266" s="471"/>
      <c r="BG266" s="471"/>
      <c r="BH266" s="471"/>
      <c r="BI266" s="471"/>
      <c r="BJ266" s="471"/>
    </row>
    <row r="267" spans="2:62" hidden="1" outlineLevel="1">
      <c r="B267" s="122" t="s">
        <v>417</v>
      </c>
      <c r="L267" s="471">
        <v>-31.9</v>
      </c>
      <c r="M267" s="471">
        <f t="shared" si="642"/>
        <v>-32.300000000000004</v>
      </c>
      <c r="N267" s="471">
        <v>-64.2</v>
      </c>
      <c r="O267" s="471">
        <v>-75.8</v>
      </c>
      <c r="P267" s="471">
        <f t="shared" si="643"/>
        <v>-53.7</v>
      </c>
      <c r="Q267" s="471">
        <v>-129.5</v>
      </c>
      <c r="R267" s="471">
        <v>-49.4</v>
      </c>
      <c r="S267" s="471">
        <f t="shared" si="644"/>
        <v>-58.300000000000004</v>
      </c>
      <c r="T267" s="484">
        <v>-107.7</v>
      </c>
      <c r="U267" s="484">
        <v>-66.099999999999994</v>
      </c>
      <c r="V267" s="471" t="e">
        <f>V266*#REF!</f>
        <v>#REF!</v>
      </c>
      <c r="W267" s="484"/>
      <c r="X267" s="484"/>
      <c r="Y267" s="471"/>
      <c r="Z267" s="484"/>
      <c r="AA267" s="484"/>
      <c r="AB267" s="471"/>
      <c r="AC267" s="484"/>
      <c r="AD267" s="471"/>
      <c r="AE267" s="471"/>
      <c r="AF267" s="471"/>
      <c r="AG267" s="471"/>
      <c r="AH267" s="471"/>
      <c r="AI267" s="471"/>
      <c r="AJ267" s="471"/>
      <c r="AK267" s="471"/>
      <c r="AL267" s="471"/>
      <c r="AM267" s="471"/>
      <c r="AN267" s="471"/>
      <c r="AO267" s="471"/>
      <c r="AP267" s="471"/>
      <c r="AQ267" s="471"/>
      <c r="AR267" s="471"/>
      <c r="AS267" s="471"/>
      <c r="AT267" s="471"/>
      <c r="AU267" s="471"/>
      <c r="AV267" s="471"/>
      <c r="AW267" s="471"/>
      <c r="AX267" s="471"/>
      <c r="AY267" s="471"/>
      <c r="AZ267" s="471"/>
      <c r="BA267" s="471"/>
      <c r="BB267" s="471"/>
      <c r="BC267" s="471"/>
      <c r="BD267" s="471"/>
      <c r="BE267" s="471"/>
      <c r="BF267" s="471"/>
      <c r="BG267" s="471"/>
      <c r="BH267" s="471"/>
      <c r="BI267" s="471"/>
      <c r="BJ267" s="471"/>
    </row>
    <row r="268" spans="2:62" hidden="1" outlineLevel="1">
      <c r="B268" s="122" t="s">
        <v>586</v>
      </c>
      <c r="L268" s="471">
        <v>74.099999999999994</v>
      </c>
      <c r="M268" s="471">
        <f t="shared" si="642"/>
        <v>80</v>
      </c>
      <c r="N268" s="471">
        <v>154.1</v>
      </c>
      <c r="O268" s="471">
        <v>177.1</v>
      </c>
      <c r="P268" s="471">
        <f t="shared" si="643"/>
        <v>130.9</v>
      </c>
      <c r="Q268" s="471">
        <v>308</v>
      </c>
      <c r="R268" s="471">
        <v>115.5</v>
      </c>
      <c r="S268" s="471">
        <f t="shared" si="644"/>
        <v>133.69999999999999</v>
      </c>
      <c r="T268" s="484">
        <v>249.2</v>
      </c>
      <c r="U268" s="471">
        <f t="shared" ref="U268:V268" si="647">U266-U267</f>
        <v>293.79999999999995</v>
      </c>
      <c r="V268" s="471" t="e">
        <f t="shared" si="647"/>
        <v>#REF!</v>
      </c>
      <c r="W268" s="484"/>
      <c r="X268" s="471"/>
      <c r="Y268" s="471"/>
      <c r="Z268" s="484"/>
      <c r="AA268" s="471"/>
      <c r="AB268" s="471"/>
      <c r="AC268" s="484"/>
      <c r="AD268" s="471"/>
      <c r="AE268" s="471"/>
      <c r="AF268" s="471"/>
      <c r="AG268" s="471"/>
      <c r="AH268" s="471"/>
      <c r="AI268" s="471"/>
      <c r="AJ268" s="471"/>
      <c r="AK268" s="471"/>
      <c r="AL268" s="471"/>
      <c r="AM268" s="471"/>
      <c r="AN268" s="471"/>
      <c r="AO268" s="471"/>
      <c r="AP268" s="471"/>
      <c r="AQ268" s="471"/>
      <c r="AR268" s="471"/>
      <c r="AS268" s="471"/>
      <c r="AT268" s="471"/>
      <c r="AU268" s="471"/>
      <c r="AV268" s="471"/>
      <c r="AW268" s="471"/>
      <c r="AX268" s="471"/>
      <c r="AY268" s="471"/>
      <c r="AZ268" s="471"/>
      <c r="BA268" s="471"/>
      <c r="BB268" s="471"/>
      <c r="BC268" s="471"/>
      <c r="BD268" s="471"/>
      <c r="BE268" s="471"/>
      <c r="BF268" s="471"/>
      <c r="BG268" s="471"/>
      <c r="BH268" s="471"/>
      <c r="BI268" s="471"/>
      <c r="BJ268" s="471"/>
    </row>
    <row r="269" spans="2:62" hidden="1" outlineLevel="1"/>
    <row r="270" spans="2:62" s="125" customFormat="1" hidden="1" outlineLevel="1">
      <c r="B270" s="125" t="s">
        <v>872</v>
      </c>
      <c r="C270" s="607"/>
      <c r="D270" s="607"/>
      <c r="E270" s="607"/>
      <c r="F270" s="607"/>
      <c r="G270" s="607"/>
      <c r="H270" s="607"/>
      <c r="I270" s="607"/>
      <c r="J270" s="607"/>
      <c r="K270" s="608"/>
      <c r="L270" s="475">
        <f>SUM(L271:L275)</f>
        <v>115.39999999999999</v>
      </c>
      <c r="M270" s="475">
        <f>N270-L270</f>
        <v>120.69999999999997</v>
      </c>
      <c r="N270" s="475">
        <f>SUM(N271:N275)</f>
        <v>236.09999999999997</v>
      </c>
      <c r="O270" s="475">
        <f>SUM(O271:O275)</f>
        <v>256</v>
      </c>
      <c r="P270" s="475">
        <f>Q270-O270</f>
        <v>187.3</v>
      </c>
      <c r="Q270" s="475">
        <f>SUM(Q271:Q275)</f>
        <v>443.3</v>
      </c>
      <c r="R270" s="475">
        <f>SUM(R271:R275)</f>
        <v>168.10000000000002</v>
      </c>
      <c r="S270" s="475">
        <f>T270-R270</f>
        <v>196.89999999999998</v>
      </c>
      <c r="T270" s="475">
        <f>SUM(T271:T275)</f>
        <v>365</v>
      </c>
      <c r="U270" s="475">
        <f>U264</f>
        <v>225.2</v>
      </c>
      <c r="V270" s="475">
        <f>V31</f>
        <v>192.9</v>
      </c>
      <c r="W270" s="475"/>
      <c r="X270" s="475"/>
      <c r="Y270" s="475"/>
      <c r="Z270" s="475"/>
      <c r="AA270" s="475"/>
      <c r="AB270" s="475"/>
      <c r="AC270" s="475"/>
      <c r="AD270" s="475"/>
      <c r="AE270" s="475"/>
      <c r="AF270" s="475"/>
      <c r="AG270" s="475"/>
      <c r="AH270" s="475"/>
      <c r="AI270" s="475"/>
      <c r="AJ270" s="475"/>
      <c r="AK270" s="475"/>
      <c r="AL270" s="475"/>
      <c r="AM270" s="475"/>
      <c r="AN270" s="475"/>
      <c r="AO270" s="475"/>
      <c r="AP270" s="475"/>
      <c r="AQ270" s="475"/>
      <c r="AR270" s="475"/>
      <c r="AS270" s="475"/>
      <c r="AT270" s="475"/>
      <c r="AU270" s="475"/>
      <c r="AV270" s="475"/>
      <c r="AW270" s="475"/>
      <c r="AX270" s="475"/>
      <c r="AY270" s="475"/>
      <c r="AZ270" s="475"/>
      <c r="BA270" s="475"/>
      <c r="BB270" s="475"/>
      <c r="BC270" s="475"/>
      <c r="BD270" s="475"/>
      <c r="BE270" s="475"/>
      <c r="BF270" s="475"/>
      <c r="BG270" s="475"/>
      <c r="BH270" s="475"/>
      <c r="BI270" s="475"/>
      <c r="BJ270" s="475"/>
    </row>
    <row r="271" spans="2:62" hidden="1" outlineLevel="1">
      <c r="B271" s="122" t="str">
        <f>B234</f>
        <v>Auto Retailing</v>
      </c>
      <c r="L271" s="471">
        <v>57.3</v>
      </c>
      <c r="M271" s="471">
        <f t="shared" ref="M271:M275" si="648">N271-L271</f>
        <v>77.600000000000009</v>
      </c>
      <c r="N271" s="471">
        <v>134.9</v>
      </c>
      <c r="O271" s="471">
        <v>104.1</v>
      </c>
      <c r="P271" s="471">
        <f t="shared" ref="P271:P275" si="649">Q271-O271</f>
        <v>88.6</v>
      </c>
      <c r="Q271" s="484">
        <v>192.7</v>
      </c>
      <c r="R271" s="484">
        <v>78.2</v>
      </c>
      <c r="S271" s="471">
        <f t="shared" ref="S271:S275" si="650">T271-R271</f>
        <v>101.39999999999999</v>
      </c>
      <c r="T271" s="484">
        <v>179.6</v>
      </c>
      <c r="U271" s="471">
        <v>111.2</v>
      </c>
      <c r="V271" s="471" t="e">
        <f>#REF!+V229</f>
        <v>#REF!</v>
      </c>
      <c r="W271" s="484"/>
      <c r="X271" s="471"/>
      <c r="Y271" s="471"/>
      <c r="Z271" s="484"/>
      <c r="AA271" s="471"/>
      <c r="AB271" s="471"/>
      <c r="AC271" s="484"/>
      <c r="AD271" s="471"/>
      <c r="AE271" s="471"/>
      <c r="AF271" s="471"/>
      <c r="AG271" s="471"/>
      <c r="AH271" s="471"/>
      <c r="AI271" s="471"/>
      <c r="AJ271" s="471"/>
      <c r="AK271" s="471"/>
      <c r="AL271" s="471"/>
      <c r="AM271" s="471"/>
      <c r="AN271" s="471"/>
      <c r="AO271" s="471"/>
      <c r="AP271" s="471"/>
      <c r="AQ271" s="471"/>
      <c r="AR271" s="471"/>
      <c r="AS271" s="471"/>
      <c r="AT271" s="471"/>
      <c r="AU271" s="471"/>
      <c r="AV271" s="471"/>
      <c r="AW271" s="471"/>
      <c r="AX271" s="471"/>
      <c r="AY271" s="471"/>
      <c r="AZ271" s="471"/>
      <c r="BA271" s="471"/>
      <c r="BB271" s="471"/>
      <c r="BC271" s="471"/>
      <c r="BD271" s="471"/>
      <c r="BE271" s="471"/>
      <c r="BF271" s="471"/>
      <c r="BG271" s="471"/>
      <c r="BH271" s="471"/>
      <c r="BI271" s="471"/>
      <c r="BJ271" s="471"/>
    </row>
    <row r="272" spans="2:62" hidden="1" outlineLevel="1">
      <c r="B272" s="122" t="s">
        <v>150</v>
      </c>
      <c r="L272" s="471">
        <v>12.1</v>
      </c>
      <c r="M272" s="471">
        <f t="shared" si="648"/>
        <v>3.5999999999999996</v>
      </c>
      <c r="N272" s="471">
        <v>15.7</v>
      </c>
      <c r="O272" s="471">
        <v>62</v>
      </c>
      <c r="P272" s="471">
        <f t="shared" si="649"/>
        <v>33.900000000000006</v>
      </c>
      <c r="Q272" s="484">
        <v>95.9</v>
      </c>
      <c r="R272" s="484">
        <v>32.299999999999997</v>
      </c>
      <c r="S272" s="471">
        <f t="shared" si="650"/>
        <v>29.5</v>
      </c>
      <c r="T272" s="471">
        <v>61.8</v>
      </c>
      <c r="U272" s="471">
        <v>32.4</v>
      </c>
      <c r="V272" s="471"/>
      <c r="W272" s="471"/>
      <c r="X272" s="471"/>
      <c r="Y272" s="471"/>
      <c r="Z272" s="471"/>
      <c r="AA272" s="471"/>
      <c r="AB272" s="471"/>
      <c r="AC272" s="471"/>
      <c r="AD272" s="471"/>
      <c r="AE272" s="471"/>
      <c r="AF272" s="471"/>
      <c r="AG272" s="471"/>
      <c r="AH272" s="471"/>
      <c r="AI272" s="471"/>
      <c r="AJ272" s="471"/>
      <c r="AK272" s="471"/>
      <c r="AL272" s="471"/>
      <c r="AM272" s="471"/>
      <c r="AN272" s="471"/>
      <c r="AO272" s="471"/>
      <c r="AP272" s="471"/>
      <c r="AQ272" s="471"/>
      <c r="AR272" s="471"/>
      <c r="AS272" s="471"/>
      <c r="AT272" s="471"/>
      <c r="AU272" s="471"/>
      <c r="AV272" s="471"/>
      <c r="AW272" s="471"/>
      <c r="AX272" s="471"/>
      <c r="AY272" s="471"/>
      <c r="AZ272" s="471"/>
      <c r="BA272" s="471"/>
      <c r="BB272" s="471"/>
      <c r="BC272" s="471"/>
      <c r="BD272" s="471"/>
      <c r="BE272" s="471"/>
      <c r="BF272" s="471"/>
      <c r="BG272" s="471"/>
      <c r="BH272" s="471"/>
      <c r="BI272" s="471"/>
      <c r="BJ272" s="471"/>
    </row>
    <row r="273" spans="2:62" hidden="1" outlineLevel="1">
      <c r="B273" s="122" t="s">
        <v>246</v>
      </c>
      <c r="L273" s="471">
        <v>2.2999999999999998</v>
      </c>
      <c r="M273" s="471">
        <f t="shared" si="648"/>
        <v>4.9000000000000004</v>
      </c>
      <c r="N273" s="471">
        <v>7.2</v>
      </c>
      <c r="O273" s="471">
        <v>3.5</v>
      </c>
      <c r="P273" s="471">
        <f t="shared" si="649"/>
        <v>13.899999999999999</v>
      </c>
      <c r="Q273" s="484">
        <v>17.399999999999999</v>
      </c>
      <c r="R273" s="484">
        <v>-0.9</v>
      </c>
      <c r="S273" s="471">
        <f t="shared" si="650"/>
        <v>19.599999999999998</v>
      </c>
      <c r="T273" s="471">
        <v>18.7</v>
      </c>
      <c r="U273" s="471">
        <v>16</v>
      </c>
      <c r="V273" s="471" t="e">
        <f>#REF!+V230</f>
        <v>#REF!</v>
      </c>
      <c r="W273" s="471"/>
      <c r="X273" s="471"/>
      <c r="Y273" s="471"/>
      <c r="Z273" s="471"/>
      <c r="AA273" s="471"/>
      <c r="AB273" s="471"/>
      <c r="AC273" s="471"/>
      <c r="AD273" s="471"/>
      <c r="AE273" s="471"/>
      <c r="AF273" s="471"/>
      <c r="AG273" s="471"/>
      <c r="AH273" s="471"/>
      <c r="AI273" s="471"/>
      <c r="AJ273" s="471"/>
      <c r="AK273" s="471"/>
      <c r="AL273" s="471"/>
      <c r="AM273" s="471"/>
      <c r="AN273" s="471"/>
      <c r="AO273" s="471"/>
      <c r="AP273" s="471"/>
      <c r="AQ273" s="471"/>
      <c r="AR273" s="471"/>
      <c r="AS273" s="471"/>
      <c r="AT273" s="471"/>
      <c r="AU273" s="471"/>
      <c r="AV273" s="471"/>
      <c r="AW273" s="471"/>
      <c r="AX273" s="471"/>
      <c r="AY273" s="471"/>
      <c r="AZ273" s="471"/>
      <c r="BA273" s="471"/>
      <c r="BB273" s="471"/>
      <c r="BC273" s="471"/>
      <c r="BD273" s="471"/>
      <c r="BE273" s="471"/>
      <c r="BF273" s="471"/>
      <c r="BG273" s="471"/>
      <c r="BH273" s="471"/>
      <c r="BI273" s="471"/>
      <c r="BJ273" s="471"/>
    </row>
    <row r="274" spans="2:62" hidden="1" outlineLevel="1">
      <c r="B274" s="122" t="s">
        <v>168</v>
      </c>
      <c r="L274" s="471">
        <v>53.7</v>
      </c>
      <c r="M274" s="471">
        <f t="shared" si="648"/>
        <v>42.899999999999991</v>
      </c>
      <c r="N274" s="471">
        <v>96.6</v>
      </c>
      <c r="O274" s="471">
        <v>99.6</v>
      </c>
      <c r="P274" s="471">
        <f t="shared" si="649"/>
        <v>68.400000000000006</v>
      </c>
      <c r="Q274" s="484">
        <v>168</v>
      </c>
      <c r="R274" s="484">
        <v>68.2</v>
      </c>
      <c r="S274" s="471">
        <f t="shared" si="650"/>
        <v>74.2</v>
      </c>
      <c r="T274" s="471">
        <v>142.4</v>
      </c>
      <c r="U274" s="471">
        <v>84.2</v>
      </c>
      <c r="V274" s="471" t="e">
        <f>#REF!+V231</f>
        <v>#REF!</v>
      </c>
      <c r="W274" s="471"/>
      <c r="X274" s="471"/>
      <c r="Y274" s="471"/>
      <c r="Z274" s="471"/>
      <c r="AA274" s="471"/>
      <c r="AB274" s="471"/>
      <c r="AC274" s="471"/>
      <c r="AD274" s="471"/>
      <c r="AE274" s="471"/>
      <c r="AF274" s="471"/>
      <c r="AG274" s="471"/>
      <c r="AH274" s="471"/>
      <c r="AI274" s="471"/>
      <c r="AJ274" s="471"/>
      <c r="AK274" s="471"/>
      <c r="AL274" s="471"/>
      <c r="AM274" s="471"/>
      <c r="AN274" s="471"/>
      <c r="AO274" s="471"/>
      <c r="AP274" s="471"/>
      <c r="AQ274" s="471"/>
      <c r="AR274" s="471"/>
      <c r="AS274" s="471"/>
      <c r="AT274" s="471"/>
      <c r="AU274" s="471"/>
      <c r="AV274" s="471"/>
      <c r="AW274" s="471"/>
      <c r="AX274" s="471"/>
      <c r="AY274" s="471"/>
      <c r="AZ274" s="471"/>
      <c r="BA274" s="471"/>
      <c r="BB274" s="471"/>
      <c r="BC274" s="471"/>
      <c r="BD274" s="471"/>
      <c r="BE274" s="471"/>
      <c r="BF274" s="471"/>
      <c r="BG274" s="471"/>
      <c r="BH274" s="471"/>
      <c r="BI274" s="471"/>
      <c r="BJ274" s="471"/>
    </row>
    <row r="275" spans="2:62" hidden="1" outlineLevel="1">
      <c r="B275" s="122" t="s">
        <v>693</v>
      </c>
      <c r="L275" s="471">
        <v>-10</v>
      </c>
      <c r="M275" s="471">
        <f t="shared" si="648"/>
        <v>-8.3000000000000007</v>
      </c>
      <c r="N275" s="471">
        <v>-18.3</v>
      </c>
      <c r="O275" s="471">
        <v>-13.2</v>
      </c>
      <c r="P275" s="471">
        <f t="shared" si="649"/>
        <v>-17.5</v>
      </c>
      <c r="Q275" s="471">
        <v>-30.7</v>
      </c>
      <c r="R275" s="471">
        <v>-9.6999999999999993</v>
      </c>
      <c r="S275" s="471">
        <f t="shared" si="650"/>
        <v>-27.8</v>
      </c>
      <c r="T275" s="471">
        <v>-37.5</v>
      </c>
      <c r="U275" s="471">
        <f>U270-SUM(U271:U274)</f>
        <v>-18.600000000000023</v>
      </c>
      <c r="V275" s="471" t="e">
        <f t="shared" ref="V275" si="651">V270-SUM(V271:V274)</f>
        <v>#REF!</v>
      </c>
      <c r="W275" s="471"/>
      <c r="X275" s="471"/>
      <c r="Y275" s="471"/>
      <c r="Z275" s="471"/>
      <c r="AA275" s="471"/>
      <c r="AB275" s="471"/>
      <c r="AC275" s="471"/>
      <c r="AD275" s="471"/>
      <c r="AE275" s="471"/>
      <c r="AF275" s="471"/>
      <c r="AG275" s="471"/>
      <c r="AH275" s="471"/>
      <c r="AI275" s="471"/>
      <c r="AJ275" s="471"/>
      <c r="AK275" s="471"/>
      <c r="AL275" s="471"/>
      <c r="AM275" s="471"/>
      <c r="AN275" s="471"/>
      <c r="AO275" s="471"/>
      <c r="AP275" s="471"/>
      <c r="AQ275" s="471"/>
      <c r="AR275" s="471"/>
      <c r="AS275" s="471"/>
      <c r="AT275" s="471"/>
      <c r="AU275" s="471"/>
      <c r="AV275" s="471"/>
      <c r="AW275" s="471"/>
      <c r="AX275" s="471"/>
      <c r="AY275" s="471"/>
      <c r="AZ275" s="471"/>
      <c r="BA275" s="471"/>
      <c r="BB275" s="471"/>
      <c r="BC275" s="471"/>
      <c r="BD275" s="471"/>
      <c r="BE275" s="471"/>
      <c r="BF275" s="471"/>
      <c r="BG275" s="471"/>
      <c r="BH275" s="471"/>
      <c r="BI275" s="471"/>
      <c r="BJ275" s="471"/>
    </row>
    <row r="276" spans="2:62" hidden="1" outlineLevel="1"/>
    <row r="277" spans="2:62" hidden="1" outlineLevel="1">
      <c r="B277" s="122" t="s">
        <v>882</v>
      </c>
    </row>
    <row r="278" spans="2:62" s="225" customFormat="1" hidden="1" outlineLevel="1">
      <c r="B278" s="225" t="s">
        <v>349</v>
      </c>
      <c r="C278" s="473"/>
      <c r="D278" s="473"/>
      <c r="E278" s="473">
        <f>Divisionals!E33/Divisionals!E7</f>
        <v>0.11612093315200335</v>
      </c>
      <c r="F278" s="473">
        <f>Divisionals!F33/Divisionals!F7</f>
        <v>0.10779949680665762</v>
      </c>
      <c r="G278" s="473">
        <f>Divisionals!G33/Divisionals!G7</f>
        <v>0.12395344088217278</v>
      </c>
      <c r="H278" s="473">
        <f>Divisionals!H33/Divisionals!H7</f>
        <v>0.11565977742448331</v>
      </c>
      <c r="I278" s="473"/>
      <c r="J278" s="473"/>
      <c r="K278" s="560">
        <f>Divisionals!K33/Divisionals!K7</f>
        <v>0.11589467614837594</v>
      </c>
      <c r="L278" s="473">
        <f>L271/Divisionals!L7</f>
        <v>0.10404939168331213</v>
      </c>
      <c r="M278" s="473">
        <f>M271/Divisionals!M7</f>
        <v>0.13637961335676627</v>
      </c>
      <c r="N278" s="473">
        <f>N271/Divisionals!N7</f>
        <v>0.12047869965169242</v>
      </c>
      <c r="O278" s="473">
        <f>O271/Divisionals!O7</f>
        <v>0.15727451276627888</v>
      </c>
      <c r="P278" s="473">
        <f>P271/Divisionals!P7</f>
        <v>0.13696089040037099</v>
      </c>
      <c r="Q278" s="473">
        <f>Q271/Divisionals!Q7</f>
        <v>0.14723410757946209</v>
      </c>
      <c r="R278" s="473">
        <f>R271/Divisionals!R7</f>
        <v>0.12692744684304497</v>
      </c>
      <c r="S278" s="473"/>
      <c r="T278" s="473">
        <f>T271/Divisionals!T7</f>
        <v>0.13404985818778922</v>
      </c>
      <c r="U278" s="473"/>
      <c r="V278" s="473"/>
      <c r="W278" s="473"/>
      <c r="X278" s="473"/>
      <c r="Y278" s="473"/>
      <c r="Z278" s="473"/>
      <c r="AA278" s="473"/>
      <c r="AB278" s="473"/>
      <c r="AC278" s="473"/>
      <c r="AD278" s="473"/>
      <c r="AE278" s="473"/>
      <c r="AF278" s="473"/>
      <c r="AG278" s="473"/>
      <c r="AH278" s="473"/>
      <c r="AI278" s="473"/>
      <c r="AJ278" s="473"/>
      <c r="AK278" s="473"/>
      <c r="AL278" s="473"/>
      <c r="AM278" s="473"/>
      <c r="AN278" s="473"/>
      <c r="AO278" s="473"/>
      <c r="AP278" s="473"/>
      <c r="AQ278" s="473"/>
      <c r="AR278" s="473"/>
      <c r="AS278" s="473"/>
      <c r="AT278" s="473"/>
      <c r="AU278" s="473"/>
      <c r="AV278" s="473"/>
      <c r="AW278" s="473"/>
      <c r="AX278" s="473"/>
      <c r="AY278" s="473"/>
      <c r="AZ278" s="473"/>
      <c r="BA278" s="473"/>
      <c r="BB278" s="473"/>
      <c r="BC278" s="473"/>
      <c r="BD278" s="473"/>
      <c r="BE278" s="473"/>
      <c r="BF278" s="473"/>
      <c r="BG278" s="473"/>
      <c r="BH278" s="473"/>
      <c r="BI278" s="473"/>
      <c r="BJ278" s="473"/>
    </row>
    <row r="279" spans="2:62" s="225" customFormat="1" hidden="1" outlineLevel="1">
      <c r="B279" s="225" t="s">
        <v>150</v>
      </c>
      <c r="C279" s="473"/>
      <c r="D279" s="473"/>
      <c r="E279" s="473">
        <f>Divisionals!E34/Divisionals!E8</f>
        <v>6.5000000000000002E-2</v>
      </c>
      <c r="F279" s="473">
        <f>Divisionals!F34/Divisionals!F8</f>
        <v>7.2273631840796021E-2</v>
      </c>
      <c r="G279" s="473">
        <f>Divisionals!G34/Divisionals!G8</f>
        <v>3.3190176887299631E-2</v>
      </c>
      <c r="H279" s="473">
        <f>Divisionals!H34/Divisionals!H8</f>
        <v>5.4786273329319686E-2</v>
      </c>
      <c r="I279" s="473"/>
      <c r="J279" s="473"/>
      <c r="K279" s="560">
        <f>Divisionals!K34/Divisionals!K8</f>
        <v>4.0419743490089387E-2</v>
      </c>
      <c r="L279" s="473">
        <f>L272/Divisionals!L8</f>
        <v>4.2680776014109349E-2</v>
      </c>
      <c r="M279" s="473">
        <f>M272/Divisionals!M8</f>
        <v>1.4314115308151092E-2</v>
      </c>
      <c r="N279" s="473">
        <f>N272/Divisionals!N8</f>
        <v>2.9345794392523362E-2</v>
      </c>
      <c r="O279" s="473">
        <f>O272/Divisionals!O8</f>
        <v>0.14496142155716624</v>
      </c>
      <c r="P279" s="473">
        <f>P272/Divisionals!P8</f>
        <v>9.1621621621621629E-2</v>
      </c>
      <c r="Q279" s="473">
        <f>Q272/Divisionals!Q8</f>
        <v>0.12022063432368058</v>
      </c>
      <c r="R279" s="473">
        <f>R272/Divisionals!R8</f>
        <v>7.7180406212664268E-2</v>
      </c>
      <c r="S279" s="473"/>
      <c r="T279" s="473">
        <f>T272/Divisionals!T8</f>
        <v>7.4484753525370609E-2</v>
      </c>
      <c r="U279" s="473"/>
      <c r="V279" s="473"/>
      <c r="W279" s="473"/>
      <c r="X279" s="473"/>
      <c r="Y279" s="473"/>
      <c r="Z279" s="473"/>
      <c r="AA279" s="473"/>
      <c r="AB279" s="473"/>
      <c r="AC279" s="473"/>
      <c r="AD279" s="473"/>
      <c r="AE279" s="473"/>
      <c r="AF279" s="473"/>
      <c r="AG279" s="473"/>
      <c r="AH279" s="473"/>
      <c r="AI279" s="473"/>
      <c r="AJ279" s="473"/>
      <c r="AK279" s="473"/>
      <c r="AL279" s="473"/>
      <c r="AM279" s="473"/>
      <c r="AN279" s="473"/>
      <c r="AO279" s="473"/>
      <c r="AP279" s="473"/>
      <c r="AQ279" s="473"/>
      <c r="AR279" s="473"/>
      <c r="AS279" s="473"/>
      <c r="AT279" s="473"/>
      <c r="AU279" s="473"/>
      <c r="AV279" s="473"/>
      <c r="AW279" s="473"/>
      <c r="AX279" s="473"/>
      <c r="AY279" s="473"/>
      <c r="AZ279" s="473"/>
      <c r="BA279" s="473"/>
      <c r="BB279" s="473"/>
      <c r="BC279" s="473"/>
      <c r="BD279" s="473"/>
      <c r="BE279" s="473"/>
      <c r="BF279" s="473"/>
      <c r="BG279" s="473"/>
      <c r="BH279" s="473"/>
      <c r="BI279" s="473"/>
      <c r="BJ279" s="473"/>
    </row>
    <row r="280" spans="2:62" s="225" customFormat="1" hidden="1" outlineLevel="1">
      <c r="B280" s="225" t="s">
        <v>246</v>
      </c>
      <c r="C280" s="473"/>
      <c r="D280" s="473"/>
      <c r="E280" s="473">
        <f>Divisionals!E35/Divisionals!E9</f>
        <v>3.1463748290013679E-2</v>
      </c>
      <c r="F280" s="473">
        <f>Divisionals!F35/Divisionals!F9</f>
        <v>-0.14583333333333334</v>
      </c>
      <c r="G280" s="473">
        <f>Divisionals!G35/Divisionals!G9</f>
        <v>0.10086956521739131</v>
      </c>
      <c r="H280" s="473">
        <f>Divisionals!H35/Divisionals!H9</f>
        <v>2.8220858895705518E-2</v>
      </c>
      <c r="I280" s="473"/>
      <c r="J280" s="473"/>
      <c r="K280" s="560">
        <f>Divisionals!K35/Divisionals!K9</f>
        <v>9.3659942363112383E-2</v>
      </c>
      <c r="L280" s="473">
        <f>L273/Divisionals!L9</f>
        <v>3.4586466165413533E-2</v>
      </c>
      <c r="M280" s="473">
        <f>M273/Divisionals!M9</f>
        <v>7.492354740061162E-2</v>
      </c>
      <c r="N280" s="473">
        <f>N273/Divisionals!N9</f>
        <v>5.4586808188021224E-2</v>
      </c>
      <c r="O280" s="473">
        <f>O273/Divisionals!O9</f>
        <v>5.5555555555555552E-2</v>
      </c>
      <c r="P280" s="473">
        <f>P273/Divisionals!P9</f>
        <v>0.15376106194690262</v>
      </c>
      <c r="Q280" s="473">
        <f>Q273/Divisionals!Q9</f>
        <v>0.11342894393741849</v>
      </c>
      <c r="R280" s="473">
        <f>R273/Divisionals!R9</f>
        <v>-1.3719512195121953E-2</v>
      </c>
      <c r="S280" s="473"/>
      <c r="T280" s="473">
        <f>T273/Divisionals!T9</f>
        <v>0.10576923076923075</v>
      </c>
      <c r="U280" s="473"/>
      <c r="V280" s="473"/>
      <c r="W280" s="473"/>
      <c r="X280" s="473"/>
      <c r="Y280" s="473"/>
      <c r="Z280" s="473"/>
      <c r="AA280" s="473"/>
      <c r="AB280" s="473"/>
      <c r="AC280" s="473"/>
      <c r="AD280" s="473"/>
      <c r="AE280" s="473"/>
      <c r="AF280" s="473"/>
      <c r="AG280" s="473"/>
      <c r="AH280" s="473"/>
      <c r="AI280" s="473"/>
      <c r="AJ280" s="473"/>
      <c r="AK280" s="473"/>
      <c r="AL280" s="473"/>
      <c r="AM280" s="473"/>
      <c r="AN280" s="473"/>
      <c r="AO280" s="473"/>
      <c r="AP280" s="473"/>
      <c r="AQ280" s="473"/>
      <c r="AR280" s="473"/>
      <c r="AS280" s="473"/>
      <c r="AT280" s="473"/>
      <c r="AU280" s="473"/>
      <c r="AV280" s="473"/>
      <c r="AW280" s="473"/>
      <c r="AX280" s="473"/>
      <c r="AY280" s="473"/>
      <c r="AZ280" s="473"/>
      <c r="BA280" s="473"/>
      <c r="BB280" s="473"/>
      <c r="BC280" s="473"/>
      <c r="BD280" s="473"/>
      <c r="BE280" s="473"/>
      <c r="BF280" s="473"/>
      <c r="BG280" s="473"/>
      <c r="BH280" s="473"/>
      <c r="BI280" s="473"/>
      <c r="BJ280" s="473"/>
    </row>
    <row r="281" spans="2:62" s="225" customFormat="1" hidden="1" outlineLevel="1">
      <c r="B281" s="225" t="s">
        <v>168</v>
      </c>
      <c r="C281" s="473"/>
      <c r="D281" s="473"/>
      <c r="E281" s="473">
        <f>Divisionals!E36/Divisionals!E10</f>
        <v>9.6186262115465646E-2</v>
      </c>
      <c r="F281" s="473">
        <f>Divisionals!F36/Divisionals!F10</f>
        <v>0.10262008733624454</v>
      </c>
      <c r="G281" s="473">
        <f>Divisionals!G36/Divisionals!G10</f>
        <v>8.3718973496003352E-2</v>
      </c>
      <c r="H281" s="473">
        <f>Divisionals!H36/Divisionals!H10</f>
        <v>9.3443627450980393E-2</v>
      </c>
      <c r="I281" s="473"/>
      <c r="J281" s="473"/>
      <c r="K281" s="560">
        <f>Divisionals!K36/Divisionals!K10</f>
        <v>9.2286501377410471E-2</v>
      </c>
      <c r="L281" s="473">
        <f>L274/Divisionals!L10</f>
        <v>9.8931466470154772E-2</v>
      </c>
      <c r="M281" s="473">
        <f>M274/Divisionals!M10</f>
        <v>8.6526825332795473E-2</v>
      </c>
      <c r="N281" s="473">
        <f>N274/Divisionals!N10</f>
        <v>9.3009820912767188E-2</v>
      </c>
      <c r="O281" s="473">
        <f>O274/Divisionals!O10</f>
        <v>0.15969215969215966</v>
      </c>
      <c r="P281" s="473">
        <f>P274/Divisionals!P10</f>
        <v>0.11930926216640504</v>
      </c>
      <c r="Q281" s="473">
        <f>Q274/Divisionals!Q10</f>
        <v>0.14035087719298245</v>
      </c>
      <c r="R281" s="473">
        <f>R274/Divisionals!R10</f>
        <v>0.11261558784676354</v>
      </c>
      <c r="S281" s="473"/>
      <c r="T281" s="473">
        <f>T274/Divisionals!T10</f>
        <v>0.11748205593597889</v>
      </c>
      <c r="U281" s="473"/>
      <c r="V281" s="473"/>
      <c r="W281" s="473"/>
      <c r="X281" s="473"/>
      <c r="Y281" s="473"/>
      <c r="Z281" s="473"/>
      <c r="AA281" s="473"/>
      <c r="AB281" s="473"/>
      <c r="AC281" s="473"/>
      <c r="AD281" s="473"/>
      <c r="AE281" s="473"/>
      <c r="AF281" s="473"/>
      <c r="AG281" s="473"/>
      <c r="AH281" s="473"/>
      <c r="AI281" s="473"/>
      <c r="AJ281" s="473"/>
      <c r="AK281" s="473"/>
      <c r="AL281" s="473"/>
      <c r="AM281" s="473"/>
      <c r="AN281" s="473"/>
      <c r="AO281" s="473"/>
      <c r="AP281" s="473"/>
      <c r="AQ281" s="473"/>
      <c r="AR281" s="473"/>
      <c r="AS281" s="473"/>
      <c r="AT281" s="473"/>
      <c r="AU281" s="473"/>
      <c r="AV281" s="473"/>
      <c r="AW281" s="473"/>
      <c r="AX281" s="473"/>
      <c r="AY281" s="473"/>
      <c r="AZ281" s="473"/>
      <c r="BA281" s="473"/>
      <c r="BB281" s="473"/>
      <c r="BC281" s="473"/>
      <c r="BD281" s="473"/>
      <c r="BE281" s="473"/>
      <c r="BF281" s="473"/>
      <c r="BG281" s="473"/>
      <c r="BH281" s="473"/>
      <c r="BI281" s="473"/>
      <c r="BJ281" s="473"/>
    </row>
    <row r="282" spans="2:62" s="465" customFormat="1" hidden="1" outlineLevel="1">
      <c r="B282" s="465" t="s">
        <v>147</v>
      </c>
      <c r="C282" s="482"/>
      <c r="D282" s="482"/>
      <c r="E282" s="482">
        <f>Divisionals!E38/Divisionals!E12</f>
        <v>8.4088394791484514E-2</v>
      </c>
      <c r="F282" s="482">
        <f>Divisionals!F38/Divisionals!F12</f>
        <v>8.5804332845651948E-2</v>
      </c>
      <c r="G282" s="482">
        <f>Divisionals!G38/Divisionals!G12</f>
        <v>8.5041003875091475E-2</v>
      </c>
      <c r="H282" s="482">
        <f>Divisionals!H38/Divisionals!H12</f>
        <v>8.5434173669467775E-2</v>
      </c>
      <c r="I282" s="482"/>
      <c r="J282" s="482"/>
      <c r="K282" s="556">
        <f>Divisionals!K38/Divisionals!K12</f>
        <v>8.4070470293380509E-2</v>
      </c>
      <c r="L282" s="482">
        <f>L270/Divisionals!L12</f>
        <v>7.9939041285674695E-2</v>
      </c>
      <c r="M282" s="482">
        <f>M270/Divisionals!M12</f>
        <v>8.7349833550441458E-2</v>
      </c>
      <c r="N282" s="482">
        <f>N270/Divisionals!N12</f>
        <v>8.3563389254618814E-2</v>
      </c>
      <c r="O282" s="482">
        <f>O270/Divisionals!O12</f>
        <v>0.14408735295773062</v>
      </c>
      <c r="P282" s="482">
        <f>P270/Divisionals!P12</f>
        <v>0.11172751133381055</v>
      </c>
      <c r="Q282" s="482">
        <f>Q270/Divisionals!Q12</f>
        <v>0.12837740001737569</v>
      </c>
      <c r="R282" s="482">
        <f>R270/Divisionals!R12</f>
        <v>9.8580811634998849E-2</v>
      </c>
      <c r="S282" s="482"/>
      <c r="T282" s="482">
        <f>T270/Divisionals!T12</f>
        <v>0.102787947057167</v>
      </c>
      <c r="U282" s="482"/>
      <c r="V282" s="482"/>
      <c r="W282" s="482"/>
      <c r="X282" s="482"/>
      <c r="Y282" s="482"/>
      <c r="Z282" s="482"/>
      <c r="AA282" s="482"/>
      <c r="AB282" s="482"/>
      <c r="AC282" s="482"/>
      <c r="AD282" s="482"/>
      <c r="AE282" s="482"/>
      <c r="AF282" s="482"/>
      <c r="AG282" s="482"/>
      <c r="AH282" s="482"/>
      <c r="AI282" s="482"/>
      <c r="AJ282" s="482"/>
      <c r="AK282" s="482"/>
      <c r="AL282" s="482"/>
      <c r="AM282" s="482"/>
      <c r="AN282" s="482"/>
      <c r="AO282" s="482"/>
      <c r="AP282" s="482"/>
      <c r="AQ282" s="482"/>
      <c r="AR282" s="482"/>
      <c r="AS282" s="482"/>
      <c r="AT282" s="482"/>
      <c r="AU282" s="482"/>
      <c r="AV282" s="482"/>
      <c r="AW282" s="482"/>
      <c r="AX282" s="482"/>
      <c r="AY282" s="482"/>
      <c r="AZ282" s="482"/>
      <c r="BA282" s="482"/>
      <c r="BB282" s="482"/>
      <c r="BC282" s="482"/>
      <c r="BD282" s="482"/>
      <c r="BE282" s="482"/>
      <c r="BF282" s="482"/>
      <c r="BG282" s="482"/>
      <c r="BH282" s="482"/>
      <c r="BI282" s="482"/>
      <c r="BJ282" s="482"/>
    </row>
    <row r="283" spans="2:62" hidden="1" collapsed="1"/>
    <row r="285" spans="2:62">
      <c r="B285" s="438" t="s">
        <v>1066</v>
      </c>
      <c r="C285" s="1328"/>
      <c r="D285" s="1328"/>
      <c r="E285" s="1328"/>
      <c r="F285" s="1328"/>
      <c r="G285" s="1328"/>
      <c r="H285" s="1328"/>
      <c r="I285" s="1328"/>
      <c r="J285" s="1328"/>
      <c r="K285" s="1329"/>
      <c r="L285" s="1328"/>
      <c r="M285" s="1328"/>
      <c r="N285" s="1328"/>
      <c r="O285" s="1328"/>
      <c r="P285" s="1328"/>
      <c r="Q285" s="1328"/>
      <c r="R285" s="1328"/>
      <c r="S285" s="1328"/>
      <c r="T285" s="1328"/>
      <c r="U285" s="1328"/>
      <c r="V285" s="1328"/>
      <c r="W285" s="1328"/>
      <c r="X285" s="1328"/>
      <c r="Y285" s="1328"/>
      <c r="Z285" s="1328"/>
      <c r="AA285" s="1328"/>
      <c r="AB285" s="1328"/>
      <c r="AC285" s="1328"/>
      <c r="AD285" s="1328"/>
      <c r="AE285" s="1328"/>
      <c r="AF285" s="1328"/>
      <c r="AG285" s="1328"/>
      <c r="AH285" s="1328"/>
      <c r="AI285" s="1328"/>
      <c r="AJ285" s="1328"/>
      <c r="AK285" s="1328"/>
      <c r="AL285" s="1328"/>
      <c r="AM285" s="1328"/>
      <c r="AN285" s="1328"/>
      <c r="AO285" s="1328"/>
      <c r="AP285" s="1328"/>
      <c r="AQ285" s="1328"/>
      <c r="AR285" s="1328"/>
      <c r="AS285" s="1328"/>
      <c r="AT285" s="1328"/>
      <c r="AU285" s="1328"/>
      <c r="AV285" s="1328"/>
      <c r="AW285" s="1328"/>
      <c r="AX285" s="1328"/>
      <c r="AY285" s="1328"/>
      <c r="AZ285" s="1328"/>
      <c r="BA285" s="1328"/>
      <c r="BB285" s="1328"/>
      <c r="BC285" s="1328"/>
      <c r="BD285" s="1328"/>
      <c r="BE285" s="1328"/>
      <c r="BF285" s="1328"/>
      <c r="BG285" s="1328"/>
      <c r="BH285" s="1328"/>
      <c r="BI285" s="1328"/>
      <c r="BJ285" s="1328"/>
    </row>
    <row r="286" spans="2:62">
      <c r="B286" s="648" t="s">
        <v>1068</v>
      </c>
      <c r="E286" s="417">
        <f>(E165-E160-E150)-(E182-E169-E177-E176-E168)</f>
        <v>1135.2999999999997</v>
      </c>
      <c r="F286" s="417">
        <f t="shared" ref="F286:BJ286" si="652">(F165-F160-F150)-(F182-F169-F177-F176-F168)</f>
        <v>975.69999999999993</v>
      </c>
      <c r="G286" s="417">
        <f t="shared" si="652"/>
        <v>1198.0999999999999</v>
      </c>
      <c r="H286" s="417">
        <f t="shared" si="652"/>
        <v>1198.0999999999999</v>
      </c>
      <c r="I286" s="417">
        <f t="shared" si="652"/>
        <v>1090.5</v>
      </c>
      <c r="J286" s="417">
        <f t="shared" si="652"/>
        <v>1202.6999999999998</v>
      </c>
      <c r="K286" s="417">
        <f t="shared" si="652"/>
        <v>1202.6999999999998</v>
      </c>
      <c r="L286" s="417">
        <f t="shared" si="652"/>
        <v>1133</v>
      </c>
      <c r="M286" s="417">
        <f t="shared" si="652"/>
        <v>1893.3</v>
      </c>
      <c r="N286" s="417">
        <f t="shared" si="652"/>
        <v>1045.3</v>
      </c>
      <c r="O286" s="417">
        <f t="shared" si="652"/>
        <v>835.79999999999973</v>
      </c>
      <c r="P286" s="417">
        <f t="shared" si="652"/>
        <v>1973.8000000000004</v>
      </c>
      <c r="Q286" s="417">
        <f t="shared" si="652"/>
        <v>1079.5000000000005</v>
      </c>
      <c r="R286" s="417">
        <f t="shared" si="652"/>
        <v>1219.0000000000007</v>
      </c>
      <c r="S286" s="417">
        <f t="shared" si="652"/>
        <v>2286.3000000000002</v>
      </c>
      <c r="T286" s="417">
        <f t="shared" si="652"/>
        <v>1362.6000000000001</v>
      </c>
      <c r="U286" s="417">
        <f t="shared" si="652"/>
        <v>1220.6000000000004</v>
      </c>
      <c r="V286" s="417">
        <f t="shared" si="652"/>
        <v>2210.2999999999997</v>
      </c>
      <c r="W286" s="417">
        <f t="shared" si="652"/>
        <v>1265.8999999999996</v>
      </c>
      <c r="X286" s="417">
        <f t="shared" si="652"/>
        <v>1136.3</v>
      </c>
      <c r="Y286" s="417">
        <f t="shared" si="652"/>
        <v>2258.7999999999993</v>
      </c>
      <c r="Z286" s="417">
        <f t="shared" si="652"/>
        <v>1272.2</v>
      </c>
      <c r="AA286" s="417">
        <f t="shared" si="652"/>
        <v>1259.0999999999999</v>
      </c>
      <c r="AB286" s="417">
        <f t="shared" ref="AB286" si="653">(AB165-AB160-AB150)-(AB182-AB169-AB177-AB176-AB168)</f>
        <v>2493.8999999999996</v>
      </c>
      <c r="AC286" s="417">
        <f t="shared" si="652"/>
        <v>1384.1</v>
      </c>
      <c r="AD286" s="417">
        <f t="shared" si="652"/>
        <v>1312.1900735718609</v>
      </c>
      <c r="AE286" s="417">
        <f t="shared" si="652"/>
        <v>2542.263493437069</v>
      </c>
      <c r="AF286" s="417">
        <f t="shared" si="652"/>
        <v>1418.6823893928772</v>
      </c>
      <c r="AG286" s="417">
        <f t="shared" si="652"/>
        <v>1370.445175091161</v>
      </c>
      <c r="AH286" s="417">
        <f t="shared" si="652"/>
        <v>2613.8268874283367</v>
      </c>
      <c r="AI286" s="417">
        <f t="shared" si="652"/>
        <v>1476.4330727912884</v>
      </c>
      <c r="AJ286" s="417">
        <f t="shared" si="652"/>
        <v>0.1</v>
      </c>
      <c r="AK286" s="417">
        <f t="shared" si="652"/>
        <v>0.1</v>
      </c>
      <c r="AL286" s="417">
        <f t="shared" si="652"/>
        <v>1523.5377500337304</v>
      </c>
      <c r="AM286" s="417">
        <f t="shared" si="652"/>
        <v>0.1</v>
      </c>
      <c r="AN286" s="417">
        <f t="shared" si="652"/>
        <v>0.1</v>
      </c>
      <c r="AO286" s="417">
        <f t="shared" si="652"/>
        <v>1567.3097538165675</v>
      </c>
      <c r="AP286" s="417">
        <f t="shared" si="652"/>
        <v>0.1</v>
      </c>
      <c r="AQ286" s="417">
        <f t="shared" si="652"/>
        <v>0.1</v>
      </c>
      <c r="AR286" s="417">
        <f t="shared" si="652"/>
        <v>1607.920131990254</v>
      </c>
      <c r="AS286" s="417">
        <f t="shared" si="652"/>
        <v>0.1</v>
      </c>
      <c r="AT286" s="417">
        <f t="shared" si="652"/>
        <v>0.1</v>
      </c>
      <c r="AU286" s="417">
        <f t="shared" si="652"/>
        <v>1645.7590595921861</v>
      </c>
      <c r="AV286" s="417">
        <f t="shared" si="652"/>
        <v>0.1</v>
      </c>
      <c r="AW286" s="417">
        <f t="shared" si="652"/>
        <v>0.1</v>
      </c>
      <c r="AX286" s="417">
        <f t="shared" si="652"/>
        <v>1681.3923399145151</v>
      </c>
      <c r="AY286" s="417">
        <f t="shared" si="652"/>
        <v>0.1</v>
      </c>
      <c r="AZ286" s="417">
        <f t="shared" si="652"/>
        <v>0.1</v>
      </c>
      <c r="BA286" s="417">
        <f t="shared" si="652"/>
        <v>1715.5018967653405</v>
      </c>
      <c r="BB286" s="417">
        <f t="shared" si="652"/>
        <v>0.1</v>
      </c>
      <c r="BC286" s="417">
        <f t="shared" si="652"/>
        <v>0.1</v>
      </c>
      <c r="BD286" s="417">
        <f t="shared" si="652"/>
        <v>1747.8543857292063</v>
      </c>
      <c r="BE286" s="417">
        <f t="shared" si="652"/>
        <v>0.1</v>
      </c>
      <c r="BF286" s="417">
        <f t="shared" si="652"/>
        <v>0.1</v>
      </c>
      <c r="BG286" s="417">
        <f t="shared" si="652"/>
        <v>1778.2034540102752</v>
      </c>
      <c r="BH286" s="417">
        <f t="shared" si="652"/>
        <v>0.1</v>
      </c>
      <c r="BI286" s="417">
        <f t="shared" si="652"/>
        <v>0.1</v>
      </c>
      <c r="BJ286" s="417">
        <f t="shared" si="652"/>
        <v>1806.2893039521778</v>
      </c>
    </row>
    <row r="287" spans="2:62">
      <c r="B287" s="1330" t="s">
        <v>1069</v>
      </c>
      <c r="H287" s="417">
        <f>AVERAGE(H286,E286)</f>
        <v>1166.6999999999998</v>
      </c>
      <c r="K287" s="417">
        <f t="shared" ref="K287:BJ287" si="654">AVERAGE(K286,H286)</f>
        <v>1200.3999999999999</v>
      </c>
      <c r="L287" s="417">
        <f t="shared" si="654"/>
        <v>1111.75</v>
      </c>
      <c r="M287" s="417">
        <f t="shared" si="654"/>
        <v>1548</v>
      </c>
      <c r="N287" s="417">
        <f t="shared" si="654"/>
        <v>1124</v>
      </c>
      <c r="O287" s="417">
        <f t="shared" si="654"/>
        <v>984.39999999999986</v>
      </c>
      <c r="P287" s="417">
        <f t="shared" si="654"/>
        <v>1933.5500000000002</v>
      </c>
      <c r="Q287" s="417">
        <f t="shared" si="654"/>
        <v>1062.4000000000001</v>
      </c>
      <c r="R287" s="417">
        <f t="shared" si="654"/>
        <v>1027.4000000000001</v>
      </c>
      <c r="S287" s="417">
        <f t="shared" si="654"/>
        <v>2130.0500000000002</v>
      </c>
      <c r="T287" s="417">
        <f t="shared" si="654"/>
        <v>1221.0500000000002</v>
      </c>
      <c r="U287" s="417">
        <f t="shared" si="654"/>
        <v>1219.8000000000006</v>
      </c>
      <c r="V287" s="417">
        <f t="shared" si="654"/>
        <v>2248.3000000000002</v>
      </c>
      <c r="W287" s="417">
        <f t="shared" si="654"/>
        <v>1314.25</v>
      </c>
      <c r="X287" s="417">
        <f t="shared" si="654"/>
        <v>1178.4500000000003</v>
      </c>
      <c r="Y287" s="417">
        <f t="shared" si="654"/>
        <v>2234.5499999999993</v>
      </c>
      <c r="Z287" s="417">
        <f t="shared" si="654"/>
        <v>1269.0499999999997</v>
      </c>
      <c r="AA287" s="417">
        <f t="shared" si="654"/>
        <v>1197.6999999999998</v>
      </c>
      <c r="AB287" s="417">
        <f t="shared" si="654"/>
        <v>2376.3499999999995</v>
      </c>
      <c r="AC287" s="417">
        <f t="shared" si="654"/>
        <v>1328.15</v>
      </c>
      <c r="AD287" s="417">
        <f t="shared" si="654"/>
        <v>1285.6450367859304</v>
      </c>
      <c r="AE287" s="417">
        <f t="shared" si="654"/>
        <v>2518.0817467185343</v>
      </c>
      <c r="AF287" s="417">
        <f t="shared" si="654"/>
        <v>1401.3911946964386</v>
      </c>
      <c r="AG287" s="417">
        <f t="shared" si="654"/>
        <v>1341.3176243315111</v>
      </c>
      <c r="AH287" s="417">
        <f t="shared" si="654"/>
        <v>2578.0451904327028</v>
      </c>
      <c r="AI287" s="417">
        <f t="shared" si="654"/>
        <v>1447.5577310920828</v>
      </c>
      <c r="AJ287" s="417">
        <f t="shared" si="654"/>
        <v>685.27258754558045</v>
      </c>
      <c r="AK287" s="417">
        <f t="shared" si="654"/>
        <v>1306.9634437141683</v>
      </c>
      <c r="AL287" s="417">
        <f t="shared" si="654"/>
        <v>1499.9854114125094</v>
      </c>
      <c r="AM287" s="417">
        <f t="shared" si="654"/>
        <v>0.1</v>
      </c>
      <c r="AN287" s="417">
        <f t="shared" si="654"/>
        <v>0.1</v>
      </c>
      <c r="AO287" s="417">
        <f t="shared" si="654"/>
        <v>1545.423751925149</v>
      </c>
      <c r="AP287" s="417">
        <f t="shared" si="654"/>
        <v>0.1</v>
      </c>
      <c r="AQ287" s="417">
        <f t="shared" si="654"/>
        <v>0.1</v>
      </c>
      <c r="AR287" s="417">
        <f t="shared" si="654"/>
        <v>1587.6149429034108</v>
      </c>
      <c r="AS287" s="417">
        <f t="shared" si="654"/>
        <v>0.1</v>
      </c>
      <c r="AT287" s="417">
        <f t="shared" si="654"/>
        <v>0.1</v>
      </c>
      <c r="AU287" s="417">
        <f t="shared" si="654"/>
        <v>1626.8395957912201</v>
      </c>
      <c r="AV287" s="417">
        <f t="shared" si="654"/>
        <v>0.1</v>
      </c>
      <c r="AW287" s="417">
        <f t="shared" si="654"/>
        <v>0.1</v>
      </c>
      <c r="AX287" s="417">
        <f t="shared" si="654"/>
        <v>1663.5756997533506</v>
      </c>
      <c r="AY287" s="417">
        <f t="shared" si="654"/>
        <v>0.1</v>
      </c>
      <c r="AZ287" s="417">
        <f t="shared" si="654"/>
        <v>0.1</v>
      </c>
      <c r="BA287" s="417">
        <f t="shared" si="654"/>
        <v>1698.4471183399278</v>
      </c>
      <c r="BB287" s="417">
        <f t="shared" si="654"/>
        <v>0.1</v>
      </c>
      <c r="BC287" s="417">
        <f t="shared" si="654"/>
        <v>0.1</v>
      </c>
      <c r="BD287" s="417">
        <f t="shared" si="654"/>
        <v>1731.6781412472733</v>
      </c>
      <c r="BE287" s="417">
        <f t="shared" si="654"/>
        <v>0.1</v>
      </c>
      <c r="BF287" s="417">
        <f t="shared" si="654"/>
        <v>0.1</v>
      </c>
      <c r="BG287" s="417">
        <f t="shared" si="654"/>
        <v>1763.0289198697408</v>
      </c>
      <c r="BH287" s="417">
        <f t="shared" si="654"/>
        <v>0.1</v>
      </c>
      <c r="BI287" s="417">
        <f t="shared" si="654"/>
        <v>0.1</v>
      </c>
      <c r="BJ287" s="417">
        <f t="shared" si="654"/>
        <v>1792.2463789812264</v>
      </c>
    </row>
    <row r="288" spans="2:62">
      <c r="B288" s="1331" t="s">
        <v>1070</v>
      </c>
      <c r="H288" s="1332">
        <f>(H31+'PPE &amp; Leases'!H42)*(1+H59)</f>
        <v>155.16054081121683</v>
      </c>
      <c r="I288" s="1332">
        <f>(I31+'PPE &amp; Leases'!I42)*(1+I59)</f>
        <v>89.182426404995539</v>
      </c>
      <c r="J288" s="1332">
        <f>(J31+'PPE &amp; Leases'!J42)*(1+J59)</f>
        <v>81.32768729641694</v>
      </c>
      <c r="K288" s="1332">
        <f>(K31+'PPE &amp; Leases'!K42)*(1+K59)</f>
        <v>170.46062683643487</v>
      </c>
      <c r="L288" s="1332">
        <f>(L31+'PPE &amp; Leases'!L42)*(1+L59)</f>
        <v>89.618862275449089</v>
      </c>
      <c r="M288" s="1332">
        <f>(M31+'PPE &amp; Leases'!M42)*(1+M59)</f>
        <v>97.464813126709188</v>
      </c>
      <c r="N288" s="1332">
        <f>(N31+'PPE &amp; Leases'!N42)*(1+N59)</f>
        <v>160.76769890424009</v>
      </c>
      <c r="O288" s="1332">
        <f>(O31+'PPE &amp; Leases'!O42)*(1+O59)</f>
        <v>190.37336523125995</v>
      </c>
      <c r="P288" s="1332">
        <f>(P31+'PPE &amp; Leases'!P42)*(1+P59)</f>
        <v>145.31286486486488</v>
      </c>
      <c r="Q288" s="1332">
        <f>(Q31+'PPE &amp; Leases'!Q42)*(1+Q59)</f>
        <v>310.88315741165678</v>
      </c>
      <c r="R288" s="1332">
        <f>(R31+'PPE &amp; Leases'!R42)*(1+R59)</f>
        <v>128.07354037267081</v>
      </c>
      <c r="S288" s="1332">
        <f>(S31+'PPE &amp; Leases'!S42)*(1+S59)</f>
        <v>148.84379639448568</v>
      </c>
      <c r="T288" s="1332">
        <f>(T31+'PPE &amp; Leases'!T42)*(1+T59)</f>
        <v>249.75563501144168</v>
      </c>
      <c r="U288" s="1332">
        <f>(U31+'PPE &amp; Leases'!U42)*(1+U59)</f>
        <v>153.5400171624714</v>
      </c>
      <c r="V288" s="1332">
        <f>(V31+'PPE &amp; Leases'!V42)*(1+V59)</f>
        <v>134.6879004576659</v>
      </c>
      <c r="W288" s="1332">
        <f>(W31+'PPE &amp; Leases'!W42)*(1+W59)</f>
        <v>274.34024577572967</v>
      </c>
      <c r="X288" s="1332">
        <f>(X31+'PPE &amp; Leases'!X42)*(1+X59)</f>
        <v>144.02409681570049</v>
      </c>
      <c r="Y288" s="1332">
        <f>(Y31+'PPE &amp; Leases'!Y42)*(1+Y59)</f>
        <v>114.33275883024584</v>
      </c>
      <c r="Z288" s="1332">
        <f>(Z31+'PPE &amp; Leases'!Z42)*(1+Z59)</f>
        <v>240.12136602451838</v>
      </c>
      <c r="AA288" s="1332">
        <f>(AA31+'PPE &amp; Leases'!AA42)*(1+AA59)</f>
        <v>131.2927879440258</v>
      </c>
      <c r="AB288" s="1332">
        <f>(AB31+'PPE &amp; Leases'!AB42)*(1+AB59)</f>
        <v>127.77827298050138</v>
      </c>
      <c r="AC288" s="1332">
        <f>(AC31+'PPE &amp; Leases'!AC42)*(1+AC59)</f>
        <v>235.22210078931386</v>
      </c>
      <c r="AD288" s="1332">
        <f>(AD31+'PPE &amp; Leases'!AD42)*(1+AD59)</f>
        <v>129.62306464628995</v>
      </c>
      <c r="AE288" s="1332">
        <f>(AE31+'PPE &amp; Leases'!AE42)*(1+AE59)</f>
        <v>130.46213208116473</v>
      </c>
      <c r="AF288" s="1332">
        <f>(AF31+'PPE &amp; Leases'!AF42)*(1+AF59)</f>
        <v>237.19813570741826</v>
      </c>
      <c r="AG288" s="1332">
        <f>(AG31+'PPE &amp; Leases'!AG42)*(1+AG59)</f>
        <v>147.41603946735603</v>
      </c>
      <c r="AH288" s="1332">
        <f>(AH31+'PPE &amp; Leases'!AH42)*(1+AH59)</f>
        <v>152.5026063673867</v>
      </c>
      <c r="AI288" s="1332">
        <f>(AI31+'PPE &amp; Leases'!AI42)*(1+AI59)</f>
        <v>277.4065064618469</v>
      </c>
      <c r="AJ288" s="1332">
        <f>(AJ31+'PPE &amp; Leases'!AJ42)*(1+AJ59)</f>
        <v>0</v>
      </c>
      <c r="AK288" s="1332">
        <f>(AK31+'PPE &amp; Leases'!AK42)*(1+AK59)</f>
        <v>0</v>
      </c>
      <c r="AL288" s="1332">
        <f>(AL31+'PPE &amp; Leases'!AL42)*(1+AL59)</f>
        <v>297.17622706225114</v>
      </c>
      <c r="AM288" s="1332">
        <f>(AM31+'PPE &amp; Leases'!AM42)*(1+AM59)</f>
        <v>0</v>
      </c>
      <c r="AN288" s="1332">
        <f>(AN31+'PPE &amp; Leases'!AN42)*(1+AN59)</f>
        <v>0</v>
      </c>
      <c r="AO288" s="1332">
        <f>(AO31+'PPE &amp; Leases'!AO42)*(1+AO59)</f>
        <v>315.0077512949486</v>
      </c>
      <c r="AP288" s="1332">
        <f>(AP31+'PPE &amp; Leases'!AP42)*(1+AP59)</f>
        <v>0</v>
      </c>
      <c r="AQ288" s="1332">
        <f>(AQ31+'PPE &amp; Leases'!AQ42)*(1+AQ59)</f>
        <v>0</v>
      </c>
      <c r="AR288" s="1332">
        <f>(AR31+'PPE &amp; Leases'!AR42)*(1+AR59)</f>
        <v>329.89484833408591</v>
      </c>
      <c r="AS288" s="1332">
        <f>(AS31+'PPE &amp; Leases'!AS42)*(1+AS59)</f>
        <v>0</v>
      </c>
      <c r="AT288" s="1332">
        <f>(AT31+'PPE &amp; Leases'!AT42)*(1+AT59)</f>
        <v>0</v>
      </c>
      <c r="AU288" s="1332">
        <f>(AU31+'PPE &amp; Leases'!AU42)*(1+AU59)</f>
        <v>343.72658137889306</v>
      </c>
      <c r="AV288" s="1332">
        <f>(AV31+'PPE &amp; Leases'!AV42)*(1+AV59)</f>
        <v>0</v>
      </c>
      <c r="AW288" s="1332">
        <f>(AW31+'PPE &amp; Leases'!AW42)*(1+AW59)</f>
        <v>0</v>
      </c>
      <c r="AX288" s="1332">
        <f>(AX31+'PPE &amp; Leases'!AX42)*(1+AX59)</f>
        <v>355.95816574712268</v>
      </c>
      <c r="AY288" s="1332">
        <f>(AY31+'PPE &amp; Leases'!AY42)*(1+AY59)</f>
        <v>0</v>
      </c>
      <c r="AZ288" s="1332">
        <f>(AZ31+'PPE &amp; Leases'!AZ42)*(1+AZ59)</f>
        <v>0</v>
      </c>
      <c r="BA288" s="1332">
        <f>(BA31+'PPE &amp; Leases'!BA42)*(1+BA59)</f>
        <v>368.69183283367971</v>
      </c>
      <c r="BB288" s="1332">
        <f>(BB31+'PPE &amp; Leases'!BB42)*(1+BB59)</f>
        <v>0</v>
      </c>
      <c r="BC288" s="1332">
        <f>(BC31+'PPE &amp; Leases'!BC42)*(1+BC59)</f>
        <v>0</v>
      </c>
      <c r="BD288" s="1332">
        <f>(BD31+'PPE &amp; Leases'!BD42)*(1+BD59)</f>
        <v>381.95343921190914</v>
      </c>
      <c r="BE288" s="1332">
        <f>(BE31+'PPE &amp; Leases'!BE42)*(1+BE59)</f>
        <v>0</v>
      </c>
      <c r="BF288" s="1332">
        <f>(BF31+'PPE &amp; Leases'!BF42)*(1+BF59)</f>
        <v>0</v>
      </c>
      <c r="BG288" s="1332">
        <f>(BG31+'PPE &amp; Leases'!BG42)*(1+BG59)</f>
        <v>395.77018978014377</v>
      </c>
      <c r="BH288" s="1332">
        <f>(BH31+'PPE &amp; Leases'!BH42)*(1+BH59)</f>
        <v>0</v>
      </c>
      <c r="BI288" s="1332">
        <f>(BI31+'PPE &amp; Leases'!BI42)*(1+BI59)</f>
        <v>0</v>
      </c>
      <c r="BJ288" s="1332">
        <f>(BJ31+'PPE &amp; Leases'!BJ42)*(1+BJ59)</f>
        <v>410.17069692222191</v>
      </c>
    </row>
    <row r="289" spans="2:62">
      <c r="B289" s="1333" t="s">
        <v>1066</v>
      </c>
      <c r="C289" s="1333"/>
      <c r="D289" s="1333"/>
      <c r="E289" s="1333"/>
      <c r="F289" s="1333"/>
      <c r="G289" s="1333"/>
      <c r="H289" s="1334">
        <f>H288/H287</f>
        <v>0.13299094952534229</v>
      </c>
      <c r="I289" s="1333"/>
      <c r="J289" s="1333"/>
      <c r="K289" s="1334">
        <f t="shared" ref="K289:BJ289" si="655">K288/K287</f>
        <v>0.1420031879677065</v>
      </c>
      <c r="L289" s="1334">
        <f t="shared" si="655"/>
        <v>8.061062493856451E-2</v>
      </c>
      <c r="M289" s="1334">
        <f t="shared" si="655"/>
        <v>6.2961765585729454E-2</v>
      </c>
      <c r="N289" s="1334">
        <f t="shared" si="655"/>
        <v>0.14303176059096093</v>
      </c>
      <c r="O289" s="1334">
        <f t="shared" si="655"/>
        <v>0.19339025318088174</v>
      </c>
      <c r="P289" s="1334">
        <f t="shared" si="655"/>
        <v>7.5153404289966572E-2</v>
      </c>
      <c r="Q289" s="1334">
        <f t="shared" si="655"/>
        <v>0.29262345388898414</v>
      </c>
      <c r="R289" s="1334">
        <f t="shared" si="655"/>
        <v>0.12465791354163012</v>
      </c>
      <c r="S289" s="1334">
        <f t="shared" si="655"/>
        <v>6.9878076286700161E-2</v>
      </c>
      <c r="T289" s="1334">
        <f t="shared" si="655"/>
        <v>0.20454169363371005</v>
      </c>
      <c r="U289" s="1334">
        <f t="shared" si="655"/>
        <v>0.12587310801973384</v>
      </c>
      <c r="V289" s="1334">
        <f t="shared" si="655"/>
        <v>5.9906551820337987E-2</v>
      </c>
      <c r="W289" s="1334">
        <f t="shared" si="655"/>
        <v>0.20874281588413898</v>
      </c>
      <c r="X289" s="1334">
        <f t="shared" si="655"/>
        <v>0.12221485579846447</v>
      </c>
      <c r="Y289" s="1334">
        <f t="shared" si="655"/>
        <v>5.1165898650845081E-2</v>
      </c>
      <c r="Z289" s="1334">
        <f t="shared" si="655"/>
        <v>0.18921347939365543</v>
      </c>
      <c r="AA289" s="1334">
        <f t="shared" si="655"/>
        <v>0.1096207630825965</v>
      </c>
      <c r="AB289" s="1334">
        <f t="shared" ref="AB289" si="656">AB288/AB287</f>
        <v>5.3770813634566213E-2</v>
      </c>
      <c r="AC289" s="1334">
        <f t="shared" si="655"/>
        <v>0.17710507155766581</v>
      </c>
      <c r="AD289" s="1334">
        <f t="shared" si="655"/>
        <v>0.10082336954400981</v>
      </c>
      <c r="AE289" s="1334">
        <f t="shared" si="655"/>
        <v>5.1810125803571659E-2</v>
      </c>
      <c r="AF289" s="1334">
        <f t="shared" si="655"/>
        <v>0.16925904530090813</v>
      </c>
      <c r="AG289" s="1334">
        <f t="shared" si="655"/>
        <v>0.10990390105462572</v>
      </c>
      <c r="AH289" s="1334">
        <f t="shared" si="655"/>
        <v>5.9154357314345776E-2</v>
      </c>
      <c r="AI289" s="1334">
        <f t="shared" si="655"/>
        <v>0.19163761175353108</v>
      </c>
      <c r="AJ289" s="1334">
        <f t="shared" si="655"/>
        <v>0</v>
      </c>
      <c r="AK289" s="1334">
        <f t="shared" si="655"/>
        <v>0</v>
      </c>
      <c r="AL289" s="1334">
        <f t="shared" si="655"/>
        <v>0.19811941156308022</v>
      </c>
      <c r="AM289" s="1334">
        <f t="shared" si="655"/>
        <v>0</v>
      </c>
      <c r="AN289" s="1334">
        <f t="shared" si="655"/>
        <v>0</v>
      </c>
      <c r="AO289" s="1334">
        <f t="shared" si="655"/>
        <v>0.2038326063660795</v>
      </c>
      <c r="AP289" s="1334">
        <f t="shared" si="655"/>
        <v>0</v>
      </c>
      <c r="AQ289" s="1334">
        <f t="shared" si="655"/>
        <v>0</v>
      </c>
      <c r="AR289" s="1334">
        <f t="shared" si="655"/>
        <v>0.20779273324977543</v>
      </c>
      <c r="AS289" s="1334">
        <f t="shared" si="655"/>
        <v>0</v>
      </c>
      <c r="AT289" s="1334">
        <f t="shared" si="655"/>
        <v>0</v>
      </c>
      <c r="AU289" s="1334">
        <f t="shared" si="655"/>
        <v>0.21128486315930872</v>
      </c>
      <c r="AV289" s="1334">
        <f t="shared" si="655"/>
        <v>0</v>
      </c>
      <c r="AW289" s="1334">
        <f t="shared" si="655"/>
        <v>0</v>
      </c>
      <c r="AX289" s="1334">
        <f t="shared" si="655"/>
        <v>0.21397172716570617</v>
      </c>
      <c r="AY289" s="1334">
        <f t="shared" si="655"/>
        <v>0</v>
      </c>
      <c r="AZ289" s="1334">
        <f t="shared" si="655"/>
        <v>0</v>
      </c>
      <c r="BA289" s="1334">
        <f t="shared" si="655"/>
        <v>0.21707583877797815</v>
      </c>
      <c r="BB289" s="1334">
        <f t="shared" si="655"/>
        <v>0</v>
      </c>
      <c r="BC289" s="1334">
        <f t="shared" si="655"/>
        <v>0</v>
      </c>
      <c r="BD289" s="1334">
        <f t="shared" si="655"/>
        <v>0.22056837821883002</v>
      </c>
      <c r="BE289" s="1334">
        <f t="shared" si="655"/>
        <v>0</v>
      </c>
      <c r="BF289" s="1334">
        <f t="shared" si="655"/>
        <v>0</v>
      </c>
      <c r="BG289" s="1334">
        <f t="shared" si="655"/>
        <v>0.22448309572221015</v>
      </c>
      <c r="BH289" s="1334">
        <f t="shared" si="655"/>
        <v>0</v>
      </c>
      <c r="BI289" s="1334">
        <f t="shared" si="655"/>
        <v>0</v>
      </c>
      <c r="BJ289" s="1334">
        <f t="shared" si="655"/>
        <v>0.22885843248592688</v>
      </c>
    </row>
    <row r="325" spans="3:34">
      <c r="C325" s="492"/>
      <c r="D325" s="492"/>
      <c r="F325" s="492"/>
      <c r="G325" s="492"/>
      <c r="I325" s="492"/>
      <c r="J325" s="492"/>
      <c r="L325" s="492"/>
      <c r="M325" s="492"/>
      <c r="O325" s="492"/>
      <c r="P325" s="492"/>
      <c r="R325" s="492"/>
      <c r="S325" s="492"/>
      <c r="U325" s="492"/>
      <c r="V325" s="492"/>
      <c r="X325" s="492"/>
      <c r="Y325" s="492"/>
      <c r="AA325" s="492"/>
      <c r="AB325" s="492"/>
      <c r="AD325" s="492"/>
      <c r="AE325" s="492"/>
      <c r="AG325" s="492"/>
      <c r="AH325" s="492"/>
    </row>
  </sheetData>
  <customSheetViews>
    <customSheetView guid="{22FD3661-1E78-11D1-AB32-00805F1DF0BB}" scale="70" showPageBreaks="1" hiddenRows="1" hiddenColumns="1" showRuler="0">
      <pane xSplit="15" ySplit="3" topLeftCell="Q4" activePane="bottomRight" state="frozen"/>
      <selection pane="bottomRight" activeCell="B81" sqref="B81"/>
      <rowBreaks count="2" manualBreakCount="2">
        <brk id="115" max="65535" man="1"/>
        <brk id="185" max="65535" man="1"/>
      </rowBreaks>
      <pageMargins left="0" right="0" top="0" bottom="0" header="0" footer="0"/>
      <printOptions horizontalCentered="1"/>
      <pageSetup paperSize="9" scale="72" fitToHeight="3" orientation="portrait" blackAndWhite="1" horizontalDpi="4294967295" verticalDpi="4294967295" r:id="rId1"/>
      <headerFooter alignWithMargins="0">
        <oddHeader>&amp;R&amp;"Times,Bold"&amp;12J B Were &amp;&amp; Son</oddHeader>
        <oddFooter>&amp;L&amp;"Helvetica,Regular"&amp;12Updated: &amp;D&amp;C&amp;"Helvetica,Regular"&amp;12Analyst: Lou Capparelli Ph: (03) 9679 1298&amp;R&amp;"Helvetica,Regular"&amp;12&amp;P</oddFooter>
      </headerFooter>
    </customSheetView>
    <customSheetView guid="{22FD3662-1E78-11D1-AB32-00805F1DF0BB}" scale="70" showPageBreaks="1" hiddenRows="1" hiddenColumns="1" showRuler="0">
      <pane xSplit="15" ySplit="3" topLeftCell="Q4" activePane="bottomRight" state="frozen"/>
      <selection pane="bottomRight" activeCell="AJ61" sqref="AJ61"/>
      <rowBreaks count="2" manualBreakCount="2">
        <brk id="115" max="65535" man="1"/>
        <brk id="185" max="65535" man="1"/>
      </rowBreaks>
      <pageMargins left="0" right="0" top="0" bottom="0" header="0" footer="0"/>
      <printOptions horizontalCentered="1"/>
      <pageSetup paperSize="9" scale="75" fitToHeight="3" orientation="portrait" blackAndWhite="1" horizontalDpi="4294967295" verticalDpi="4294967295" r:id="rId2"/>
      <headerFooter alignWithMargins="0">
        <oddHeader>&amp;R&amp;"Times,Bold"&amp;12J B Were &amp;&amp; Son</oddHeader>
        <oddFooter>&amp;L&amp;"Helvetica,Regular"&amp;12Updated: &amp;D&amp;C&amp;"Helvetica,Regular"&amp;12Analyst: Lou Capparelli Ph: (03) 9679 1298&amp;R&amp;"Helvetica,Regular"&amp;12&amp;P</oddFooter>
      </headerFooter>
    </customSheetView>
  </customSheetViews>
  <phoneticPr fontId="20" type="noConversion"/>
  <conditionalFormatting sqref="E76 N76 T76 W76 D82:X82 D85:X85 AF85 AF82 AF76 Z76 Z82:AA82 Z85:AA85 AI82:AW82 AI85:AW85 D81:G81 AC76 AC82 AC85">
    <cfRule type="cellIs" dxfId="667" priority="777" stopIfTrue="1" operator="greaterThan">
      <formula>0</formula>
    </cfRule>
    <cfRule type="cellIs" dxfId="666" priority="778" stopIfTrue="1" operator="lessThan">
      <formula>0</formula>
    </cfRule>
  </conditionalFormatting>
  <conditionalFormatting sqref="K2 N2">
    <cfRule type="cellIs" dxfId="665" priority="779" stopIfTrue="1" operator="equal">
      <formula>"Balance"</formula>
    </cfRule>
    <cfRule type="cellIs" dxfId="664" priority="780" stopIfTrue="1" operator="equal">
      <formula>"Error"</formula>
    </cfRule>
  </conditionalFormatting>
  <conditionalFormatting sqref="E59 H59 AF59 AI59:AW59">
    <cfRule type="cellIs" dxfId="663" priority="781" stopIfTrue="1" operator="greaterThan">
      <formula>0.33</formula>
    </cfRule>
  </conditionalFormatting>
  <conditionalFormatting sqref="AF76">
    <cfRule type="cellIs" dxfId="662" priority="696" stopIfTrue="1" operator="greaterThan">
      <formula>0</formula>
    </cfRule>
    <cfRule type="cellIs" dxfId="661" priority="697" stopIfTrue="1" operator="lessThan">
      <formula>0</formula>
    </cfRule>
  </conditionalFormatting>
  <conditionalFormatting sqref="AF59 AI59:AW59">
    <cfRule type="cellIs" dxfId="660" priority="700" stopIfTrue="1" operator="greaterThan">
      <formula>0.33</formula>
    </cfRule>
  </conditionalFormatting>
  <conditionalFormatting sqref="D190">
    <cfRule type="cellIs" dxfId="659" priority="643" stopIfTrue="1" operator="equal">
      <formula>"Balance"</formula>
    </cfRule>
    <cfRule type="cellIs" dxfId="658" priority="644" stopIfTrue="1" operator="equal">
      <formula>"Error"</formula>
    </cfRule>
  </conditionalFormatting>
  <conditionalFormatting sqref="D76">
    <cfRule type="cellIs" dxfId="657" priority="638" stopIfTrue="1" operator="greaterThan">
      <formula>0</formula>
    </cfRule>
    <cfRule type="cellIs" dxfId="656" priority="639" stopIfTrue="1" operator="lessThan">
      <formula>0</formula>
    </cfRule>
  </conditionalFormatting>
  <conditionalFormatting sqref="D54">
    <cfRule type="cellIs" dxfId="655" priority="640" stopIfTrue="1" operator="greaterThan">
      <formula>1</formula>
    </cfRule>
  </conditionalFormatting>
  <conditionalFormatting sqref="C190">
    <cfRule type="cellIs" dxfId="654" priority="619" stopIfTrue="1" operator="equal">
      <formula>"Balance"</formula>
    </cfRule>
    <cfRule type="cellIs" dxfId="653" priority="620" stopIfTrue="1" operator="equal">
      <formula>"Error"</formula>
    </cfRule>
  </conditionalFormatting>
  <conditionalFormatting sqref="C76">
    <cfRule type="cellIs" dxfId="652" priority="614" stopIfTrue="1" operator="greaterThan">
      <formula>0</formula>
    </cfRule>
    <cfRule type="cellIs" dxfId="651" priority="615" stopIfTrue="1" operator="lessThan">
      <formula>0</formula>
    </cfRule>
  </conditionalFormatting>
  <conditionalFormatting sqref="C54">
    <cfRule type="cellIs" dxfId="650" priority="616" stopIfTrue="1" operator="greaterThan">
      <formula>1</formula>
    </cfRule>
  </conditionalFormatting>
  <conditionalFormatting sqref="G190">
    <cfRule type="cellIs" dxfId="649" priority="605" stopIfTrue="1" operator="equal">
      <formula>"Balance"</formula>
    </cfRule>
    <cfRule type="cellIs" dxfId="648" priority="606" stopIfTrue="1" operator="equal">
      <formula>"Error"</formula>
    </cfRule>
  </conditionalFormatting>
  <conditionalFormatting sqref="G76">
    <cfRule type="cellIs" dxfId="647" priority="600" stopIfTrue="1" operator="greaterThan">
      <formula>0</formula>
    </cfRule>
    <cfRule type="cellIs" dxfId="646" priority="601" stopIfTrue="1" operator="lessThan">
      <formula>0</formula>
    </cfRule>
  </conditionalFormatting>
  <conditionalFormatting sqref="G59">
    <cfRule type="cellIs" dxfId="645" priority="595" stopIfTrue="1" operator="greaterThan">
      <formula>0.33</formula>
    </cfRule>
  </conditionalFormatting>
  <conditionalFormatting sqref="J190">
    <cfRule type="cellIs" dxfId="644" priority="577" stopIfTrue="1" operator="equal">
      <formula>"Balance"</formula>
    </cfRule>
    <cfRule type="cellIs" dxfId="643" priority="578" stopIfTrue="1" operator="equal">
      <formula>"Error"</formula>
    </cfRule>
  </conditionalFormatting>
  <conditionalFormatting sqref="F76">
    <cfRule type="cellIs" dxfId="642" priority="586" stopIfTrue="1" operator="greaterThan">
      <formula>0</formula>
    </cfRule>
    <cfRule type="cellIs" dxfId="641" priority="587" stopIfTrue="1" operator="lessThan">
      <formula>0</formula>
    </cfRule>
  </conditionalFormatting>
  <conditionalFormatting sqref="F59">
    <cfRule type="cellIs" dxfId="640" priority="581" stopIfTrue="1" operator="greaterThan">
      <formula>0.33</formula>
    </cfRule>
  </conditionalFormatting>
  <conditionalFormatting sqref="J76">
    <cfRule type="cellIs" dxfId="639" priority="572" stopIfTrue="1" operator="greaterThan">
      <formula>0</formula>
    </cfRule>
    <cfRule type="cellIs" dxfId="638" priority="573" stopIfTrue="1" operator="lessThan">
      <formula>0</formula>
    </cfRule>
  </conditionalFormatting>
  <conditionalFormatting sqref="J59">
    <cfRule type="cellIs" dxfId="637" priority="571" stopIfTrue="1" operator="greaterThan">
      <formula>0.33</formula>
    </cfRule>
  </conditionalFormatting>
  <conditionalFormatting sqref="I2">
    <cfRule type="cellIs" dxfId="636" priority="569" stopIfTrue="1" operator="equal">
      <formula>"Balance"</formula>
    </cfRule>
    <cfRule type="cellIs" dxfId="635" priority="570" stopIfTrue="1" operator="equal">
      <formula>"Error"</formula>
    </cfRule>
  </conditionalFormatting>
  <conditionalFormatting sqref="I59">
    <cfRule type="cellIs" dxfId="634" priority="563" stopIfTrue="1" operator="greaterThan">
      <formula>0.33</formula>
    </cfRule>
  </conditionalFormatting>
  <conditionalFormatting sqref="E2 H2">
    <cfRule type="cellIs" dxfId="633" priority="533" stopIfTrue="1" operator="equal">
      <formula>"Balance"</formula>
    </cfRule>
    <cfRule type="cellIs" dxfId="632" priority="534" stopIfTrue="1" operator="equal">
      <formula>"Error"</formula>
    </cfRule>
  </conditionalFormatting>
  <conditionalFormatting sqref="D2">
    <cfRule type="cellIs" dxfId="631" priority="531" stopIfTrue="1" operator="equal">
      <formula>"Balance"</formula>
    </cfRule>
    <cfRule type="cellIs" dxfId="630" priority="532" stopIfTrue="1" operator="equal">
      <formula>"Error"</formula>
    </cfRule>
  </conditionalFormatting>
  <conditionalFormatting sqref="C2">
    <cfRule type="cellIs" dxfId="629" priority="529" stopIfTrue="1" operator="equal">
      <formula>"Balance"</formula>
    </cfRule>
    <cfRule type="cellIs" dxfId="628" priority="530" stopIfTrue="1" operator="equal">
      <formula>"Error"</formula>
    </cfRule>
  </conditionalFormatting>
  <conditionalFormatting sqref="F2:G2">
    <cfRule type="cellIs" dxfId="627" priority="527" stopIfTrue="1" operator="equal">
      <formula>"Balance"</formula>
    </cfRule>
    <cfRule type="cellIs" dxfId="626" priority="528" stopIfTrue="1" operator="equal">
      <formula>"Error"</formula>
    </cfRule>
  </conditionalFormatting>
  <conditionalFormatting sqref="M190">
    <cfRule type="cellIs" dxfId="625" priority="525" stopIfTrue="1" operator="equal">
      <formula>"Balance"</formula>
    </cfRule>
    <cfRule type="cellIs" dxfId="624" priority="526" stopIfTrue="1" operator="equal">
      <formula>"Error"</formula>
    </cfRule>
  </conditionalFormatting>
  <conditionalFormatting sqref="M76">
    <cfRule type="cellIs" dxfId="623" priority="522" stopIfTrue="1" operator="greaterThan">
      <formula>0</formula>
    </cfRule>
    <cfRule type="cellIs" dxfId="622" priority="523" stopIfTrue="1" operator="lessThan">
      <formula>0</formula>
    </cfRule>
  </conditionalFormatting>
  <conditionalFormatting sqref="M59">
    <cfRule type="cellIs" dxfId="621" priority="521" stopIfTrue="1" operator="greaterThan">
      <formula>0.33</formula>
    </cfRule>
  </conditionalFormatting>
  <conditionalFormatting sqref="L2">
    <cfRule type="cellIs" dxfId="620" priority="519" stopIfTrue="1" operator="equal">
      <formula>"Balance"</formula>
    </cfRule>
    <cfRule type="cellIs" dxfId="619" priority="520" stopIfTrue="1" operator="equal">
      <formula>"Error"</formula>
    </cfRule>
  </conditionalFormatting>
  <conditionalFormatting sqref="P190">
    <cfRule type="cellIs" dxfId="618" priority="509" stopIfTrue="1" operator="equal">
      <formula>"Balance"</formula>
    </cfRule>
    <cfRule type="cellIs" dxfId="617" priority="510" stopIfTrue="1" operator="equal">
      <formula>"Error"</formula>
    </cfRule>
  </conditionalFormatting>
  <conditionalFormatting sqref="P76">
    <cfRule type="cellIs" dxfId="616" priority="506" stopIfTrue="1" operator="greaterThan">
      <formula>0</formula>
    </cfRule>
    <cfRule type="cellIs" dxfId="615" priority="507" stopIfTrue="1" operator="lessThan">
      <formula>0</formula>
    </cfRule>
  </conditionalFormatting>
  <conditionalFormatting sqref="P59">
    <cfRule type="cellIs" dxfId="614" priority="505" stopIfTrue="1" operator="greaterThan">
      <formula>0.33</formula>
    </cfRule>
  </conditionalFormatting>
  <conditionalFormatting sqref="O76">
    <cfRule type="cellIs" dxfId="613" priority="500" stopIfTrue="1" operator="greaterThan">
      <formula>0</formula>
    </cfRule>
    <cfRule type="cellIs" dxfId="612" priority="501" stopIfTrue="1" operator="lessThan">
      <formula>0</formula>
    </cfRule>
  </conditionalFormatting>
  <conditionalFormatting sqref="O59">
    <cfRule type="cellIs" dxfId="611" priority="499" stopIfTrue="1" operator="greaterThan">
      <formula>0.33</formula>
    </cfRule>
  </conditionalFormatting>
  <conditionalFormatting sqref="AI76:AK76">
    <cfRule type="cellIs" dxfId="610" priority="490" stopIfTrue="1" operator="greaterThan">
      <formula>0</formula>
    </cfRule>
    <cfRule type="cellIs" dxfId="609" priority="491" stopIfTrue="1" operator="lessThan">
      <formula>0</formula>
    </cfRule>
  </conditionalFormatting>
  <conditionalFormatting sqref="AI76:AK76">
    <cfRule type="cellIs" dxfId="608" priority="484" stopIfTrue="1" operator="greaterThan">
      <formula>0</formula>
    </cfRule>
    <cfRule type="cellIs" dxfId="607" priority="485" stopIfTrue="1" operator="lessThan">
      <formula>0</formula>
    </cfRule>
  </conditionalFormatting>
  <conditionalFormatting sqref="AL76:AN76">
    <cfRule type="cellIs" dxfId="606" priority="474" stopIfTrue="1" operator="greaterThan">
      <formula>0</formula>
    </cfRule>
    <cfRule type="cellIs" dxfId="605" priority="475" stopIfTrue="1" operator="lessThan">
      <formula>0</formula>
    </cfRule>
  </conditionalFormatting>
  <conditionalFormatting sqref="AL76:AN76">
    <cfRule type="cellIs" dxfId="604" priority="468" stopIfTrue="1" operator="greaterThan">
      <formula>0</formula>
    </cfRule>
    <cfRule type="cellIs" dxfId="603" priority="469" stopIfTrue="1" operator="lessThan">
      <formula>0</formula>
    </cfRule>
  </conditionalFormatting>
  <conditionalFormatting sqref="K76">
    <cfRule type="cellIs" dxfId="602" priority="457" stopIfTrue="1" operator="greaterThan">
      <formula>0</formula>
    </cfRule>
    <cfRule type="cellIs" dxfId="601" priority="458" stopIfTrue="1" operator="lessThan">
      <formula>0</formula>
    </cfRule>
  </conditionalFormatting>
  <conditionalFormatting sqref="I76">
    <cfRule type="cellIs" dxfId="600" priority="455" stopIfTrue="1" operator="greaterThan">
      <formula>0</formula>
    </cfRule>
    <cfRule type="cellIs" dxfId="599" priority="456" stopIfTrue="1" operator="lessThan">
      <formula>0</formula>
    </cfRule>
  </conditionalFormatting>
  <conditionalFormatting sqref="AO76:AQ76">
    <cfRule type="cellIs" dxfId="598" priority="413" stopIfTrue="1" operator="greaterThan">
      <formula>0</formula>
    </cfRule>
    <cfRule type="cellIs" dxfId="597" priority="414" stopIfTrue="1" operator="lessThan">
      <formula>0</formula>
    </cfRule>
  </conditionalFormatting>
  <conditionalFormatting sqref="AO76:AQ76">
    <cfRule type="cellIs" dxfId="596" priority="408" stopIfTrue="1" operator="greaterThan">
      <formula>0</formula>
    </cfRule>
    <cfRule type="cellIs" dxfId="595" priority="409" stopIfTrue="1" operator="lessThan">
      <formula>0</formula>
    </cfRule>
  </conditionalFormatting>
  <conditionalFormatting sqref="K59">
    <cfRule type="cellIs" dxfId="594" priority="399" stopIfTrue="1" operator="greaterThan">
      <formula>0.33</formula>
    </cfRule>
  </conditionalFormatting>
  <conditionalFormatting sqref="L59">
    <cfRule type="cellIs" dxfId="593" priority="398" stopIfTrue="1" operator="greaterThan">
      <formula>0.33</formula>
    </cfRule>
  </conditionalFormatting>
  <conditionalFormatting sqref="L76">
    <cfRule type="cellIs" dxfId="592" priority="394" stopIfTrue="1" operator="greaterThan">
      <formula>0</formula>
    </cfRule>
    <cfRule type="cellIs" dxfId="591" priority="395" stopIfTrue="1" operator="lessThan">
      <formula>0</formula>
    </cfRule>
  </conditionalFormatting>
  <conditionalFormatting sqref="S190">
    <cfRule type="cellIs" dxfId="590" priority="356" stopIfTrue="1" operator="equal">
      <formula>"Balance"</formula>
    </cfRule>
    <cfRule type="cellIs" dxfId="589" priority="357" stopIfTrue="1" operator="equal">
      <formula>"Error"</formula>
    </cfRule>
  </conditionalFormatting>
  <conditionalFormatting sqref="S76">
    <cfRule type="cellIs" dxfId="588" priority="354" stopIfTrue="1" operator="greaterThan">
      <formula>0</formula>
    </cfRule>
    <cfRule type="cellIs" dxfId="587" priority="355" stopIfTrue="1" operator="lessThan">
      <formula>0</formula>
    </cfRule>
  </conditionalFormatting>
  <conditionalFormatting sqref="S59">
    <cfRule type="cellIs" dxfId="586" priority="353" stopIfTrue="1" operator="greaterThan">
      <formula>0.33</formula>
    </cfRule>
  </conditionalFormatting>
  <conditionalFormatting sqref="R76">
    <cfRule type="cellIs" dxfId="585" priority="349" stopIfTrue="1" operator="greaterThan">
      <formula>0</formula>
    </cfRule>
    <cfRule type="cellIs" dxfId="584" priority="350" stopIfTrue="1" operator="lessThan">
      <formula>0</formula>
    </cfRule>
  </conditionalFormatting>
  <conditionalFormatting sqref="R59">
    <cfRule type="cellIs" dxfId="583" priority="348" stopIfTrue="1" operator="greaterThan">
      <formula>0.33</formula>
    </cfRule>
  </conditionalFormatting>
  <conditionalFormatting sqref="AR76:AW76">
    <cfRule type="cellIs" dxfId="582" priority="335" stopIfTrue="1" operator="greaterThan">
      <formula>0</formula>
    </cfRule>
    <cfRule type="cellIs" dxfId="581" priority="336" stopIfTrue="1" operator="lessThan">
      <formula>0</formula>
    </cfRule>
  </conditionalFormatting>
  <conditionalFormatting sqref="AR76:AW76">
    <cfRule type="cellIs" dxfId="580" priority="330" stopIfTrue="1" operator="greaterThan">
      <formula>0</formula>
    </cfRule>
    <cfRule type="cellIs" dxfId="579" priority="331" stopIfTrue="1" operator="lessThan">
      <formula>0</formula>
    </cfRule>
  </conditionalFormatting>
  <conditionalFormatting sqref="N59">
    <cfRule type="cellIs" dxfId="578" priority="323" stopIfTrue="1" operator="greaterThan">
      <formula>0.33</formula>
    </cfRule>
  </conditionalFormatting>
  <conditionalFormatting sqref="AU76:AW76">
    <cfRule type="cellIs" dxfId="577" priority="315" stopIfTrue="1" operator="greaterThan">
      <formula>0</formula>
    </cfRule>
    <cfRule type="cellIs" dxfId="576" priority="316" stopIfTrue="1" operator="lessThan">
      <formula>0</formula>
    </cfRule>
  </conditionalFormatting>
  <conditionalFormatting sqref="AU76:AW76">
    <cfRule type="cellIs" dxfId="575" priority="310" stopIfTrue="1" operator="greaterThan">
      <formula>0</formula>
    </cfRule>
    <cfRule type="cellIs" dxfId="574" priority="311" stopIfTrue="1" operator="lessThan">
      <formula>0</formula>
    </cfRule>
  </conditionalFormatting>
  <conditionalFormatting sqref="O2">
    <cfRule type="cellIs" dxfId="573" priority="292" stopIfTrue="1" operator="equal">
      <formula>"Balance"</formula>
    </cfRule>
    <cfRule type="cellIs" dxfId="572" priority="293" stopIfTrue="1" operator="equal">
      <formula>"Error"</formula>
    </cfRule>
  </conditionalFormatting>
  <conditionalFormatting sqref="M2">
    <cfRule type="cellIs" dxfId="571" priority="298" stopIfTrue="1" operator="equal">
      <formula>"Balance"</formula>
    </cfRule>
    <cfRule type="cellIs" dxfId="570" priority="299" stopIfTrue="1" operator="equal">
      <formula>"Error"</formula>
    </cfRule>
  </conditionalFormatting>
  <conditionalFormatting sqref="J2">
    <cfRule type="cellIs" dxfId="569" priority="296" stopIfTrue="1" operator="equal">
      <formula>"Balance"</formula>
    </cfRule>
    <cfRule type="cellIs" dxfId="568" priority="297" stopIfTrue="1" operator="equal">
      <formula>"Error"</formula>
    </cfRule>
  </conditionalFormatting>
  <conditionalFormatting sqref="P2:T2">
    <cfRule type="cellIs" dxfId="567" priority="294" stopIfTrue="1" operator="equal">
      <formula>"Balance"</formula>
    </cfRule>
    <cfRule type="cellIs" dxfId="566" priority="295" stopIfTrue="1" operator="equal">
      <formula>"Error"</formula>
    </cfRule>
  </conditionalFormatting>
  <conditionalFormatting sqref="V190">
    <cfRule type="cellIs" dxfId="565" priority="288" stopIfTrue="1" operator="equal">
      <formula>"Balance"</formula>
    </cfRule>
    <cfRule type="cellIs" dxfId="564" priority="289" stopIfTrue="1" operator="equal">
      <formula>"Error"</formula>
    </cfRule>
  </conditionalFormatting>
  <conditionalFormatting sqref="V76">
    <cfRule type="cellIs" dxfId="563" priority="286" stopIfTrue="1" operator="greaterThan">
      <formula>0</formula>
    </cfRule>
    <cfRule type="cellIs" dxfId="562" priority="287" stopIfTrue="1" operator="lessThan">
      <formula>0</formula>
    </cfRule>
  </conditionalFormatting>
  <conditionalFormatting sqref="V59">
    <cfRule type="cellIs" dxfId="561" priority="285" stopIfTrue="1" operator="greaterThan">
      <formula>0.33</formula>
    </cfRule>
  </conditionalFormatting>
  <conditionalFormatting sqref="U76">
    <cfRule type="cellIs" dxfId="560" priority="281" stopIfTrue="1" operator="greaterThan">
      <formula>0</formula>
    </cfRule>
    <cfRule type="cellIs" dxfId="559" priority="282" stopIfTrue="1" operator="lessThan">
      <formula>0</formula>
    </cfRule>
  </conditionalFormatting>
  <conditionalFormatting sqref="U59">
    <cfRule type="cellIs" dxfId="558" priority="280" stopIfTrue="1" operator="greaterThan">
      <formula>0.33</formula>
    </cfRule>
  </conditionalFormatting>
  <conditionalFormatting sqref="U2">
    <cfRule type="cellIs" dxfId="557" priority="272" stopIfTrue="1" operator="equal">
      <formula>"Balance"</formula>
    </cfRule>
    <cfRule type="cellIs" dxfId="556" priority="273" stopIfTrue="1" operator="equal">
      <formula>"Error"</formula>
    </cfRule>
  </conditionalFormatting>
  <conditionalFormatting sqref="Q76">
    <cfRule type="cellIs" dxfId="555" priority="270" stopIfTrue="1" operator="greaterThan">
      <formula>0</formula>
    </cfRule>
    <cfRule type="cellIs" dxfId="554" priority="271" stopIfTrue="1" operator="lessThan">
      <formula>0</formula>
    </cfRule>
  </conditionalFormatting>
  <conditionalFormatting sqref="Q59">
    <cfRule type="cellIs" dxfId="553" priority="266" stopIfTrue="1" operator="greaterThan">
      <formula>0.33</formula>
    </cfRule>
  </conditionalFormatting>
  <conditionalFormatting sqref="E190:F190">
    <cfRule type="cellIs" dxfId="552" priority="258" stopIfTrue="1" operator="equal">
      <formula>"Balance"</formula>
    </cfRule>
    <cfRule type="cellIs" dxfId="551" priority="259" stopIfTrue="1" operator="equal">
      <formula>"Error"</formula>
    </cfRule>
  </conditionalFormatting>
  <conditionalFormatting sqref="H190:I190">
    <cfRule type="cellIs" dxfId="550" priority="256" stopIfTrue="1" operator="equal">
      <formula>"Balance"</formula>
    </cfRule>
    <cfRule type="cellIs" dxfId="549" priority="257" stopIfTrue="1" operator="equal">
      <formula>"Error"</formula>
    </cfRule>
  </conditionalFormatting>
  <conditionalFormatting sqref="K190:L190">
    <cfRule type="cellIs" dxfId="548" priority="254" stopIfTrue="1" operator="equal">
      <formula>"Balance"</formula>
    </cfRule>
    <cfRule type="cellIs" dxfId="547" priority="255" stopIfTrue="1" operator="equal">
      <formula>"Error"</formula>
    </cfRule>
  </conditionalFormatting>
  <conditionalFormatting sqref="N190:O190">
    <cfRule type="cellIs" dxfId="546" priority="252" stopIfTrue="1" operator="equal">
      <formula>"Balance"</formula>
    </cfRule>
    <cfRule type="cellIs" dxfId="545" priority="253" stopIfTrue="1" operator="equal">
      <formula>"Error"</formula>
    </cfRule>
  </conditionalFormatting>
  <conditionalFormatting sqref="Q190:R190">
    <cfRule type="cellIs" dxfId="544" priority="250" stopIfTrue="1" operator="equal">
      <formula>"Balance"</formula>
    </cfRule>
    <cfRule type="cellIs" dxfId="543" priority="251" stopIfTrue="1" operator="equal">
      <formula>"Error"</formula>
    </cfRule>
  </conditionalFormatting>
  <conditionalFormatting sqref="T190:U190">
    <cfRule type="cellIs" dxfId="542" priority="248" stopIfTrue="1" operator="equal">
      <formula>"Balance"</formula>
    </cfRule>
    <cfRule type="cellIs" dxfId="541" priority="249" stopIfTrue="1" operator="equal">
      <formula>"Error"</formula>
    </cfRule>
  </conditionalFormatting>
  <conditionalFormatting sqref="AF190 AI190:AW190">
    <cfRule type="cellIs" dxfId="540" priority="246" stopIfTrue="1" operator="equal">
      <formula>"Balance"</formula>
    </cfRule>
    <cfRule type="cellIs" dxfId="539" priority="247" stopIfTrue="1" operator="equal">
      <formula>"Error"</formula>
    </cfRule>
  </conditionalFormatting>
  <conditionalFormatting sqref="D84:E84">
    <cfRule type="cellIs" dxfId="538" priority="244" stopIfTrue="1" operator="greaterThan">
      <formula>0</formula>
    </cfRule>
    <cfRule type="cellIs" dxfId="537" priority="245" stopIfTrue="1" operator="lessThan">
      <formula>0</formula>
    </cfRule>
  </conditionalFormatting>
  <conditionalFormatting sqref="F84:G84">
    <cfRule type="cellIs" dxfId="536" priority="242" stopIfTrue="1" operator="greaterThan">
      <formula>0</formula>
    </cfRule>
    <cfRule type="cellIs" dxfId="535" priority="243" stopIfTrue="1" operator="lessThan">
      <formula>0</formula>
    </cfRule>
  </conditionalFormatting>
  <conditionalFormatting sqref="V2">
    <cfRule type="cellIs" dxfId="534" priority="240" stopIfTrue="1" operator="equal">
      <formula>"Balance"</formula>
    </cfRule>
    <cfRule type="cellIs" dxfId="533" priority="241" stopIfTrue="1" operator="equal">
      <formula>"Error"</formula>
    </cfRule>
  </conditionalFormatting>
  <conditionalFormatting sqref="Y82 Y85">
    <cfRule type="cellIs" dxfId="532" priority="218" stopIfTrue="1" operator="greaterThan">
      <formula>0</formula>
    </cfRule>
    <cfRule type="cellIs" dxfId="531" priority="219" stopIfTrue="1" operator="lessThan">
      <formula>0</formula>
    </cfRule>
  </conditionalFormatting>
  <conditionalFormatting sqref="Y190">
    <cfRule type="cellIs" dxfId="530" priority="216" stopIfTrue="1" operator="equal">
      <formula>"Balance"</formula>
    </cfRule>
    <cfRule type="cellIs" dxfId="529" priority="217" stopIfTrue="1" operator="equal">
      <formula>"Error"</formula>
    </cfRule>
  </conditionalFormatting>
  <conditionalFormatting sqref="Y76">
    <cfRule type="cellIs" dxfId="528" priority="214" stopIfTrue="1" operator="greaterThan">
      <formula>0</formula>
    </cfRule>
    <cfRule type="cellIs" dxfId="527" priority="215" stopIfTrue="1" operator="lessThan">
      <formula>0</formula>
    </cfRule>
  </conditionalFormatting>
  <conditionalFormatting sqref="Y59">
    <cfRule type="cellIs" dxfId="526" priority="213" stopIfTrue="1" operator="greaterThan">
      <formula>0.33</formula>
    </cfRule>
  </conditionalFormatting>
  <conditionalFormatting sqref="Y2">
    <cfRule type="cellIs" dxfId="525" priority="200" stopIfTrue="1" operator="equal">
      <formula>"Balance"</formula>
    </cfRule>
    <cfRule type="cellIs" dxfId="524" priority="201" stopIfTrue="1" operator="equal">
      <formula>"Error"</formula>
    </cfRule>
  </conditionalFormatting>
  <conditionalFormatting sqref="AX85:AZ85 AX82:AZ82">
    <cfRule type="cellIs" dxfId="523" priority="197" stopIfTrue="1" operator="greaterThan">
      <formula>0</formula>
    </cfRule>
    <cfRule type="cellIs" dxfId="522" priority="198" stopIfTrue="1" operator="lessThan">
      <formula>0</formula>
    </cfRule>
  </conditionalFormatting>
  <conditionalFormatting sqref="AX59:AZ59">
    <cfRule type="cellIs" dxfId="521" priority="199" stopIfTrue="1" operator="greaterThan">
      <formula>0.33</formula>
    </cfRule>
  </conditionalFormatting>
  <conditionalFormatting sqref="AX59:AZ59">
    <cfRule type="cellIs" dxfId="520" priority="196" stopIfTrue="1" operator="greaterThan">
      <formula>0.33</formula>
    </cfRule>
  </conditionalFormatting>
  <conditionalFormatting sqref="AX76:AZ76">
    <cfRule type="cellIs" dxfId="519" priority="194" stopIfTrue="1" operator="greaterThan">
      <formula>0</formula>
    </cfRule>
    <cfRule type="cellIs" dxfId="518" priority="195" stopIfTrue="1" operator="lessThan">
      <formula>0</formula>
    </cfRule>
  </conditionalFormatting>
  <conditionalFormatting sqref="AX76:AZ76">
    <cfRule type="cellIs" dxfId="517" priority="192" stopIfTrue="1" operator="greaterThan">
      <formula>0</formula>
    </cfRule>
    <cfRule type="cellIs" dxfId="516" priority="193" stopIfTrue="1" operator="lessThan">
      <formula>0</formula>
    </cfRule>
  </conditionalFormatting>
  <conditionalFormatting sqref="AX76:AZ76">
    <cfRule type="cellIs" dxfId="515" priority="189" stopIfTrue="1" operator="greaterThan">
      <formula>0</formula>
    </cfRule>
    <cfRule type="cellIs" dxfId="514" priority="190" stopIfTrue="1" operator="lessThan">
      <formula>0</formula>
    </cfRule>
  </conditionalFormatting>
  <conditionalFormatting sqref="AX76:AZ76">
    <cfRule type="cellIs" dxfId="513" priority="187" stopIfTrue="1" operator="greaterThan">
      <formula>0</formula>
    </cfRule>
    <cfRule type="cellIs" dxfId="512" priority="188" stopIfTrue="1" operator="lessThan">
      <formula>0</formula>
    </cfRule>
  </conditionalFormatting>
  <conditionalFormatting sqref="AX190:AZ190">
    <cfRule type="cellIs" dxfId="511" priority="184" stopIfTrue="1" operator="equal">
      <formula>"Balance"</formula>
    </cfRule>
    <cfRule type="cellIs" dxfId="510" priority="185" stopIfTrue="1" operator="equal">
      <formula>"Error"</formula>
    </cfRule>
  </conditionalFormatting>
  <conditionalFormatting sqref="D59">
    <cfRule type="cellIs" dxfId="509" priority="181" stopIfTrue="1" operator="greaterThan">
      <formula>0.33</formula>
    </cfRule>
  </conditionalFormatting>
  <conditionalFormatting sqref="C59">
    <cfRule type="cellIs" dxfId="508" priority="180" stopIfTrue="1" operator="greaterThan">
      <formula>0.33</formula>
    </cfRule>
  </conditionalFormatting>
  <conditionalFormatting sqref="T59">
    <cfRule type="cellIs" dxfId="507" priority="178" stopIfTrue="1" operator="greaterThan">
      <formula>0.33</formula>
    </cfRule>
  </conditionalFormatting>
  <conditionalFormatting sqref="BA85:BC85 BA82:BC82">
    <cfRule type="cellIs" dxfId="506" priority="138" stopIfTrue="1" operator="greaterThan">
      <formula>0</formula>
    </cfRule>
    <cfRule type="cellIs" dxfId="505" priority="139" stopIfTrue="1" operator="lessThan">
      <formula>0</formula>
    </cfRule>
  </conditionalFormatting>
  <conditionalFormatting sqref="BA59:BC59">
    <cfRule type="cellIs" dxfId="504" priority="140" stopIfTrue="1" operator="greaterThan">
      <formula>0.33</formula>
    </cfRule>
  </conditionalFormatting>
  <conditionalFormatting sqref="BA59:BC59">
    <cfRule type="cellIs" dxfId="503" priority="137" stopIfTrue="1" operator="greaterThan">
      <formula>0.33</formula>
    </cfRule>
  </conditionalFormatting>
  <conditionalFormatting sqref="BA76:BC76">
    <cfRule type="cellIs" dxfId="502" priority="135" stopIfTrue="1" operator="greaterThan">
      <formula>0</formula>
    </cfRule>
    <cfRule type="cellIs" dxfId="501" priority="136" stopIfTrue="1" operator="lessThan">
      <formula>0</formula>
    </cfRule>
  </conditionalFormatting>
  <conditionalFormatting sqref="BA76:BC76">
    <cfRule type="cellIs" dxfId="500" priority="133" stopIfTrue="1" operator="greaterThan">
      <formula>0</formula>
    </cfRule>
    <cfRule type="cellIs" dxfId="499" priority="134" stopIfTrue="1" operator="lessThan">
      <formula>0</formula>
    </cfRule>
  </conditionalFormatting>
  <conditionalFormatting sqref="BA76:BC76">
    <cfRule type="cellIs" dxfId="498" priority="130" stopIfTrue="1" operator="greaterThan">
      <formula>0</formula>
    </cfRule>
    <cfRule type="cellIs" dxfId="497" priority="131" stopIfTrue="1" operator="lessThan">
      <formula>0</formula>
    </cfRule>
  </conditionalFormatting>
  <conditionalFormatting sqref="BA76:BC76">
    <cfRule type="cellIs" dxfId="496" priority="128" stopIfTrue="1" operator="greaterThan">
      <formula>0</formula>
    </cfRule>
    <cfRule type="cellIs" dxfId="495" priority="129" stopIfTrue="1" operator="lessThan">
      <formula>0</formula>
    </cfRule>
  </conditionalFormatting>
  <conditionalFormatting sqref="BA190:BC190">
    <cfRule type="cellIs" dxfId="494" priority="125" stopIfTrue="1" operator="equal">
      <formula>"Balance"</formula>
    </cfRule>
    <cfRule type="cellIs" dxfId="493" priority="126" stopIfTrue="1" operator="equal">
      <formula>"Error"</formula>
    </cfRule>
  </conditionalFormatting>
  <conditionalFormatting sqref="BD85:BJ85 BD82:BJ82">
    <cfRule type="cellIs" dxfId="492" priority="120" stopIfTrue="1" operator="greaterThan">
      <formula>0</formula>
    </cfRule>
    <cfRule type="cellIs" dxfId="491" priority="121" stopIfTrue="1" operator="lessThan">
      <formula>0</formula>
    </cfRule>
  </conditionalFormatting>
  <conditionalFormatting sqref="BD59:BJ59">
    <cfRule type="cellIs" dxfId="490" priority="122" stopIfTrue="1" operator="greaterThan">
      <formula>0.33</formula>
    </cfRule>
  </conditionalFormatting>
  <conditionalFormatting sqref="BD59:BJ59">
    <cfRule type="cellIs" dxfId="489" priority="119" stopIfTrue="1" operator="greaterThan">
      <formula>0.33</formula>
    </cfRule>
  </conditionalFormatting>
  <conditionalFormatting sqref="BD76:BJ76">
    <cfRule type="cellIs" dxfId="488" priority="117" stopIfTrue="1" operator="greaterThan">
      <formula>0</formula>
    </cfRule>
    <cfRule type="cellIs" dxfId="487" priority="118" stopIfTrue="1" operator="lessThan">
      <formula>0</formula>
    </cfRule>
  </conditionalFormatting>
  <conditionalFormatting sqref="BD76:BJ76">
    <cfRule type="cellIs" dxfId="486" priority="115" stopIfTrue="1" operator="greaterThan">
      <formula>0</formula>
    </cfRule>
    <cfRule type="cellIs" dxfId="485" priority="116" stopIfTrue="1" operator="lessThan">
      <formula>0</formula>
    </cfRule>
  </conditionalFormatting>
  <conditionalFormatting sqref="BD76:BJ76">
    <cfRule type="cellIs" dxfId="484" priority="112" stopIfTrue="1" operator="greaterThan">
      <formula>0</formula>
    </cfRule>
    <cfRule type="cellIs" dxfId="483" priority="113" stopIfTrue="1" operator="lessThan">
      <formula>0</formula>
    </cfRule>
  </conditionalFormatting>
  <conditionalFormatting sqref="BD76:BJ76">
    <cfRule type="cellIs" dxfId="482" priority="110" stopIfTrue="1" operator="greaterThan">
      <formula>0</formula>
    </cfRule>
    <cfRule type="cellIs" dxfId="481" priority="111" stopIfTrue="1" operator="lessThan">
      <formula>0</formula>
    </cfRule>
  </conditionalFormatting>
  <conditionalFormatting sqref="BD190:BJ190">
    <cfRule type="cellIs" dxfId="480" priority="107" stopIfTrue="1" operator="equal">
      <formula>"Balance"</formula>
    </cfRule>
    <cfRule type="cellIs" dxfId="479" priority="108" stopIfTrue="1" operator="equal">
      <formula>"Error"</formula>
    </cfRule>
  </conditionalFormatting>
  <conditionalFormatting sqref="W190">
    <cfRule type="cellIs" dxfId="478" priority="101" stopIfTrue="1" operator="equal">
      <formula>"Balance"</formula>
    </cfRule>
    <cfRule type="cellIs" dxfId="477" priority="102" stopIfTrue="1" operator="equal">
      <formula>"Error"</formula>
    </cfRule>
  </conditionalFormatting>
  <conditionalFormatting sqref="W59:X59">
    <cfRule type="cellIs" dxfId="476" priority="97" stopIfTrue="1" operator="greaterThan">
      <formula>0.33</formula>
    </cfRule>
  </conditionalFormatting>
  <conditionalFormatting sqref="X76">
    <cfRule type="cellIs" dxfId="475" priority="75" stopIfTrue="1" operator="greaterThan">
      <formula>0</formula>
    </cfRule>
    <cfRule type="cellIs" dxfId="474" priority="76" stopIfTrue="1" operator="lessThan">
      <formula>0</formula>
    </cfRule>
  </conditionalFormatting>
  <conditionalFormatting sqref="X2">
    <cfRule type="cellIs" dxfId="473" priority="72" stopIfTrue="1" operator="equal">
      <formula>"Balance"</formula>
    </cfRule>
    <cfRule type="cellIs" dxfId="472" priority="73" stopIfTrue="1" operator="equal">
      <formula>"Error"</formula>
    </cfRule>
  </conditionalFormatting>
  <conditionalFormatting sqref="X190">
    <cfRule type="cellIs" dxfId="471" priority="70" stopIfTrue="1" operator="equal">
      <formula>"Balance"</formula>
    </cfRule>
    <cfRule type="cellIs" dxfId="470" priority="71" stopIfTrue="1" operator="equal">
      <formula>"Error"</formula>
    </cfRule>
  </conditionalFormatting>
  <conditionalFormatting sqref="AD82:AE82 AD85:AE85">
    <cfRule type="cellIs" dxfId="469" priority="67" stopIfTrue="1" operator="greaterThan">
      <formula>0</formula>
    </cfRule>
    <cfRule type="cellIs" dxfId="468" priority="68" stopIfTrue="1" operator="lessThan">
      <formula>0</formula>
    </cfRule>
  </conditionalFormatting>
  <conditionalFormatting sqref="AE190">
    <cfRule type="cellIs" dxfId="467" priority="65" stopIfTrue="1" operator="equal">
      <formula>"Balance"</formula>
    </cfRule>
    <cfRule type="cellIs" dxfId="466" priority="66" stopIfTrue="1" operator="equal">
      <formula>"Error"</formula>
    </cfRule>
  </conditionalFormatting>
  <conditionalFormatting sqref="AE76">
    <cfRule type="cellIs" dxfId="465" priority="63" stopIfTrue="1" operator="greaterThan">
      <formula>0</formula>
    </cfRule>
    <cfRule type="cellIs" dxfId="464" priority="64" stopIfTrue="1" operator="lessThan">
      <formula>0</formula>
    </cfRule>
  </conditionalFormatting>
  <conditionalFormatting sqref="AE59">
    <cfRule type="cellIs" dxfId="463" priority="62" stopIfTrue="1" operator="greaterThan">
      <formula>0.33</formula>
    </cfRule>
  </conditionalFormatting>
  <conditionalFormatting sqref="AD76">
    <cfRule type="cellIs" dxfId="462" priority="60" stopIfTrue="1" operator="greaterThan">
      <formula>0</formula>
    </cfRule>
    <cfRule type="cellIs" dxfId="461" priority="61" stopIfTrue="1" operator="lessThan">
      <formula>0</formula>
    </cfRule>
  </conditionalFormatting>
  <conditionalFormatting sqref="AD59">
    <cfRule type="cellIs" dxfId="460" priority="59" stopIfTrue="1" operator="greaterThan">
      <formula>0.33</formula>
    </cfRule>
  </conditionalFormatting>
  <conditionalFormatting sqref="AD2">
    <cfRule type="cellIs" dxfId="459" priority="56" stopIfTrue="1" operator="equal">
      <formula>"Balance"</formula>
    </cfRule>
    <cfRule type="cellIs" dxfId="458" priority="57" stopIfTrue="1" operator="equal">
      <formula>"Error"</formula>
    </cfRule>
  </conditionalFormatting>
  <conditionalFormatting sqref="AD190">
    <cfRule type="cellIs" dxfId="457" priority="53" stopIfTrue="1" operator="equal">
      <formula>"Balance"</formula>
    </cfRule>
    <cfRule type="cellIs" dxfId="456" priority="54" stopIfTrue="1" operator="equal">
      <formula>"Error"</formula>
    </cfRule>
  </conditionalFormatting>
  <conditionalFormatting sqref="AE2">
    <cfRule type="cellIs" dxfId="455" priority="49" stopIfTrue="1" operator="equal">
      <formula>"Balance"</formula>
    </cfRule>
    <cfRule type="cellIs" dxfId="454" priority="50" stopIfTrue="1" operator="equal">
      <formula>"Error"</formula>
    </cfRule>
  </conditionalFormatting>
  <conditionalFormatting sqref="Z190">
    <cfRule type="cellIs" dxfId="453" priority="45" stopIfTrue="1" operator="equal">
      <formula>"Balance"</formula>
    </cfRule>
    <cfRule type="cellIs" dxfId="452" priority="46" stopIfTrue="1" operator="equal">
      <formula>"Error"</formula>
    </cfRule>
  </conditionalFormatting>
  <conditionalFormatting sqref="Z59">
    <cfRule type="cellIs" dxfId="451" priority="43" stopIfTrue="1" operator="greaterThan">
      <formula>0.33</formula>
    </cfRule>
  </conditionalFormatting>
  <conditionalFormatting sqref="AA59">
    <cfRule type="cellIs" dxfId="450" priority="42" stopIfTrue="1" operator="greaterThan">
      <formula>0.33</formula>
    </cfRule>
  </conditionalFormatting>
  <conditionalFormatting sqref="AA76">
    <cfRule type="cellIs" dxfId="449" priority="40" stopIfTrue="1" operator="greaterThan">
      <formula>0</formula>
    </cfRule>
    <cfRule type="cellIs" dxfId="448" priority="41" stopIfTrue="1" operator="lessThan">
      <formula>0</formula>
    </cfRule>
  </conditionalFormatting>
  <conditionalFormatting sqref="AA2">
    <cfRule type="cellIs" dxfId="447" priority="38" stopIfTrue="1" operator="equal">
      <formula>"Balance"</formula>
    </cfRule>
    <cfRule type="cellIs" dxfId="446" priority="39" stopIfTrue="1" operator="equal">
      <formula>"Error"</formula>
    </cfRule>
  </conditionalFormatting>
  <conditionalFormatting sqref="AA190">
    <cfRule type="cellIs" dxfId="445" priority="36" stopIfTrue="1" operator="equal">
      <formula>"Balance"</formula>
    </cfRule>
    <cfRule type="cellIs" dxfId="444" priority="37" stopIfTrue="1" operator="equal">
      <formula>"Error"</formula>
    </cfRule>
  </conditionalFormatting>
  <conditionalFormatting sqref="AG82:AH82 AG85:AH85">
    <cfRule type="cellIs" dxfId="443" priority="33" stopIfTrue="1" operator="greaterThan">
      <formula>0</formula>
    </cfRule>
    <cfRule type="cellIs" dxfId="442" priority="34" stopIfTrue="1" operator="lessThan">
      <formula>0</formula>
    </cfRule>
  </conditionalFormatting>
  <conditionalFormatting sqref="AH190">
    <cfRule type="cellIs" dxfId="441" priority="31" stopIfTrue="1" operator="equal">
      <formula>"Balance"</formula>
    </cfRule>
    <cfRule type="cellIs" dxfId="440" priority="32" stopIfTrue="1" operator="equal">
      <formula>"Error"</formula>
    </cfRule>
  </conditionalFormatting>
  <conditionalFormatting sqref="AH76">
    <cfRule type="cellIs" dxfId="439" priority="29" stopIfTrue="1" operator="greaterThan">
      <formula>0</formula>
    </cfRule>
    <cfRule type="cellIs" dxfId="438" priority="30" stopIfTrue="1" operator="lessThan">
      <formula>0</formula>
    </cfRule>
  </conditionalFormatting>
  <conditionalFormatting sqref="AH59">
    <cfRule type="cellIs" dxfId="437" priority="28" stopIfTrue="1" operator="greaterThan">
      <formula>0.33</formula>
    </cfRule>
  </conditionalFormatting>
  <conditionalFormatting sqref="AG76">
    <cfRule type="cellIs" dxfId="436" priority="26" stopIfTrue="1" operator="greaterThan">
      <formula>0</formula>
    </cfRule>
    <cfRule type="cellIs" dxfId="435" priority="27" stopIfTrue="1" operator="lessThan">
      <formula>0</formula>
    </cfRule>
  </conditionalFormatting>
  <conditionalFormatting sqref="AG59">
    <cfRule type="cellIs" dxfId="434" priority="25" stopIfTrue="1" operator="greaterThan">
      <formula>0.33</formula>
    </cfRule>
  </conditionalFormatting>
  <conditionalFormatting sqref="AG2">
    <cfRule type="cellIs" dxfId="433" priority="22" stopIfTrue="1" operator="equal">
      <formula>"Balance"</formula>
    </cfRule>
    <cfRule type="cellIs" dxfId="432" priority="23" stopIfTrue="1" operator="equal">
      <formula>"Error"</formula>
    </cfRule>
  </conditionalFormatting>
  <conditionalFormatting sqref="AG190">
    <cfRule type="cellIs" dxfId="431" priority="19" stopIfTrue="1" operator="equal">
      <formula>"Balance"</formula>
    </cfRule>
    <cfRule type="cellIs" dxfId="430" priority="20" stopIfTrue="1" operator="equal">
      <formula>"Error"</formula>
    </cfRule>
  </conditionalFormatting>
  <conditionalFormatting sqref="AH2">
    <cfRule type="cellIs" dxfId="429" priority="15" stopIfTrue="1" operator="equal">
      <formula>"Balance"</formula>
    </cfRule>
    <cfRule type="cellIs" dxfId="428" priority="16" stopIfTrue="1" operator="equal">
      <formula>"Error"</formula>
    </cfRule>
  </conditionalFormatting>
  <conditionalFormatting sqref="AC190">
    <cfRule type="cellIs" dxfId="427" priority="13" stopIfTrue="1" operator="equal">
      <formula>"Balance"</formula>
    </cfRule>
    <cfRule type="cellIs" dxfId="426" priority="14" stopIfTrue="1" operator="equal">
      <formula>"Error"</formula>
    </cfRule>
  </conditionalFormatting>
  <conditionalFormatting sqref="AC59">
    <cfRule type="cellIs" dxfId="425" priority="11" stopIfTrue="1" operator="greaterThan">
      <formula>0.33</formula>
    </cfRule>
  </conditionalFormatting>
  <conditionalFormatting sqref="AB82 AB85">
    <cfRule type="cellIs" dxfId="424" priority="9" stopIfTrue="1" operator="greaterThan">
      <formula>0</formula>
    </cfRule>
    <cfRule type="cellIs" dxfId="423" priority="10" stopIfTrue="1" operator="lessThan">
      <formula>0</formula>
    </cfRule>
  </conditionalFormatting>
  <conditionalFormatting sqref="AB190">
    <cfRule type="cellIs" dxfId="422" priority="7" stopIfTrue="1" operator="equal">
      <formula>"Balance"</formula>
    </cfRule>
    <cfRule type="cellIs" dxfId="421" priority="8" stopIfTrue="1" operator="equal">
      <formula>"Error"</formula>
    </cfRule>
  </conditionalFormatting>
  <conditionalFormatting sqref="AB76">
    <cfRule type="cellIs" dxfId="420" priority="5" stopIfTrue="1" operator="greaterThan">
      <formula>0</formula>
    </cfRule>
    <cfRule type="cellIs" dxfId="419" priority="6" stopIfTrue="1" operator="lessThan">
      <formula>0</formula>
    </cfRule>
  </conditionalFormatting>
  <conditionalFormatting sqref="AB2">
    <cfRule type="cellIs" dxfId="418" priority="2" stopIfTrue="1" operator="equal">
      <formula>"Balance"</formula>
    </cfRule>
    <cfRule type="cellIs" dxfId="417" priority="3" stopIfTrue="1" operator="equal">
      <formula>"Error"</formula>
    </cfRule>
  </conditionalFormatting>
  <conditionalFormatting sqref="AB59">
    <cfRule type="cellIs" dxfId="416" priority="1" stopIfTrue="1" operator="greaterThan">
      <formula>0.33</formula>
    </cfRule>
  </conditionalFormatting>
  <printOptions horizontalCentered="1"/>
  <pageMargins left="0.39370078740157499" right="0.39370078740157499" top="0.59055118110236204" bottom="0.59055118110236204" header="0.196850393700787" footer="0.196850393700787"/>
  <pageSetup paperSize="9" scale="75" fitToHeight="0" orientation="landscape" r:id="rId3"/>
  <headerFooter alignWithMargins="0">
    <oddHeader>&amp;L&amp;"MS Sans Serif,Bold"&amp;14Super Cheap Auto - Model&amp;R&amp;"Times,Bold"&amp;12George Batsakis
(+61) 3 9679 1245</oddHeader>
    <oddFooter>&amp;L&amp;"MS Sans Serif,Bold"Goldman Sachs Australia (Confidential)&amp;C&amp;D&amp;RPage &amp;P</oddFooter>
  </headerFooter>
  <rowBreaks count="4" manualBreakCount="4">
    <brk id="96" max="16383" man="1"/>
    <brk id="146" max="16383" man="1"/>
    <brk id="190" max="16383" man="1"/>
    <brk id="238" max="16383" man="1"/>
  </rowBreaks>
  <customProperties>
    <customPr name="Qube.Worksheet.Visibility" r:id="rId4"/>
  </customProperties>
  <cellWatches>
    <cellWatch r="O11"/>
    <cellWatch r="P11"/>
    <cellWatch r="Q11"/>
  </cellWatches>
  <ignoredErrors>
    <ignoredError sqref="Y9" formula="1"/>
  </ignoredErrors>
  <drawing r:id="rId5"/>
  <legacy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4"/>
  </sheetPr>
  <dimension ref="A1:BP449"/>
  <sheetViews>
    <sheetView zoomScale="85" zoomScaleNormal="85" workbookViewId="0">
      <pane xSplit="2" ySplit="3" topLeftCell="T4" activePane="bottomRight" state="frozen"/>
      <selection pane="topRight" activeCell="C1" sqref="C1"/>
      <selection pane="bottomLeft" activeCell="A4" sqref="A4"/>
      <selection pane="bottomRight" activeCell="AI192" sqref="AI192"/>
    </sheetView>
  </sheetViews>
  <sheetFormatPr defaultColWidth="10.28515625" defaultRowHeight="12.75" outlineLevelRow="1" outlineLevelCol="1"/>
  <cols>
    <col min="1" max="1" width="10" style="812" customWidth="1"/>
    <col min="2" max="2" width="40.140625" style="812" customWidth="1"/>
    <col min="3" max="4" width="10.28515625" style="831" hidden="1" customWidth="1" outlineLevel="1"/>
    <col min="5" max="5" width="10.28515625" style="831" customWidth="1" collapsed="1"/>
    <col min="6" max="7" width="10.28515625" style="831" hidden="1" customWidth="1" outlineLevel="1"/>
    <col min="8" max="8" width="10.28515625" style="831" customWidth="1" collapsed="1"/>
    <col min="9" max="10" width="10.28515625" style="831" hidden="1" customWidth="1" outlineLevel="1"/>
    <col min="11" max="11" width="10.28515625" style="940" customWidth="1" collapsed="1"/>
    <col min="12" max="13" width="10.28515625" style="831" hidden="1" customWidth="1" outlineLevel="1"/>
    <col min="14" max="14" width="10.28515625" style="831" customWidth="1" collapsed="1"/>
    <col min="15" max="16" width="10.28515625" style="831" hidden="1" customWidth="1" outlineLevel="1"/>
    <col min="17" max="17" width="10.28515625" style="831" customWidth="1" collapsed="1"/>
    <col min="18" max="19" width="10.28515625" style="831" hidden="1" customWidth="1" outlineLevel="1"/>
    <col min="20" max="20" width="10.28515625" style="831" customWidth="1" collapsed="1"/>
    <col min="21" max="22" width="10.28515625" style="831" hidden="1" customWidth="1" outlineLevel="1"/>
    <col min="23" max="23" width="10.28515625" style="831" customWidth="1" collapsed="1"/>
    <col min="24" max="25" width="10.28515625" style="831" hidden="1" customWidth="1" outlineLevel="1"/>
    <col min="26" max="26" width="11.28515625" style="831" customWidth="1" collapsed="1"/>
    <col min="27" max="28" width="10.28515625" style="831" hidden="1" customWidth="1" outlineLevel="1"/>
    <col min="29" max="29" width="11.28515625" style="954" customWidth="1" collapsed="1"/>
    <col min="30" max="31" width="10.28515625" style="831" hidden="1" customWidth="1" outlineLevel="1"/>
    <col min="32" max="32" width="11.28515625" style="831" customWidth="1" collapsed="1"/>
    <col min="33" max="34" width="10.28515625" style="831" hidden="1" customWidth="1" outlineLevel="1"/>
    <col min="35" max="35" width="11.28515625" style="831" customWidth="1" collapsed="1"/>
    <col min="36" max="37" width="11.28515625" style="831" hidden="1" customWidth="1" outlineLevel="1"/>
    <col min="38" max="38" width="11.28515625" style="831" customWidth="1" collapsed="1"/>
    <col min="39" max="40" width="11.28515625" style="831" hidden="1" customWidth="1" outlineLevel="1"/>
    <col min="41" max="41" width="11.28515625" style="831" customWidth="1" collapsed="1"/>
    <col min="42" max="43" width="11.28515625" style="831" hidden="1" customWidth="1" outlineLevel="1"/>
    <col min="44" max="44" width="11.28515625" style="831" customWidth="1" collapsed="1"/>
    <col min="45" max="46" width="11.28515625" style="831" hidden="1" customWidth="1" outlineLevel="1"/>
    <col min="47" max="47" width="11.28515625" style="831" customWidth="1" collapsed="1"/>
    <col min="48" max="49" width="11.28515625" style="831" hidden="1" customWidth="1" outlineLevel="1"/>
    <col min="50" max="50" width="11.28515625" style="831" customWidth="1" collapsed="1"/>
    <col min="51" max="52" width="11.28515625" style="831" hidden="1" customWidth="1" outlineLevel="1"/>
    <col min="53" max="53" width="11.28515625" style="831" customWidth="1" collapsed="1"/>
    <col min="54" max="55" width="11.28515625" style="831" hidden="1" customWidth="1" outlineLevel="1"/>
    <col min="56" max="56" width="11.28515625" style="831" customWidth="1" collapsed="1"/>
    <col min="57" max="58" width="11.28515625" style="831" hidden="1" customWidth="1" outlineLevel="1"/>
    <col min="59" max="59" width="11.28515625" style="831" customWidth="1" collapsed="1"/>
    <col min="60" max="61" width="11.28515625" style="831" hidden="1" customWidth="1" outlineLevel="1"/>
    <col min="62" max="62" width="11.28515625" style="831" customWidth="1" collapsed="1"/>
    <col min="63" max="63" width="40.7109375" style="810" bestFit="1" customWidth="1"/>
    <col min="64" max="64" width="10.28515625" style="811"/>
    <col min="65" max="16384" width="10.28515625" style="812"/>
  </cols>
  <sheetData>
    <row r="1" spans="2:66" ht="13.5">
      <c r="B1" s="805"/>
      <c r="C1" s="806"/>
      <c r="D1" s="806"/>
      <c r="E1" s="806"/>
      <c r="F1" s="806"/>
      <c r="G1" s="806"/>
      <c r="H1" s="806"/>
      <c r="I1" s="806"/>
      <c r="J1" s="806"/>
      <c r="K1" s="807"/>
      <c r="L1" s="808" t="s">
        <v>826</v>
      </c>
      <c r="M1" s="806"/>
      <c r="N1" s="806"/>
      <c r="O1" s="806"/>
      <c r="P1" s="806"/>
      <c r="Q1" s="806"/>
      <c r="R1" s="806"/>
      <c r="S1" s="806"/>
      <c r="T1" s="806"/>
      <c r="U1" s="806"/>
      <c r="V1" s="806"/>
      <c r="W1" s="806"/>
      <c r="X1" s="806"/>
      <c r="Y1" s="806"/>
      <c r="Z1" s="806"/>
      <c r="AA1" s="806"/>
      <c r="AB1" s="806"/>
      <c r="AC1" s="809"/>
      <c r="AD1" s="806"/>
      <c r="AE1" s="806"/>
      <c r="AF1" s="806"/>
      <c r="AG1" s="806"/>
      <c r="AH1" s="806"/>
      <c r="AI1" s="806"/>
      <c r="AJ1" s="806"/>
      <c r="AK1" s="806"/>
      <c r="AL1" s="806"/>
      <c r="AM1" s="806"/>
      <c r="AN1" s="806"/>
      <c r="AO1" s="806"/>
      <c r="AP1" s="806"/>
      <c r="AQ1" s="806"/>
      <c r="AR1" s="806"/>
      <c r="AS1" s="806"/>
      <c r="AT1" s="806"/>
      <c r="AU1" s="806"/>
      <c r="AV1" s="806"/>
      <c r="AW1" s="806"/>
      <c r="AX1" s="806"/>
      <c r="AY1" s="806"/>
      <c r="AZ1" s="806"/>
      <c r="BA1" s="806"/>
      <c r="BB1" s="806"/>
      <c r="BC1" s="806"/>
      <c r="BD1" s="806"/>
      <c r="BE1" s="806"/>
      <c r="BF1" s="806"/>
      <c r="BG1" s="806"/>
      <c r="BH1" s="806"/>
      <c r="BI1" s="806"/>
      <c r="BJ1" s="806"/>
    </row>
    <row r="2" spans="2:66" s="644" customFormat="1" ht="30.75" customHeight="1">
      <c r="B2" s="813" t="s">
        <v>132</v>
      </c>
      <c r="C2" s="814"/>
      <c r="D2" s="814"/>
      <c r="E2" s="814" t="s">
        <v>256</v>
      </c>
      <c r="F2" s="814"/>
      <c r="G2" s="814"/>
      <c r="H2" s="814" t="s">
        <v>256</v>
      </c>
      <c r="I2" s="814" t="s">
        <v>280</v>
      </c>
      <c r="J2" s="814" t="s">
        <v>280</v>
      </c>
      <c r="K2" s="815" t="s">
        <v>256</v>
      </c>
      <c r="L2" s="814" t="s">
        <v>280</v>
      </c>
      <c r="M2" s="814" t="s">
        <v>280</v>
      </c>
      <c r="N2" s="814" t="s">
        <v>256</v>
      </c>
      <c r="O2" s="814" t="s">
        <v>280</v>
      </c>
      <c r="P2" s="814" t="s">
        <v>280</v>
      </c>
      <c r="Q2" s="814" t="s">
        <v>256</v>
      </c>
      <c r="R2" s="814" t="s">
        <v>280</v>
      </c>
      <c r="S2" s="814" t="s">
        <v>784</v>
      </c>
      <c r="T2" s="814"/>
      <c r="U2" s="814"/>
      <c r="V2" s="816" t="s">
        <v>785</v>
      </c>
      <c r="W2" s="814"/>
      <c r="X2" s="814"/>
      <c r="Y2" s="816" t="s">
        <v>785</v>
      </c>
      <c r="Z2" s="817"/>
      <c r="AA2" s="814"/>
      <c r="AB2" s="816" t="s">
        <v>785</v>
      </c>
      <c r="AC2" s="1354"/>
      <c r="AD2" s="814"/>
      <c r="AE2" s="816" t="s">
        <v>785</v>
      </c>
      <c r="AF2" s="817"/>
      <c r="AG2" s="814"/>
      <c r="AH2" s="816" t="s">
        <v>785</v>
      </c>
      <c r="AI2" s="817"/>
      <c r="AJ2" s="817"/>
      <c r="AK2" s="817"/>
      <c r="AL2" s="817"/>
      <c r="AM2" s="817"/>
      <c r="AN2" s="817"/>
      <c r="AO2" s="817"/>
      <c r="AP2" s="817"/>
      <c r="AQ2" s="817"/>
      <c r="AR2" s="818"/>
      <c r="AS2" s="818"/>
      <c r="AT2" s="818"/>
      <c r="AU2" s="818"/>
      <c r="AV2" s="818"/>
      <c r="AW2" s="818"/>
      <c r="AX2" s="818"/>
      <c r="AY2" s="818"/>
      <c r="AZ2" s="818"/>
      <c r="BA2" s="817"/>
      <c r="BB2" s="817"/>
      <c r="BC2" s="817"/>
      <c r="BD2" s="817"/>
      <c r="BE2" s="817"/>
      <c r="BF2" s="817"/>
      <c r="BG2" s="817"/>
      <c r="BH2" s="817"/>
      <c r="BI2" s="817"/>
      <c r="BJ2" s="817"/>
      <c r="BK2" s="810"/>
      <c r="BL2" s="819"/>
    </row>
    <row r="3" spans="2:66">
      <c r="B3" s="820" t="s">
        <v>35</v>
      </c>
      <c r="C3" s="821" t="s">
        <v>427</v>
      </c>
      <c r="D3" s="821" t="s">
        <v>428</v>
      </c>
      <c r="E3" s="821" t="str">
        <f>MODEL!E3</f>
        <v>FY17</v>
      </c>
      <c r="F3" s="821" t="str">
        <f>MODEL!F3</f>
        <v>1H18</v>
      </c>
      <c r="G3" s="821" t="str">
        <f>MODEL!G3</f>
        <v>2H18</v>
      </c>
      <c r="H3" s="821" t="str">
        <f>MODEL!H3</f>
        <v>FY18</v>
      </c>
      <c r="I3" s="821" t="str">
        <f>MODEL!I3</f>
        <v>1H19</v>
      </c>
      <c r="J3" s="821" t="str">
        <f>MODEL!J3</f>
        <v>2H19</v>
      </c>
      <c r="K3" s="821" t="str">
        <f>MODEL!K3</f>
        <v>FY19</v>
      </c>
      <c r="L3" s="821" t="str">
        <f>MODEL!L3</f>
        <v>1HFY</v>
      </c>
      <c r="M3" s="821" t="str">
        <f>MODEL!M3</f>
        <v>2HFY</v>
      </c>
      <c r="N3" s="821" t="str">
        <f>MODEL!N3</f>
        <v>FY20</v>
      </c>
      <c r="O3" s="821" t="str">
        <f>MODEL!O3</f>
        <v>1H21</v>
      </c>
      <c r="P3" s="821" t="str">
        <f>MODEL!P3</f>
        <v>2H21</v>
      </c>
      <c r="Q3" s="821" t="str">
        <f>MODEL!Q3</f>
        <v>FY21</v>
      </c>
      <c r="R3" s="821" t="str">
        <f>MODEL!R3</f>
        <v>1H22</v>
      </c>
      <c r="S3" s="821" t="str">
        <f>MODEL!S3</f>
        <v>2H22</v>
      </c>
      <c r="T3" s="821" t="str">
        <f>MODEL!T3</f>
        <v>FY22</v>
      </c>
      <c r="U3" s="821" t="str">
        <f>MODEL!U3</f>
        <v>1H23</v>
      </c>
      <c r="V3" s="821" t="str">
        <f>MODEL!V3</f>
        <v>2H23</v>
      </c>
      <c r="W3" s="821" t="str">
        <f>MODEL!W3</f>
        <v>FY23</v>
      </c>
      <c r="X3" s="821" t="str">
        <f>MODEL!X3</f>
        <v>1H24</v>
      </c>
      <c r="Y3" s="821" t="str">
        <f>MODEL!Y3</f>
        <v>2H24</v>
      </c>
      <c r="Z3" s="821" t="str">
        <f>MODEL!Z3</f>
        <v>FY24</v>
      </c>
      <c r="AA3" s="821" t="str">
        <f>MODEL!AA3</f>
        <v>1H25</v>
      </c>
      <c r="AB3" s="821" t="str">
        <f>MODEL!AB3</f>
        <v>2H25</v>
      </c>
      <c r="AC3" s="822" t="str">
        <f>MODEL!AC3</f>
        <v>FY25</v>
      </c>
      <c r="AD3" s="821" t="str">
        <f>MODEL!AD3</f>
        <v>1H26</v>
      </c>
      <c r="AE3" s="821" t="str">
        <f>MODEL!AE3</f>
        <v>2H26</v>
      </c>
      <c r="AF3" s="821" t="str">
        <f>MODEL!AF3</f>
        <v>FY26e</v>
      </c>
      <c r="AG3" s="821" t="str">
        <f>MODEL!AG3</f>
        <v>1H27</v>
      </c>
      <c r="AH3" s="821" t="str">
        <f>MODEL!AH3</f>
        <v>2H27</v>
      </c>
      <c r="AI3" s="821" t="str">
        <f>MODEL!AI3</f>
        <v>FY27e</v>
      </c>
      <c r="AJ3" s="821"/>
      <c r="AK3" s="821"/>
      <c r="AL3" s="821" t="str">
        <f>MODEL!AL3</f>
        <v>FY28e</v>
      </c>
      <c r="AM3" s="821"/>
      <c r="AN3" s="821"/>
      <c r="AO3" s="821" t="str">
        <f>MODEL!AO3</f>
        <v>FY29e</v>
      </c>
      <c r="AP3" s="821"/>
      <c r="AQ3" s="821"/>
      <c r="AR3" s="821" t="str">
        <f>MODEL!AR3</f>
        <v>FY30e</v>
      </c>
      <c r="AS3" s="821"/>
      <c r="AT3" s="821"/>
      <c r="AU3" s="821" t="str">
        <f>MODEL!AU3</f>
        <v>FY31e</v>
      </c>
      <c r="AV3" s="821"/>
      <c r="AW3" s="821"/>
      <c r="AX3" s="821" t="str">
        <f>MODEL!AX3</f>
        <v>FY32e</v>
      </c>
      <c r="AY3" s="821"/>
      <c r="AZ3" s="821"/>
      <c r="BA3" s="821" t="str">
        <f>MODEL!BA3</f>
        <v>FY33e</v>
      </c>
      <c r="BB3" s="821"/>
      <c r="BC3" s="821"/>
      <c r="BD3" s="821" t="str">
        <f>MODEL!BD3</f>
        <v>FY34e</v>
      </c>
      <c r="BE3" s="821"/>
      <c r="BF3" s="821"/>
      <c r="BG3" s="821" t="str">
        <f>MODEL!BG3</f>
        <v>FY35e</v>
      </c>
      <c r="BH3" s="821"/>
      <c r="BI3" s="821"/>
      <c r="BJ3" s="821" t="str">
        <f>MODEL!BJ3</f>
        <v>FY36e</v>
      </c>
      <c r="BK3" s="823"/>
      <c r="BL3" s="823"/>
    </row>
    <row r="5" spans="2:66">
      <c r="B5" s="824" t="s">
        <v>249</v>
      </c>
      <c r="C5" s="825"/>
      <c r="D5" s="825"/>
      <c r="E5" s="825"/>
      <c r="F5" s="825"/>
      <c r="G5" s="825"/>
      <c r="H5" s="825"/>
      <c r="I5" s="825"/>
      <c r="J5" s="825"/>
      <c r="K5" s="826"/>
      <c r="L5" s="825"/>
      <c r="M5" s="825"/>
      <c r="N5" s="825"/>
      <c r="O5" s="825"/>
      <c r="P5" s="825"/>
      <c r="Q5" s="825"/>
      <c r="R5" s="825"/>
      <c r="S5" s="825"/>
      <c r="T5" s="825"/>
      <c r="U5" s="825"/>
      <c r="V5" s="825"/>
      <c r="W5" s="825"/>
      <c r="X5" s="825"/>
      <c r="Y5" s="825"/>
      <c r="Z5" s="827"/>
      <c r="AA5" s="825"/>
      <c r="AB5" s="825"/>
      <c r="AC5" s="1054"/>
      <c r="AD5" s="825"/>
      <c r="AE5" s="825"/>
      <c r="AF5" s="827"/>
      <c r="AG5" s="825"/>
      <c r="AH5" s="825"/>
      <c r="AI5" s="827"/>
      <c r="AJ5" s="827"/>
      <c r="AK5" s="827"/>
      <c r="AL5" s="827"/>
      <c r="AM5" s="827"/>
      <c r="AN5" s="827"/>
      <c r="AO5" s="827"/>
      <c r="AP5" s="827"/>
      <c r="AQ5" s="827"/>
      <c r="AR5" s="827"/>
      <c r="AS5" s="827"/>
      <c r="AT5" s="827"/>
      <c r="AU5" s="827"/>
      <c r="AV5" s="827"/>
      <c r="AW5" s="827"/>
      <c r="AX5" s="827"/>
      <c r="AY5" s="827"/>
      <c r="AZ5" s="827"/>
      <c r="BA5" s="827"/>
      <c r="BB5" s="827"/>
      <c r="BC5" s="827"/>
      <c r="BD5" s="827"/>
      <c r="BE5" s="827"/>
      <c r="BF5" s="827"/>
      <c r="BG5" s="827"/>
      <c r="BH5" s="827"/>
      <c r="BI5" s="827"/>
      <c r="BJ5" s="827"/>
    </row>
    <row r="6" spans="2:66">
      <c r="B6" s="828" t="s">
        <v>65</v>
      </c>
      <c r="C6" s="812"/>
      <c r="D6" s="812"/>
      <c r="E6" s="812"/>
      <c r="F6" s="812"/>
      <c r="G6" s="812"/>
      <c r="H6" s="812"/>
      <c r="I6" s="812">
        <f>I12/K12</f>
        <v>0.51769128704113221</v>
      </c>
      <c r="J6" s="812"/>
      <c r="K6" s="829"/>
      <c r="L6" s="812"/>
      <c r="M6" s="812"/>
      <c r="N6" s="830"/>
      <c r="O6" s="830"/>
      <c r="P6" s="830"/>
      <c r="Q6" s="830"/>
      <c r="R6" s="830"/>
      <c r="S6" s="830"/>
      <c r="T6" s="830"/>
      <c r="U6" s="812">
        <f>U12/W12</f>
        <v>0.51498895550646895</v>
      </c>
      <c r="V6" s="812"/>
      <c r="W6" s="830"/>
      <c r="X6" s="812"/>
      <c r="Y6" s="812"/>
      <c r="AA6" s="812"/>
      <c r="AB6" s="812"/>
      <c r="AD6" s="832">
        <f>AD12/AF12</f>
        <v>0.5133434442385777</v>
      </c>
      <c r="AE6" s="812"/>
      <c r="AG6" s="832">
        <f>AG12/AI12</f>
        <v>0.51134854841506816</v>
      </c>
      <c r="AH6" s="812"/>
    </row>
    <row r="7" spans="2:66" s="839" customFormat="1">
      <c r="B7" s="833" t="s">
        <v>247</v>
      </c>
      <c r="C7" s="651">
        <f>C63+C118</f>
        <v>489.2</v>
      </c>
      <c r="D7" s="651">
        <f>E7-C7</f>
        <v>466.7</v>
      </c>
      <c r="E7" s="834">
        <f>E63+E118</f>
        <v>955.9</v>
      </c>
      <c r="F7" s="651">
        <f>F63+F118</f>
        <v>516.70000000000005</v>
      </c>
      <c r="G7" s="651">
        <f>H7-F7</f>
        <v>489.69999999999993</v>
      </c>
      <c r="H7" s="834">
        <f>H63+H118</f>
        <v>1006.4</v>
      </c>
      <c r="I7" s="651">
        <f>I63+I118</f>
        <v>530.79999999999995</v>
      </c>
      <c r="J7" s="651">
        <f>K7-I7</f>
        <v>509.79999999999995</v>
      </c>
      <c r="K7" s="835">
        <f>K63</f>
        <v>1040.5999999999999</v>
      </c>
      <c r="L7" s="651">
        <f>L63+L118</f>
        <v>550.70000000000005</v>
      </c>
      <c r="M7" s="651">
        <f>N7-L7</f>
        <v>569</v>
      </c>
      <c r="N7" s="834">
        <f>N63</f>
        <v>1119.7</v>
      </c>
      <c r="O7" s="834">
        <f>O63+O118</f>
        <v>661.9</v>
      </c>
      <c r="P7" s="834">
        <f>Q7-O7</f>
        <v>646.9</v>
      </c>
      <c r="Q7" s="834">
        <f>Q63</f>
        <v>1308.8</v>
      </c>
      <c r="R7" s="834">
        <f>R63+R118</f>
        <v>616.1</v>
      </c>
      <c r="S7" s="834">
        <f>T7-R7</f>
        <v>723.69999999999993</v>
      </c>
      <c r="T7" s="834">
        <f>T63</f>
        <v>1339.8</v>
      </c>
      <c r="U7" s="834">
        <f>U63+U118</f>
        <v>728.6</v>
      </c>
      <c r="V7" s="651">
        <f>W7-U7</f>
        <v>719.6</v>
      </c>
      <c r="W7" s="834">
        <f>W63</f>
        <v>1448.2</v>
      </c>
      <c r="X7" s="834">
        <f>X63+X118</f>
        <v>760</v>
      </c>
      <c r="Y7" s="651">
        <f>Z7-X7</f>
        <v>738.40000000000009</v>
      </c>
      <c r="Z7" s="834">
        <f t="shared" ref="Z7:AU7" si="0">Z63</f>
        <v>1498.4</v>
      </c>
      <c r="AA7" s="834">
        <f>AA63+AA118</f>
        <v>773.8</v>
      </c>
      <c r="AB7" s="651">
        <f>AC7-AA7</f>
        <v>760.5</v>
      </c>
      <c r="AC7" s="836">
        <f t="shared" si="0"/>
        <v>1534.3</v>
      </c>
      <c r="AD7" s="651">
        <f>AD63+AD118</f>
        <v>814.79377471153862</v>
      </c>
      <c r="AE7" s="651">
        <f>AF7-AD7</f>
        <v>802.94250540209737</v>
      </c>
      <c r="AF7" s="834">
        <f t="shared" si="0"/>
        <v>1617.736280113636</v>
      </c>
      <c r="AG7" s="651">
        <f>AG63+AG118</f>
        <v>844.60358695491368</v>
      </c>
      <c r="AH7" s="651">
        <f>AI7-AG7</f>
        <v>857.14849581758585</v>
      </c>
      <c r="AI7" s="834">
        <f t="shared" si="0"/>
        <v>1701.7520827724995</v>
      </c>
      <c r="AJ7" s="834"/>
      <c r="AK7" s="834"/>
      <c r="AL7" s="834">
        <f t="shared" si="0"/>
        <v>1782.9115930539479</v>
      </c>
      <c r="AM7" s="834"/>
      <c r="AN7" s="834"/>
      <c r="AO7" s="834">
        <f t="shared" si="0"/>
        <v>1862.1468754365756</v>
      </c>
      <c r="AP7" s="834"/>
      <c r="AQ7" s="834"/>
      <c r="AR7" s="834">
        <f t="shared" si="0"/>
        <v>1934.1365869043459</v>
      </c>
      <c r="AS7" s="834"/>
      <c r="AT7" s="834"/>
      <c r="AU7" s="834">
        <f t="shared" si="0"/>
        <v>1995.6252129852246</v>
      </c>
      <c r="AV7" s="834"/>
      <c r="AW7" s="834"/>
      <c r="AX7" s="834">
        <f t="shared" ref="AX7:BA7" si="1">AX63</f>
        <v>2040.8179707267577</v>
      </c>
      <c r="AY7" s="834"/>
      <c r="AZ7" s="834"/>
      <c r="BA7" s="834">
        <f t="shared" si="1"/>
        <v>2087.0201886927584</v>
      </c>
      <c r="BB7" s="834"/>
      <c r="BC7" s="834"/>
      <c r="BD7" s="834">
        <f t="shared" ref="BD7:BG7" si="2">BD63</f>
        <v>2134.254168189108</v>
      </c>
      <c r="BE7" s="834"/>
      <c r="BF7" s="834"/>
      <c r="BG7" s="834">
        <f t="shared" si="2"/>
        <v>2182.5426987898345</v>
      </c>
      <c r="BH7" s="834"/>
      <c r="BI7" s="834"/>
      <c r="BJ7" s="834">
        <f t="shared" ref="BJ7" si="3">BJ63</f>
        <v>2231.9090689473146</v>
      </c>
      <c r="BK7" s="837"/>
      <c r="BL7" s="838"/>
      <c r="BM7" s="832"/>
      <c r="BN7" s="647"/>
    </row>
    <row r="8" spans="2:66" s="839" customFormat="1">
      <c r="B8" s="833" t="s">
        <v>150</v>
      </c>
      <c r="C8" s="651">
        <f>C264</f>
        <v>311</v>
      </c>
      <c r="D8" s="651">
        <f>D264</f>
        <v>242.5</v>
      </c>
      <c r="E8" s="834">
        <f t="shared" ref="E8:AU8" si="4">E152</f>
        <v>479.86289999999997</v>
      </c>
      <c r="F8" s="651">
        <f t="shared" si="4"/>
        <v>275.34246575342462</v>
      </c>
      <c r="G8" s="651">
        <f t="shared" si="4"/>
        <v>222.95753424657539</v>
      </c>
      <c r="H8" s="834">
        <f t="shared" si="4"/>
        <v>498.3</v>
      </c>
      <c r="I8" s="651">
        <f t="shared" si="4"/>
        <v>281.39999999999998</v>
      </c>
      <c r="J8" s="651">
        <f t="shared" si="4"/>
        <v>233.20000000000005</v>
      </c>
      <c r="K8" s="835">
        <f t="shared" si="4"/>
        <v>514.6</v>
      </c>
      <c r="L8" s="651">
        <f t="shared" si="4"/>
        <v>283.5</v>
      </c>
      <c r="M8" s="651">
        <f t="shared" si="4"/>
        <v>251.5</v>
      </c>
      <c r="N8" s="834">
        <f t="shared" si="4"/>
        <v>535</v>
      </c>
      <c r="O8" s="834">
        <f t="shared" si="4"/>
        <v>427.7</v>
      </c>
      <c r="P8" s="834">
        <f t="shared" si="4"/>
        <v>370.00000000000006</v>
      </c>
      <c r="Q8" s="834">
        <f t="shared" si="4"/>
        <v>797.7</v>
      </c>
      <c r="R8" s="834">
        <f t="shared" si="4"/>
        <v>418.5</v>
      </c>
      <c r="S8" s="834">
        <f t="shared" si="4"/>
        <v>411.20000000000005</v>
      </c>
      <c r="T8" s="834">
        <f t="shared" si="4"/>
        <v>829.7</v>
      </c>
      <c r="U8" s="834">
        <f t="shared" ref="U8" si="5">U152</f>
        <v>447.6</v>
      </c>
      <c r="V8" s="651">
        <f t="shared" ref="V8:W8" si="6">V152</f>
        <v>392.29999999999995</v>
      </c>
      <c r="W8" s="834">
        <f t="shared" si="6"/>
        <v>839.9</v>
      </c>
      <c r="X8" s="834">
        <f t="shared" ref="X8" si="7">X152</f>
        <v>483.7</v>
      </c>
      <c r="Y8" s="651">
        <f>Y152</f>
        <v>395.40000000000003</v>
      </c>
      <c r="Z8" s="834">
        <f t="shared" si="4"/>
        <v>879.1</v>
      </c>
      <c r="AA8" s="834">
        <f t="shared" si="4"/>
        <v>518.4</v>
      </c>
      <c r="AB8" s="651">
        <f>AB152</f>
        <v>433.9</v>
      </c>
      <c r="AC8" s="836">
        <f t="shared" si="4"/>
        <v>952.3</v>
      </c>
      <c r="AD8" s="651">
        <f t="shared" ref="AD8" si="8">AD152</f>
        <v>528.54732000000001</v>
      </c>
      <c r="AE8" s="651">
        <f>AE152</f>
        <v>453.88948032110056</v>
      </c>
      <c r="AF8" s="834">
        <f t="shared" si="4"/>
        <v>982.43680032110058</v>
      </c>
      <c r="AG8" s="651">
        <f t="shared" si="4"/>
        <v>552.16319634000001</v>
      </c>
      <c r="AH8" s="651">
        <f>AH152</f>
        <v>474.02498558390334</v>
      </c>
      <c r="AI8" s="834">
        <f t="shared" si="4"/>
        <v>1026.1881819239034</v>
      </c>
      <c r="AJ8" s="834"/>
      <c r="AK8" s="834"/>
      <c r="AL8" s="834">
        <f t="shared" si="4"/>
        <v>1081.0514427238138</v>
      </c>
      <c r="AM8" s="834"/>
      <c r="AN8" s="834"/>
      <c r="AO8" s="834">
        <f t="shared" si="4"/>
        <v>1132.0770708203777</v>
      </c>
      <c r="AP8" s="834"/>
      <c r="AQ8" s="834"/>
      <c r="AR8" s="834">
        <f t="shared" si="4"/>
        <v>1178.698706144316</v>
      </c>
      <c r="AS8" s="834"/>
      <c r="AT8" s="834"/>
      <c r="AU8" s="834">
        <f t="shared" si="4"/>
        <v>1220.3067704712103</v>
      </c>
      <c r="AV8" s="834"/>
      <c r="AW8" s="834"/>
      <c r="AX8" s="834">
        <f t="shared" ref="AX8:BA8" si="9">AX152</f>
        <v>1263.3835994688438</v>
      </c>
      <c r="AY8" s="834"/>
      <c r="AZ8" s="834"/>
      <c r="BA8" s="834">
        <f t="shared" si="9"/>
        <v>1307.9810405300939</v>
      </c>
      <c r="BB8" s="834"/>
      <c r="BC8" s="834"/>
      <c r="BD8" s="834">
        <f t="shared" ref="BD8:BG8" si="10">BD152</f>
        <v>1354.152771260806</v>
      </c>
      <c r="BE8" s="834"/>
      <c r="BF8" s="834"/>
      <c r="BG8" s="834">
        <f t="shared" si="10"/>
        <v>1401.9543640863124</v>
      </c>
      <c r="BH8" s="834"/>
      <c r="BI8" s="834"/>
      <c r="BJ8" s="834">
        <f t="shared" ref="BJ8" si="11">BJ152</f>
        <v>1451.4433531385589</v>
      </c>
      <c r="BK8" s="837"/>
      <c r="BL8" s="838"/>
      <c r="BM8" s="832"/>
      <c r="BN8" s="647"/>
    </row>
    <row r="9" spans="2:66" s="839" customFormat="1">
      <c r="B9" s="833" t="s">
        <v>246</v>
      </c>
      <c r="C9" s="651"/>
      <c r="D9" s="651"/>
      <c r="E9" s="834">
        <f t="shared" ref="E9:AU9" si="12">E205</f>
        <v>73.099999999999994</v>
      </c>
      <c r="F9" s="651">
        <f t="shared" si="12"/>
        <v>24</v>
      </c>
      <c r="G9" s="651">
        <f t="shared" si="12"/>
        <v>57.5</v>
      </c>
      <c r="H9" s="834">
        <f t="shared" si="12"/>
        <v>81.5</v>
      </c>
      <c r="I9" s="651">
        <f t="shared" si="12"/>
        <v>67.099999999999994</v>
      </c>
      <c r="J9" s="651">
        <f t="shared" si="12"/>
        <v>71.700000000000017</v>
      </c>
      <c r="K9" s="835">
        <f t="shared" si="12"/>
        <v>138.80000000000001</v>
      </c>
      <c r="L9" s="651">
        <f t="shared" si="12"/>
        <v>66.5</v>
      </c>
      <c r="M9" s="651">
        <f t="shared" si="12"/>
        <v>65.400000000000006</v>
      </c>
      <c r="N9" s="834">
        <f t="shared" si="12"/>
        <v>131.9</v>
      </c>
      <c r="O9" s="834">
        <f t="shared" si="12"/>
        <v>63</v>
      </c>
      <c r="P9" s="834">
        <f t="shared" si="12"/>
        <v>90.4</v>
      </c>
      <c r="Q9" s="834">
        <f t="shared" si="12"/>
        <v>153.4</v>
      </c>
      <c r="R9" s="834">
        <f t="shared" si="12"/>
        <v>65.599999999999994</v>
      </c>
      <c r="S9" s="834">
        <f t="shared" si="12"/>
        <v>111.20000000000002</v>
      </c>
      <c r="T9" s="834">
        <f t="shared" si="12"/>
        <v>176.8</v>
      </c>
      <c r="U9" s="834">
        <f t="shared" ref="U9" si="13">U205</f>
        <v>101.4</v>
      </c>
      <c r="V9" s="651">
        <f t="shared" ref="V9:W9" si="14">V205</f>
        <v>115.19999999999999</v>
      </c>
      <c r="W9" s="834">
        <f t="shared" si="14"/>
        <v>216.6</v>
      </c>
      <c r="X9" s="834">
        <f t="shared" ref="X9:Y9" si="15">X205</f>
        <v>105.6</v>
      </c>
      <c r="Y9" s="651">
        <f t="shared" si="15"/>
        <v>117.30000000000001</v>
      </c>
      <c r="Z9" s="834">
        <f t="shared" si="12"/>
        <v>222.9</v>
      </c>
      <c r="AA9" s="834">
        <f t="shared" si="12"/>
        <v>107.5</v>
      </c>
      <c r="AB9" s="651">
        <f t="shared" si="12"/>
        <v>124.1</v>
      </c>
      <c r="AC9" s="836">
        <f t="shared" si="12"/>
        <v>231.6</v>
      </c>
      <c r="AD9" s="651">
        <f t="shared" ref="AD9:AE9" si="16">AD205</f>
        <v>119.80668686868688</v>
      </c>
      <c r="AE9" s="651">
        <f t="shared" si="16"/>
        <v>130.81184193131313</v>
      </c>
      <c r="AF9" s="834">
        <f t="shared" si="12"/>
        <v>250.61852880000001</v>
      </c>
      <c r="AG9" s="651">
        <f t="shared" si="12"/>
        <v>123.99992090909093</v>
      </c>
      <c r="AH9" s="651">
        <f t="shared" si="12"/>
        <v>137.94656539266907</v>
      </c>
      <c r="AI9" s="834">
        <f t="shared" si="12"/>
        <v>261.94648630175999</v>
      </c>
      <c r="AJ9" s="834"/>
      <c r="AK9" s="834"/>
      <c r="AL9" s="834">
        <f t="shared" si="12"/>
        <v>276.43326041654382</v>
      </c>
      <c r="AM9" s="834"/>
      <c r="AN9" s="834"/>
      <c r="AO9" s="834">
        <f t="shared" si="12"/>
        <v>290.29933617447114</v>
      </c>
      <c r="AP9" s="834"/>
      <c r="AQ9" s="834"/>
      <c r="AR9" s="834">
        <f t="shared" si="12"/>
        <v>304.83406514457744</v>
      </c>
      <c r="AS9" s="834"/>
      <c r="AT9" s="834"/>
      <c r="AU9" s="834">
        <f t="shared" si="12"/>
        <v>320.06882102078674</v>
      </c>
      <c r="AV9" s="834"/>
      <c r="AW9" s="834"/>
      <c r="AX9" s="834">
        <f t="shared" ref="AX9:BA9" si="17">AX205</f>
        <v>332.77393074663399</v>
      </c>
      <c r="AY9" s="834"/>
      <c r="AZ9" s="834"/>
      <c r="BA9" s="834">
        <f t="shared" si="17"/>
        <v>345.95451353239861</v>
      </c>
      <c r="BB9" s="834"/>
      <c r="BC9" s="834"/>
      <c r="BD9" s="834">
        <f t="shared" ref="BD9:BG9" si="18">BD205</f>
        <v>359.62770038262522</v>
      </c>
      <c r="BE9" s="834"/>
      <c r="BF9" s="834"/>
      <c r="BG9" s="834">
        <f t="shared" si="18"/>
        <v>373.81122336408345</v>
      </c>
      <c r="BH9" s="834"/>
      <c r="BI9" s="834"/>
      <c r="BJ9" s="834">
        <f t="shared" ref="BJ9" si="19">BJ205</f>
        <v>388.52343628576483</v>
      </c>
      <c r="BK9" s="837"/>
      <c r="BL9" s="838"/>
      <c r="BM9" s="832"/>
      <c r="BN9" s="647"/>
    </row>
    <row r="10" spans="2:66" s="839" customFormat="1">
      <c r="B10" s="833" t="s">
        <v>248</v>
      </c>
      <c r="C10" s="651">
        <f>C350</f>
        <v>490.5</v>
      </c>
      <c r="D10" s="651">
        <f>E10-C10</f>
        <v>458.70000000000005</v>
      </c>
      <c r="E10" s="834">
        <f>E350</f>
        <v>949.2</v>
      </c>
      <c r="F10" s="651">
        <f>F350</f>
        <v>503.8</v>
      </c>
      <c r="G10" s="651">
        <f>H10-F10</f>
        <v>475.40000000000003</v>
      </c>
      <c r="H10" s="834">
        <f>H350</f>
        <v>979.2</v>
      </c>
      <c r="I10" s="651">
        <f>I350</f>
        <v>523.9</v>
      </c>
      <c r="J10" s="651">
        <f>K10-I10</f>
        <v>492.5</v>
      </c>
      <c r="K10" s="835">
        <f>K350</f>
        <v>1016.4</v>
      </c>
      <c r="L10" s="651">
        <f>L350</f>
        <v>542.79999999999995</v>
      </c>
      <c r="M10" s="651">
        <f>N10-L10</f>
        <v>495.79999999999995</v>
      </c>
      <c r="N10" s="834">
        <f>N350</f>
        <v>1038.5999999999999</v>
      </c>
      <c r="O10" s="834">
        <f>O350</f>
        <v>623.70000000000005</v>
      </c>
      <c r="P10" s="834">
        <f>Q10-O10</f>
        <v>573.29999999999995</v>
      </c>
      <c r="Q10" s="834">
        <f>Q350</f>
        <v>1197</v>
      </c>
      <c r="R10" s="834">
        <f>R350</f>
        <v>605.6</v>
      </c>
      <c r="S10" s="834">
        <f>T10-R10</f>
        <v>606.49999999999989</v>
      </c>
      <c r="T10" s="834">
        <f>T350</f>
        <v>1212.0999999999999</v>
      </c>
      <c r="U10" s="834">
        <f>U350</f>
        <v>681.9</v>
      </c>
      <c r="V10" s="651">
        <f>W10-U10</f>
        <v>627.4</v>
      </c>
      <c r="W10" s="834">
        <f>W350</f>
        <v>1309.3</v>
      </c>
      <c r="X10" s="834">
        <f>X350</f>
        <v>672.9</v>
      </c>
      <c r="Y10" s="651">
        <f>Z10-X10</f>
        <v>618.69999999999993</v>
      </c>
      <c r="Z10" s="834">
        <f t="shared" ref="Z10:AU10" si="20">Z350</f>
        <v>1291.5999999999999</v>
      </c>
      <c r="AA10" s="834">
        <f>AA350</f>
        <v>706.5</v>
      </c>
      <c r="AB10" s="651">
        <f>AC10-AA10</f>
        <v>655.29999999999995</v>
      </c>
      <c r="AC10" s="836">
        <f t="shared" si="20"/>
        <v>1361.8</v>
      </c>
      <c r="AD10" s="651">
        <f>AD350</f>
        <v>735.5148798913043</v>
      </c>
      <c r="AE10" s="651">
        <f>AF10-AD10</f>
        <v>696.85079614607878</v>
      </c>
      <c r="AF10" s="834">
        <f t="shared" si="20"/>
        <v>1432.3656760373831</v>
      </c>
      <c r="AG10" s="651">
        <f>AG350</f>
        <v>780.91847209430682</v>
      </c>
      <c r="AH10" s="651">
        <f>AI10-AG10</f>
        <v>730.51400628544195</v>
      </c>
      <c r="AI10" s="834">
        <f t="shared" si="20"/>
        <v>1511.4324783797488</v>
      </c>
      <c r="AJ10" s="834"/>
      <c r="AK10" s="834"/>
      <c r="AL10" s="834">
        <f t="shared" si="20"/>
        <v>1575.5429277019571</v>
      </c>
      <c r="AM10" s="834"/>
      <c r="AN10" s="834"/>
      <c r="AO10" s="834">
        <f t="shared" si="20"/>
        <v>1642.1480836004239</v>
      </c>
      <c r="AP10" s="834"/>
      <c r="AQ10" s="834"/>
      <c r="AR10" s="834">
        <f t="shared" si="20"/>
        <v>1711.3401829466361</v>
      </c>
      <c r="AS10" s="834"/>
      <c r="AT10" s="834"/>
      <c r="AU10" s="834">
        <f t="shared" si="20"/>
        <v>1783.2147592902113</v>
      </c>
      <c r="AV10" s="834"/>
      <c r="AW10" s="834"/>
      <c r="AX10" s="834">
        <f t="shared" ref="AX10:BA10" si="21">AX350</f>
        <v>1857.8707578800372</v>
      </c>
      <c r="AY10" s="834"/>
      <c r="AZ10" s="834"/>
      <c r="BA10" s="834">
        <f t="shared" si="21"/>
        <v>1935.4106546267592</v>
      </c>
      <c r="BB10" s="834"/>
      <c r="BC10" s="834"/>
      <c r="BD10" s="834">
        <f t="shared" ref="BD10:BG10" si="22">BD350</f>
        <v>2015.9405791397901</v>
      </c>
      <c r="BE10" s="834"/>
      <c r="BF10" s="834"/>
      <c r="BG10" s="834">
        <f t="shared" si="22"/>
        <v>2099.5704419764675</v>
      </c>
      <c r="BH10" s="834"/>
      <c r="BI10" s="834"/>
      <c r="BJ10" s="834">
        <f t="shared" ref="BJ10" si="23">BJ350</f>
        <v>2186.4140662455866</v>
      </c>
      <c r="BK10" s="837"/>
      <c r="BL10" s="838"/>
      <c r="BM10" s="832"/>
      <c r="BN10" s="647"/>
    </row>
    <row r="11" spans="2:66" s="839" customFormat="1">
      <c r="B11" s="833" t="s">
        <v>72</v>
      </c>
      <c r="C11" s="651">
        <v>4.8</v>
      </c>
      <c r="D11" s="651">
        <v>2.4000000000000004</v>
      </c>
      <c r="E11" s="840">
        <v>7.2</v>
      </c>
      <c r="F11" s="651">
        <v>4.0999999999999996</v>
      </c>
      <c r="G11" s="651">
        <v>0.90000000000000036</v>
      </c>
      <c r="H11" s="840">
        <v>5</v>
      </c>
      <c r="I11" s="651">
        <v>1.4</v>
      </c>
      <c r="J11" s="651">
        <v>1.4</v>
      </c>
      <c r="K11" s="1003">
        <v>2.8</v>
      </c>
      <c r="L11" s="651">
        <v>0.1</v>
      </c>
      <c r="M11" s="651">
        <f>N11-L11</f>
        <v>0.1</v>
      </c>
      <c r="N11" s="840">
        <v>0.2</v>
      </c>
      <c r="O11" s="834">
        <v>0.4</v>
      </c>
      <c r="P11" s="834">
        <f>Q11-O11</f>
        <v>-4.2</v>
      </c>
      <c r="Q11" s="840">
        <v>-3.8</v>
      </c>
      <c r="R11" s="834">
        <v>-0.6</v>
      </c>
      <c r="S11" s="834">
        <f>T11-R11</f>
        <v>-6.8000000000000007</v>
      </c>
      <c r="T11" s="840">
        <v>-7.4</v>
      </c>
      <c r="U11" s="840">
        <f>0.2-1.3</f>
        <v>-1.1000000000000001</v>
      </c>
      <c r="V11" s="651">
        <f>W11-U11</f>
        <v>-10.1</v>
      </c>
      <c r="W11" s="840">
        <f>-7-4.2</f>
        <v>-11.2</v>
      </c>
      <c r="X11" s="840">
        <f>1.8-3.6</f>
        <v>-1.8</v>
      </c>
      <c r="Y11" s="651">
        <f>Z11-X11</f>
        <v>-7.3999999999999995</v>
      </c>
      <c r="Z11" s="840">
        <f>-1-8.2</f>
        <v>-9.1999999999999993</v>
      </c>
      <c r="AA11" s="840">
        <f>3.3-2.3</f>
        <v>1</v>
      </c>
      <c r="AB11" s="651">
        <f>AC11-AA11</f>
        <v>-6.1</v>
      </c>
      <c r="AC11" s="841">
        <f>-1.8-3.3</f>
        <v>-5.0999999999999996</v>
      </c>
      <c r="AD11" s="842">
        <f>AF11/2</f>
        <v>-2.5499999999999998</v>
      </c>
      <c r="AE11" s="842">
        <f>AF11-AD11</f>
        <v>-2.5499999999999998</v>
      </c>
      <c r="AF11" s="843">
        <f>AC11</f>
        <v>-5.0999999999999996</v>
      </c>
      <c r="AG11" s="842">
        <f>AI11/2</f>
        <v>-2.5499999999999998</v>
      </c>
      <c r="AH11" s="842">
        <f>AI11-AG11</f>
        <v>-2.5499999999999998</v>
      </c>
      <c r="AI11" s="843">
        <f>AF11</f>
        <v>-5.0999999999999996</v>
      </c>
      <c r="AJ11" s="843"/>
      <c r="AK11" s="843"/>
      <c r="AL11" s="843">
        <f>AI11</f>
        <v>-5.0999999999999996</v>
      </c>
      <c r="AM11" s="843"/>
      <c r="AN11" s="843"/>
      <c r="AO11" s="843">
        <f>AL11</f>
        <v>-5.0999999999999996</v>
      </c>
      <c r="AP11" s="843"/>
      <c r="AQ11" s="843"/>
      <c r="AR11" s="843">
        <f>AO11</f>
        <v>-5.0999999999999996</v>
      </c>
      <c r="AS11" s="843"/>
      <c r="AT11" s="843"/>
      <c r="AU11" s="843">
        <f>AR11</f>
        <v>-5.0999999999999996</v>
      </c>
      <c r="AV11" s="843"/>
      <c r="AW11" s="843"/>
      <c r="AX11" s="843">
        <f>AU11</f>
        <v>-5.0999999999999996</v>
      </c>
      <c r="AY11" s="843"/>
      <c r="AZ11" s="843"/>
      <c r="BA11" s="843">
        <f>AX11</f>
        <v>-5.0999999999999996</v>
      </c>
      <c r="BB11" s="843"/>
      <c r="BC11" s="843"/>
      <c r="BD11" s="843">
        <f>BA11</f>
        <v>-5.0999999999999996</v>
      </c>
      <c r="BE11" s="843"/>
      <c r="BF11" s="843"/>
      <c r="BG11" s="843">
        <f>BD11</f>
        <v>-5.0999999999999996</v>
      </c>
      <c r="BH11" s="843"/>
      <c r="BI11" s="843"/>
      <c r="BJ11" s="843">
        <f t="shared" ref="BJ11" si="24">BG11</f>
        <v>-5.0999999999999996</v>
      </c>
      <c r="BK11" s="837"/>
      <c r="BL11" s="838"/>
      <c r="BN11" s="647"/>
    </row>
    <row r="12" spans="2:66" s="848" customFormat="1">
      <c r="B12" s="844" t="s">
        <v>147</v>
      </c>
      <c r="C12" s="652">
        <f t="shared" ref="C12:D12" si="25">SUM(C7:C11)</f>
        <v>1295.5</v>
      </c>
      <c r="D12" s="652">
        <f t="shared" si="25"/>
        <v>1170.3000000000002</v>
      </c>
      <c r="E12" s="845">
        <f t="shared" ref="E12:AU12" si="26">SUM(E7:E11)</f>
        <v>2465.2628999999997</v>
      </c>
      <c r="F12" s="652">
        <f t="shared" si="26"/>
        <v>1323.9424657534246</v>
      </c>
      <c r="G12" s="652">
        <f t="shared" si="26"/>
        <v>1246.4575342465755</v>
      </c>
      <c r="H12" s="845">
        <f t="shared" si="26"/>
        <v>2570.4</v>
      </c>
      <c r="I12" s="652">
        <f t="shared" si="26"/>
        <v>1404.6</v>
      </c>
      <c r="J12" s="652">
        <f t="shared" si="26"/>
        <v>1308.6000000000001</v>
      </c>
      <c r="K12" s="846">
        <f t="shared" si="26"/>
        <v>2713.2</v>
      </c>
      <c r="L12" s="652">
        <f t="shared" si="26"/>
        <v>1443.6</v>
      </c>
      <c r="M12" s="652">
        <f t="shared" si="26"/>
        <v>1381.7999999999997</v>
      </c>
      <c r="N12" s="845">
        <f t="shared" si="26"/>
        <v>2825.3999999999996</v>
      </c>
      <c r="O12" s="845">
        <f t="shared" si="26"/>
        <v>1776.7</v>
      </c>
      <c r="P12" s="845">
        <f t="shared" si="26"/>
        <v>1676.4</v>
      </c>
      <c r="Q12" s="845">
        <f t="shared" si="26"/>
        <v>3453.1</v>
      </c>
      <c r="R12" s="845">
        <f t="shared" si="26"/>
        <v>1705.1999999999998</v>
      </c>
      <c r="S12" s="845">
        <f t="shared" si="26"/>
        <v>1845.8</v>
      </c>
      <c r="T12" s="845">
        <f t="shared" si="26"/>
        <v>3551</v>
      </c>
      <c r="U12" s="845">
        <f>SUM(U7:U11)</f>
        <v>1958.4</v>
      </c>
      <c r="V12" s="652">
        <f t="shared" ref="V12" si="27">SUM(V7:V11)</f>
        <v>1844.4</v>
      </c>
      <c r="W12" s="845">
        <f>SUM(W7:W11)</f>
        <v>3802.8</v>
      </c>
      <c r="X12" s="845">
        <f t="shared" ref="X12:Y12" si="28">SUM(X7:X11)</f>
        <v>2020.3999999999999</v>
      </c>
      <c r="Y12" s="652">
        <f t="shared" si="28"/>
        <v>1862.4</v>
      </c>
      <c r="Z12" s="845">
        <f t="shared" si="26"/>
        <v>3882.8</v>
      </c>
      <c r="AA12" s="845">
        <f t="shared" si="26"/>
        <v>2107.1999999999998</v>
      </c>
      <c r="AB12" s="652">
        <f t="shared" si="26"/>
        <v>1967.7</v>
      </c>
      <c r="AC12" s="847">
        <f>SUM(AC7:AC11)</f>
        <v>4074.9</v>
      </c>
      <c r="AD12" s="652">
        <f t="shared" ref="AD12:AE12" si="29">SUM(AD7:AD11)</f>
        <v>2196.1126614715295</v>
      </c>
      <c r="AE12" s="652">
        <f t="shared" si="29"/>
        <v>2081.9446238005899</v>
      </c>
      <c r="AF12" s="845">
        <f t="shared" si="26"/>
        <v>4278.0572852721198</v>
      </c>
      <c r="AG12" s="652">
        <f t="shared" si="26"/>
        <v>2299.1351762983113</v>
      </c>
      <c r="AH12" s="652">
        <f t="shared" si="26"/>
        <v>2197.0840530795999</v>
      </c>
      <c r="AI12" s="845">
        <f t="shared" si="26"/>
        <v>4496.2192293779117</v>
      </c>
      <c r="AJ12" s="845"/>
      <c r="AK12" s="845"/>
      <c r="AL12" s="845">
        <f t="shared" si="26"/>
        <v>4710.8392238962624</v>
      </c>
      <c r="AM12" s="845"/>
      <c r="AN12" s="845"/>
      <c r="AO12" s="845">
        <f t="shared" si="26"/>
        <v>4921.5713660318479</v>
      </c>
      <c r="AP12" s="845"/>
      <c r="AQ12" s="845"/>
      <c r="AR12" s="845">
        <f t="shared" si="26"/>
        <v>5123.9095411398748</v>
      </c>
      <c r="AS12" s="845"/>
      <c r="AT12" s="845"/>
      <c r="AU12" s="845">
        <f t="shared" si="26"/>
        <v>5314.1155637674328</v>
      </c>
      <c r="AV12" s="845"/>
      <c r="AW12" s="845"/>
      <c r="AX12" s="845">
        <f t="shared" ref="AX12:BA12" si="30">SUM(AX7:AX11)</f>
        <v>5489.7462588222725</v>
      </c>
      <c r="AY12" s="845"/>
      <c r="AZ12" s="845"/>
      <c r="BA12" s="845">
        <f t="shared" si="30"/>
        <v>5671.2663973820099</v>
      </c>
      <c r="BB12" s="845"/>
      <c r="BC12" s="845"/>
      <c r="BD12" s="845">
        <f t="shared" ref="BD12:BG12" si="31">SUM(BD7:BD11)</f>
        <v>5858.8752189723291</v>
      </c>
      <c r="BE12" s="845"/>
      <c r="BF12" s="845"/>
      <c r="BG12" s="845">
        <f t="shared" si="31"/>
        <v>6052.7787282166973</v>
      </c>
      <c r="BH12" s="845"/>
      <c r="BI12" s="845"/>
      <c r="BJ12" s="845">
        <f t="shared" ref="BJ12" si="32">SUM(BJ7:BJ11)</f>
        <v>6253.1899246172252</v>
      </c>
      <c r="BK12" s="837"/>
      <c r="BL12" s="838"/>
      <c r="BN12" s="849"/>
    </row>
    <row r="13" spans="2:66" s="848" customFormat="1">
      <c r="B13" s="844" t="s">
        <v>957</v>
      </c>
      <c r="C13" s="652"/>
      <c r="D13" s="652"/>
      <c r="E13" s="845"/>
      <c r="F13" s="652"/>
      <c r="G13" s="652"/>
      <c r="H13" s="845"/>
      <c r="I13" s="652"/>
      <c r="J13" s="652"/>
      <c r="K13" s="846"/>
      <c r="L13" s="652"/>
      <c r="M13" s="652"/>
      <c r="N13" s="845"/>
      <c r="O13" s="845"/>
      <c r="P13" s="845"/>
      <c r="Q13" s="845"/>
      <c r="R13" s="845"/>
      <c r="S13" s="845"/>
      <c r="T13" s="845"/>
      <c r="U13" s="850"/>
      <c r="V13" s="652"/>
      <c r="W13" s="845"/>
      <c r="X13" s="851"/>
      <c r="Y13" s="652"/>
      <c r="Z13" s="845"/>
      <c r="AA13" s="851"/>
      <c r="AB13" s="652"/>
      <c r="AC13" s="847"/>
      <c r="AD13" s="652"/>
      <c r="AE13" s="652"/>
      <c r="AF13" s="845"/>
      <c r="AG13" s="652"/>
      <c r="AH13" s="652"/>
      <c r="AI13" s="845"/>
      <c r="AJ13" s="845"/>
      <c r="AK13" s="845"/>
      <c r="AL13" s="845"/>
      <c r="AM13" s="845"/>
      <c r="AN13" s="845"/>
      <c r="AO13" s="845"/>
      <c r="AP13" s="845"/>
      <c r="AQ13" s="845"/>
      <c r="AR13" s="845"/>
      <c r="AS13" s="845"/>
      <c r="AT13" s="845"/>
      <c r="AU13" s="845"/>
      <c r="AV13" s="845"/>
      <c r="AW13" s="845"/>
      <c r="AX13" s="845"/>
      <c r="AY13" s="845"/>
      <c r="AZ13" s="845"/>
      <c r="BA13" s="845"/>
      <c r="BB13" s="845"/>
      <c r="BC13" s="845"/>
      <c r="BD13" s="845"/>
      <c r="BE13" s="845"/>
      <c r="BF13" s="845"/>
      <c r="BG13" s="845"/>
      <c r="BH13" s="845"/>
      <c r="BI13" s="845"/>
      <c r="BJ13" s="845"/>
      <c r="BK13" s="837"/>
      <c r="BL13" s="838"/>
      <c r="BN13" s="849"/>
    </row>
    <row r="14" spans="2:66" s="848" customFormat="1">
      <c r="B14" s="833" t="s">
        <v>247</v>
      </c>
      <c r="C14" s="652"/>
      <c r="D14" s="652"/>
      <c r="E14" s="845"/>
      <c r="F14" s="652"/>
      <c r="G14" s="652"/>
      <c r="H14" s="852">
        <f>H7/E7-1</f>
        <v>5.2829793911497003E-2</v>
      </c>
      <c r="I14" s="852">
        <f t="shared" ref="I14:AC14" si="33">I7/F7-1</f>
        <v>2.7288562028256136E-2</v>
      </c>
      <c r="J14" s="852">
        <f t="shared" si="33"/>
        <v>4.1045538084541588E-2</v>
      </c>
      <c r="K14" s="852">
        <f t="shared" si="33"/>
        <v>3.3982511923688286E-2</v>
      </c>
      <c r="L14" s="852">
        <f t="shared" si="33"/>
        <v>3.7490580256217099E-2</v>
      </c>
      <c r="M14" s="852">
        <f t="shared" si="33"/>
        <v>0.11612397018438614</v>
      </c>
      <c r="N14" s="852">
        <f t="shared" si="33"/>
        <v>7.6013838170286618E-2</v>
      </c>
      <c r="O14" s="852">
        <f t="shared" si="33"/>
        <v>0.20192482295260561</v>
      </c>
      <c r="P14" s="852">
        <f t="shared" si="33"/>
        <v>0.13690685413005266</v>
      </c>
      <c r="Q14" s="852">
        <f t="shared" si="33"/>
        <v>0.16888452263999287</v>
      </c>
      <c r="R14" s="852">
        <f t="shared" si="33"/>
        <v>-6.9194742408218657E-2</v>
      </c>
      <c r="S14" s="852">
        <f t="shared" si="33"/>
        <v>0.11872004946668713</v>
      </c>
      <c r="T14" s="852">
        <f t="shared" si="33"/>
        <v>2.3685819070904612E-2</v>
      </c>
      <c r="U14" s="852">
        <f t="shared" si="33"/>
        <v>0.18260022723583824</v>
      </c>
      <c r="V14" s="852">
        <f t="shared" si="33"/>
        <v>-5.6653309382339589E-3</v>
      </c>
      <c r="W14" s="852">
        <f t="shared" si="33"/>
        <v>8.0907598148977522E-2</v>
      </c>
      <c r="X14" s="852">
        <f t="shared" si="33"/>
        <v>4.3096349162777825E-2</v>
      </c>
      <c r="Y14" s="852">
        <f t="shared" si="33"/>
        <v>2.612562534741536E-2</v>
      </c>
      <c r="Z14" s="852">
        <f t="shared" si="33"/>
        <v>3.4663720480596627E-2</v>
      </c>
      <c r="AA14" s="852">
        <f t="shared" si="33"/>
        <v>1.8157894736842151E-2</v>
      </c>
      <c r="AB14" s="852">
        <f t="shared" si="33"/>
        <v>2.9929577464788526E-2</v>
      </c>
      <c r="AC14" s="853">
        <f t="shared" si="33"/>
        <v>2.395888948211411E-2</v>
      </c>
      <c r="AD14" s="852">
        <f t="shared" ref="AD14:AD17" si="34">AD7/AA7-1</f>
        <v>5.2977222423802983E-2</v>
      </c>
      <c r="AE14" s="852">
        <f t="shared" ref="AE14:AE17" si="35">AE7/AB7-1</f>
        <v>5.5808685604335828E-2</v>
      </c>
      <c r="AF14" s="852">
        <f>AF7/AC7-1</f>
        <v>5.4380681818181564E-2</v>
      </c>
      <c r="AG14" s="852">
        <f t="shared" ref="AG14:AG17" si="36">AG7/AD7-1</f>
        <v>3.6585714285714444E-2</v>
      </c>
      <c r="AH14" s="852">
        <f t="shared" ref="AH14:AH17" si="37">AH7/AE7-1</f>
        <v>6.7509180359486942E-2</v>
      </c>
      <c r="AI14" s="852">
        <f>AI7/AF7-1</f>
        <v>5.1934177215189781E-2</v>
      </c>
      <c r="AJ14" s="852"/>
      <c r="AK14" s="852"/>
      <c r="AL14" s="852">
        <f>AL7/AI7-1</f>
        <v>4.7691735537189972E-2</v>
      </c>
      <c r="AM14" s="852"/>
      <c r="AN14" s="852"/>
      <c r="AO14" s="852">
        <f>AO7/AL7-1</f>
        <v>4.4441509433962301E-2</v>
      </c>
      <c r="AP14" s="852"/>
      <c r="AQ14" s="852"/>
      <c r="AR14" s="852">
        <f>AR7/AO7-1</f>
        <v>3.8659523809523533E-2</v>
      </c>
      <c r="AS14" s="852"/>
      <c r="AT14" s="852"/>
      <c r="AU14" s="852">
        <f>AU7/AR7-1</f>
        <v>3.1791253263707464E-2</v>
      </c>
      <c r="AV14" s="852"/>
      <c r="AW14" s="852"/>
      <c r="AX14" s="852">
        <f>AX7/AU7-1</f>
        <v>2.2645914396887123E-2</v>
      </c>
      <c r="AY14" s="852"/>
      <c r="AZ14" s="852"/>
      <c r="BA14" s="852">
        <f>BA7/AX7-1</f>
        <v>2.2639068564036302E-2</v>
      </c>
      <c r="BB14" s="852"/>
      <c r="BC14" s="852"/>
      <c r="BD14" s="852">
        <f>BD7/BA7-1</f>
        <v>2.2632258064516186E-2</v>
      </c>
      <c r="BE14" s="852"/>
      <c r="BF14" s="852"/>
      <c r="BG14" s="852">
        <f>BG7/BD7-1</f>
        <v>2.2625482625482585E-2</v>
      </c>
      <c r="BH14" s="852"/>
      <c r="BI14" s="852"/>
      <c r="BJ14" s="852">
        <f t="shared" ref="BJ14" si="38">BJ7/BG7-1</f>
        <v>2.2618741976893508E-2</v>
      </c>
      <c r="BK14" s="837"/>
      <c r="BL14" s="838"/>
      <c r="BN14" s="849"/>
    </row>
    <row r="15" spans="2:66" s="848" customFormat="1">
      <c r="B15" s="833" t="s">
        <v>150</v>
      </c>
      <c r="C15" s="652"/>
      <c r="D15" s="652"/>
      <c r="E15" s="845"/>
      <c r="F15" s="652"/>
      <c r="G15" s="652"/>
      <c r="H15" s="852">
        <f t="shared" ref="H15:AC15" si="39">H8/E8-1</f>
        <v>3.842159916926291E-2</v>
      </c>
      <c r="I15" s="852">
        <f t="shared" si="39"/>
        <v>2.200000000000002E-2</v>
      </c>
      <c r="J15" s="852">
        <f t="shared" si="39"/>
        <v>4.5939087853820615E-2</v>
      </c>
      <c r="K15" s="852">
        <f t="shared" si="39"/>
        <v>3.2711218141681764E-2</v>
      </c>
      <c r="L15" s="852">
        <f t="shared" si="39"/>
        <v>7.4626865671643117E-3</v>
      </c>
      <c r="M15" s="852">
        <f t="shared" si="39"/>
        <v>7.8473413379073653E-2</v>
      </c>
      <c r="N15" s="852">
        <f t="shared" si="39"/>
        <v>3.9642440730664585E-2</v>
      </c>
      <c r="O15" s="852">
        <f t="shared" si="39"/>
        <v>0.50864197530864197</v>
      </c>
      <c r="P15" s="852">
        <f t="shared" si="39"/>
        <v>0.47117296222664029</v>
      </c>
      <c r="Q15" s="852">
        <f t="shared" si="39"/>
        <v>0.49102803738317768</v>
      </c>
      <c r="R15" s="852">
        <f t="shared" si="39"/>
        <v>-2.1510404489127888E-2</v>
      </c>
      <c r="S15" s="852">
        <f t="shared" si="39"/>
        <v>0.11135135135135132</v>
      </c>
      <c r="T15" s="852">
        <f t="shared" si="39"/>
        <v>4.0115331578287616E-2</v>
      </c>
      <c r="U15" s="852">
        <f t="shared" si="39"/>
        <v>6.9534050179211437E-2</v>
      </c>
      <c r="V15" s="852">
        <f t="shared" si="39"/>
        <v>-4.5963035019455423E-2</v>
      </c>
      <c r="W15" s="852">
        <f t="shared" si="39"/>
        <v>1.2293600096420221E-2</v>
      </c>
      <c r="X15" s="852">
        <f t="shared" si="39"/>
        <v>8.0652368185880174E-2</v>
      </c>
      <c r="Y15" s="852">
        <f t="shared" si="39"/>
        <v>7.9021157277596732E-3</v>
      </c>
      <c r="Z15" s="852">
        <f t="shared" si="39"/>
        <v>4.6672222883676673E-2</v>
      </c>
      <c r="AA15" s="852">
        <f t="shared" si="39"/>
        <v>7.1738681000620197E-2</v>
      </c>
      <c r="AB15" s="852">
        <f t="shared" si="39"/>
        <v>9.7369752149721656E-2</v>
      </c>
      <c r="AC15" s="853">
        <f t="shared" si="39"/>
        <v>8.3266977590717772E-2</v>
      </c>
      <c r="AD15" s="852">
        <f t="shared" si="34"/>
        <v>1.9574305555555727E-2</v>
      </c>
      <c r="AE15" s="852">
        <f t="shared" si="35"/>
        <v>4.6069325469233924E-2</v>
      </c>
      <c r="AF15" s="852">
        <f>AF8/AC8-1</f>
        <v>3.1646330275229007E-2</v>
      </c>
      <c r="AG15" s="852">
        <f t="shared" si="36"/>
        <v>4.4680722891566216E-2</v>
      </c>
      <c r="AH15" s="852">
        <f t="shared" si="37"/>
        <v>4.4362132492161033E-2</v>
      </c>
      <c r="AI15" s="852">
        <f>AI8/AF8-1</f>
        <v>4.453353293413187E-2</v>
      </c>
      <c r="AJ15" s="852"/>
      <c r="AK15" s="852"/>
      <c r="AL15" s="852">
        <f>AL8/AI8-1</f>
        <v>5.3463157894736657E-2</v>
      </c>
      <c r="AM15" s="852"/>
      <c r="AN15" s="852"/>
      <c r="AO15" s="852">
        <f>AO8/AL8-1</f>
        <v>4.7199999999999909E-2</v>
      </c>
      <c r="AP15" s="852"/>
      <c r="AQ15" s="852"/>
      <c r="AR15" s="852">
        <f>AR8/AO8-1</f>
        <v>4.1182386363636247E-2</v>
      </c>
      <c r="AS15" s="852"/>
      <c r="AT15" s="852"/>
      <c r="AU15" s="852">
        <f>AU8/AR8-1</f>
        <v>3.5299999999999887E-2</v>
      </c>
      <c r="AV15" s="852"/>
      <c r="AW15" s="852"/>
      <c r="AX15" s="852">
        <f>AX8/AU8-1</f>
        <v>3.5299999999999887E-2</v>
      </c>
      <c r="AY15" s="852"/>
      <c r="AZ15" s="852"/>
      <c r="BA15" s="852">
        <f>BA8/AX8-1</f>
        <v>3.5299999999999887E-2</v>
      </c>
      <c r="BB15" s="852"/>
      <c r="BC15" s="852"/>
      <c r="BD15" s="852">
        <f>BD8/BA8-1</f>
        <v>3.5299999999999887E-2</v>
      </c>
      <c r="BE15" s="852"/>
      <c r="BF15" s="852"/>
      <c r="BG15" s="852">
        <f>BG8/BD8-1</f>
        <v>3.5299999999999887E-2</v>
      </c>
      <c r="BH15" s="852"/>
      <c r="BI15" s="852"/>
      <c r="BJ15" s="852">
        <f t="shared" ref="BJ15" si="40">BJ8/BG8-1</f>
        <v>3.5299999999999887E-2</v>
      </c>
      <c r="BK15" s="837"/>
      <c r="BL15" s="838"/>
      <c r="BN15" s="849"/>
    </row>
    <row r="16" spans="2:66" s="848" customFormat="1">
      <c r="B16" s="833" t="s">
        <v>246</v>
      </c>
      <c r="C16" s="652"/>
      <c r="D16" s="652"/>
      <c r="E16" s="845"/>
      <c r="F16" s="652"/>
      <c r="G16" s="652"/>
      <c r="H16" s="852">
        <f t="shared" ref="H16:AC16" si="41">H9/E9-1</f>
        <v>0.11491108071135447</v>
      </c>
      <c r="I16" s="852">
        <f t="shared" si="41"/>
        <v>1.7958333333333329</v>
      </c>
      <c r="J16" s="852">
        <f t="shared" si="41"/>
        <v>0.24695652173913074</v>
      </c>
      <c r="K16" s="852">
        <f t="shared" si="41"/>
        <v>0.70306748466257685</v>
      </c>
      <c r="L16" s="852">
        <f t="shared" si="41"/>
        <v>-8.94187779433675E-3</v>
      </c>
      <c r="M16" s="852">
        <f t="shared" si="41"/>
        <v>-8.7866108786611052E-2</v>
      </c>
      <c r="N16" s="852">
        <f t="shared" si="41"/>
        <v>-4.9711815561959694E-2</v>
      </c>
      <c r="O16" s="852">
        <f t="shared" si="41"/>
        <v>-5.2631578947368474E-2</v>
      </c>
      <c r="P16" s="852">
        <f t="shared" si="41"/>
        <v>0.38226299694189603</v>
      </c>
      <c r="Q16" s="852">
        <f t="shared" si="41"/>
        <v>0.16300227445034121</v>
      </c>
      <c r="R16" s="852">
        <f t="shared" si="41"/>
        <v>4.1269841269841123E-2</v>
      </c>
      <c r="S16" s="852">
        <f t="shared" si="41"/>
        <v>0.23008849557522137</v>
      </c>
      <c r="T16" s="852">
        <f t="shared" si="41"/>
        <v>0.15254237288135597</v>
      </c>
      <c r="U16" s="852">
        <f t="shared" si="41"/>
        <v>0.54573170731707332</v>
      </c>
      <c r="V16" s="852">
        <f t="shared" si="41"/>
        <v>3.597122302158251E-2</v>
      </c>
      <c r="W16" s="852">
        <f t="shared" si="41"/>
        <v>0.22511312217194557</v>
      </c>
      <c r="X16" s="852">
        <f t="shared" si="41"/>
        <v>4.1420118343195256E-2</v>
      </c>
      <c r="Y16" s="852">
        <f t="shared" si="41"/>
        <v>1.8229166666666963E-2</v>
      </c>
      <c r="Z16" s="852">
        <f t="shared" si="41"/>
        <v>2.9085872576177341E-2</v>
      </c>
      <c r="AA16" s="852">
        <f t="shared" si="41"/>
        <v>1.799242424242431E-2</v>
      </c>
      <c r="AB16" s="852">
        <f t="shared" si="41"/>
        <v>5.7971014492753437E-2</v>
      </c>
      <c r="AC16" s="853">
        <f t="shared" si="41"/>
        <v>3.9030955585464211E-2</v>
      </c>
      <c r="AD16" s="852">
        <f t="shared" si="34"/>
        <v>0.11448080808080818</v>
      </c>
      <c r="AE16" s="852">
        <f t="shared" si="35"/>
        <v>5.4084141267632058E-2</v>
      </c>
      <c r="AF16" s="852">
        <f>AF9/AC9-1</f>
        <v>8.2118000000000135E-2</v>
      </c>
      <c r="AG16" s="852">
        <f t="shared" si="36"/>
        <v>3.5000000000000142E-2</v>
      </c>
      <c r="AH16" s="852">
        <f t="shared" si="37"/>
        <v>5.454187752437778E-2</v>
      </c>
      <c r="AI16" s="852">
        <f>AI9/AF9-1</f>
        <v>4.5199999999999907E-2</v>
      </c>
      <c r="AJ16" s="852"/>
      <c r="AK16" s="852"/>
      <c r="AL16" s="852">
        <f>AL9/AI9-1</f>
        <v>5.5304326923076852E-2</v>
      </c>
      <c r="AM16" s="852"/>
      <c r="AN16" s="852"/>
      <c r="AO16" s="852">
        <f>AO9/AL9-1</f>
        <v>5.0160663507109016E-2</v>
      </c>
      <c r="AP16" s="852"/>
      <c r="AQ16" s="852"/>
      <c r="AR16" s="852">
        <f>AR9/AO9-1</f>
        <v>5.0068075117370769E-2</v>
      </c>
      <c r="AS16" s="852"/>
      <c r="AT16" s="852"/>
      <c r="AU16" s="852">
        <f>AU9/AR9-1</f>
        <v>4.9977209302325631E-2</v>
      </c>
      <c r="AV16" s="852"/>
      <c r="AW16" s="852"/>
      <c r="AX16" s="852">
        <f>AX9/AU9-1</f>
        <v>3.9694930875576073E-2</v>
      </c>
      <c r="AY16" s="852"/>
      <c r="AZ16" s="852"/>
      <c r="BA16" s="852">
        <f>BA9/AX9-1</f>
        <v>3.9608219178082216E-2</v>
      </c>
      <c r="BB16" s="852"/>
      <c r="BC16" s="852"/>
      <c r="BD16" s="852">
        <f>BD9/BA9-1</f>
        <v>3.9523076923076772E-2</v>
      </c>
      <c r="BE16" s="852"/>
      <c r="BF16" s="852"/>
      <c r="BG16" s="852">
        <f>BG9/BD9-1</f>
        <v>3.9439461883407967E-2</v>
      </c>
      <c r="BH16" s="852"/>
      <c r="BI16" s="852"/>
      <c r="BJ16" s="852">
        <f t="shared" ref="BJ16" si="42">BJ9/BG9-1</f>
        <v>3.9357333333333466E-2</v>
      </c>
      <c r="BK16" s="837"/>
      <c r="BL16" s="838"/>
      <c r="BN16" s="849"/>
    </row>
    <row r="17" spans="1:68" s="848" customFormat="1">
      <c r="B17" s="833" t="s">
        <v>248</v>
      </c>
      <c r="C17" s="652"/>
      <c r="D17" s="652"/>
      <c r="E17" s="845"/>
      <c r="F17" s="652"/>
      <c r="G17" s="652"/>
      <c r="H17" s="852">
        <f t="shared" ref="H17:AC17" si="43">H10/E10-1</f>
        <v>3.1605562579013924E-2</v>
      </c>
      <c r="I17" s="852">
        <f t="shared" si="43"/>
        <v>3.9896784438269162E-2</v>
      </c>
      <c r="J17" s="852">
        <f t="shared" si="43"/>
        <v>3.5969709718131959E-2</v>
      </c>
      <c r="K17" s="852">
        <f t="shared" si="43"/>
        <v>3.7990196078431238E-2</v>
      </c>
      <c r="L17" s="852">
        <f t="shared" si="43"/>
        <v>3.6075586944073201E-2</v>
      </c>
      <c r="M17" s="852">
        <f t="shared" si="43"/>
        <v>6.700507614213036E-3</v>
      </c>
      <c r="N17" s="852">
        <f t="shared" si="43"/>
        <v>2.1841794569067208E-2</v>
      </c>
      <c r="O17" s="852">
        <f t="shared" si="43"/>
        <v>0.14904200442151816</v>
      </c>
      <c r="P17" s="852">
        <f t="shared" si="43"/>
        <v>0.15631302944735781</v>
      </c>
      <c r="Q17" s="852">
        <f t="shared" si="43"/>
        <v>0.15251299826689779</v>
      </c>
      <c r="R17" s="852">
        <f t="shared" si="43"/>
        <v>-2.9020362353695761E-2</v>
      </c>
      <c r="S17" s="852">
        <f t="shared" si="43"/>
        <v>5.7910343624629324E-2</v>
      </c>
      <c r="T17" s="852">
        <f t="shared" si="43"/>
        <v>1.261487050960719E-2</v>
      </c>
      <c r="U17" s="852">
        <f t="shared" si="43"/>
        <v>0.12599075297225881</v>
      </c>
      <c r="V17" s="852">
        <f t="shared" si="43"/>
        <v>3.4460016488046419E-2</v>
      </c>
      <c r="W17" s="852">
        <f t="shared" si="43"/>
        <v>8.0191403349558765E-2</v>
      </c>
      <c r="X17" s="852">
        <f t="shared" si="43"/>
        <v>-1.3198416190057238E-2</v>
      </c>
      <c r="Y17" s="852">
        <f t="shared" si="43"/>
        <v>-1.3866751673573541E-2</v>
      </c>
      <c r="Z17" s="852">
        <f t="shared" si="43"/>
        <v>-1.3518674100664541E-2</v>
      </c>
      <c r="AA17" s="852">
        <f t="shared" si="43"/>
        <v>4.9933125278644797E-2</v>
      </c>
      <c r="AB17" s="852">
        <f t="shared" si="43"/>
        <v>5.9156295458218988E-2</v>
      </c>
      <c r="AC17" s="853">
        <f t="shared" si="43"/>
        <v>5.4351192319603614E-2</v>
      </c>
      <c r="AD17" s="852">
        <f t="shared" si="34"/>
        <v>4.1068478260869457E-2</v>
      </c>
      <c r="AE17" s="852">
        <f t="shared" si="35"/>
        <v>6.3407288487835833E-2</v>
      </c>
      <c r="AF17" s="852">
        <f>AF10/AC10-1</f>
        <v>5.1817943925233534E-2</v>
      </c>
      <c r="AG17" s="852">
        <f t="shared" si="36"/>
        <v>6.1730351681956952E-2</v>
      </c>
      <c r="AH17" s="852">
        <f t="shared" si="37"/>
        <v>4.8307629589485979E-2</v>
      </c>
      <c r="AI17" s="852">
        <f>AI10/AF10-1</f>
        <v>5.520015151515123E-2</v>
      </c>
      <c r="AJ17" s="852"/>
      <c r="AK17" s="852"/>
      <c r="AL17" s="852">
        <f>AL10/AI10-1</f>
        <v>4.2417011834319229E-2</v>
      </c>
      <c r="AM17" s="852"/>
      <c r="AN17" s="852"/>
      <c r="AO17" s="852">
        <f>AO10/AL10-1</f>
        <v>4.2274415204678117E-2</v>
      </c>
      <c r="AP17" s="852"/>
      <c r="AQ17" s="852"/>
      <c r="AR17" s="852">
        <f>AR10/AO10-1</f>
        <v>4.2135115606936058E-2</v>
      </c>
      <c r="AS17" s="852"/>
      <c r="AT17" s="852"/>
      <c r="AU17" s="852">
        <f>AU10/AR10-1</f>
        <v>4.1998999999999675E-2</v>
      </c>
      <c r="AV17" s="852"/>
      <c r="AW17" s="852"/>
      <c r="AX17" s="852">
        <f>AX10/AU10-1</f>
        <v>4.1865960451977102E-2</v>
      </c>
      <c r="AY17" s="852"/>
      <c r="AZ17" s="852"/>
      <c r="BA17" s="852">
        <f>BA10/AX10-1</f>
        <v>4.1735893854748296E-2</v>
      </c>
      <c r="BB17" s="852"/>
      <c r="BC17" s="852"/>
      <c r="BD17" s="852">
        <f>BD10/BA10-1</f>
        <v>4.1608701657458225E-2</v>
      </c>
      <c r="BE17" s="852"/>
      <c r="BF17" s="852"/>
      <c r="BG17" s="852">
        <f>BG10/BD10-1</f>
        <v>4.1484289617485848E-2</v>
      </c>
      <c r="BH17" s="852"/>
      <c r="BI17" s="852"/>
      <c r="BJ17" s="852">
        <f t="shared" ref="BJ17" si="44">BJ10/BG10-1</f>
        <v>4.136256756756751E-2</v>
      </c>
      <c r="BK17" s="837"/>
      <c r="BL17" s="838"/>
      <c r="BN17" s="849"/>
    </row>
    <row r="18" spans="1:68" s="861" customFormat="1">
      <c r="B18" s="854" t="s">
        <v>147</v>
      </c>
      <c r="C18" s="855">
        <f>C12/E12</f>
        <v>0.52550176291542783</v>
      </c>
      <c r="D18" s="855">
        <f>1-C18</f>
        <v>0.47449823708457217</v>
      </c>
      <c r="E18" s="855"/>
      <c r="F18" s="855">
        <f>F12/H12</f>
        <v>0.51507254347705589</v>
      </c>
      <c r="G18" s="855">
        <f>1-F18</f>
        <v>0.48492745652294411</v>
      </c>
      <c r="H18" s="855"/>
      <c r="I18" s="855">
        <f>I12/K12</f>
        <v>0.51769128704113221</v>
      </c>
      <c r="J18" s="855">
        <f>1-I18</f>
        <v>0.48230871295886779</v>
      </c>
      <c r="K18" s="856"/>
      <c r="L18" s="855">
        <f>L12/N12</f>
        <v>0.51093650456572526</v>
      </c>
      <c r="M18" s="855">
        <f>1-L18</f>
        <v>0.48906349543427474</v>
      </c>
      <c r="N18" s="857">
        <f>N12/K12-1</f>
        <v>4.1353383458646586E-2</v>
      </c>
      <c r="O18" s="857">
        <f t="shared" ref="O18:AC18" si="45">O12/L12-1</f>
        <v>0.2307425879745082</v>
      </c>
      <c r="P18" s="857">
        <f t="shared" si="45"/>
        <v>0.21320017368649613</v>
      </c>
      <c r="Q18" s="857">
        <f t="shared" si="45"/>
        <v>0.22216323352445677</v>
      </c>
      <c r="R18" s="857">
        <f t="shared" si="45"/>
        <v>-4.0243147408116298E-2</v>
      </c>
      <c r="S18" s="857">
        <f t="shared" si="45"/>
        <v>0.10104986876640409</v>
      </c>
      <c r="T18" s="857">
        <f t="shared" si="45"/>
        <v>2.8351336480264111E-2</v>
      </c>
      <c r="U18" s="857">
        <f t="shared" si="45"/>
        <v>0.14848698099929636</v>
      </c>
      <c r="V18" s="857">
        <f t="shared" si="45"/>
        <v>-7.5847870841905252E-4</v>
      </c>
      <c r="W18" s="857">
        <f t="shared" si="45"/>
        <v>7.0909602928752591E-2</v>
      </c>
      <c r="X18" s="857">
        <f t="shared" si="45"/>
        <v>3.165849673202592E-2</v>
      </c>
      <c r="Y18" s="857">
        <f t="shared" si="45"/>
        <v>9.7592713077423454E-3</v>
      </c>
      <c r="Z18" s="857">
        <f t="shared" si="45"/>
        <v>2.103713053539491E-2</v>
      </c>
      <c r="AA18" s="857">
        <f t="shared" si="45"/>
        <v>4.2961789744605072E-2</v>
      </c>
      <c r="AB18" s="857">
        <f t="shared" si="45"/>
        <v>5.6539948453608213E-2</v>
      </c>
      <c r="AC18" s="858">
        <f t="shared" si="45"/>
        <v>4.9474605954465734E-2</v>
      </c>
      <c r="AD18" s="857">
        <f t="shared" ref="AD18" si="46">AD12/AA12-1</f>
        <v>4.2194695079503353E-2</v>
      </c>
      <c r="AE18" s="857">
        <f t="shared" ref="AE18" si="47">AE12/AB12-1</f>
        <v>5.8059980586771198E-2</v>
      </c>
      <c r="AF18" s="857">
        <f>AF12/AC12-1</f>
        <v>4.9855771987562747E-2</v>
      </c>
      <c r="AG18" s="857">
        <f t="shared" ref="AG18" si="48">AG12/AD12-1</f>
        <v>4.6911306798691488E-2</v>
      </c>
      <c r="AH18" s="857">
        <f t="shared" ref="AH18" si="49">AH12/AE12-1</f>
        <v>5.5303790486426641E-2</v>
      </c>
      <c r="AI18" s="857">
        <f>AI12/AF12-1</f>
        <v>5.0995564004448601E-2</v>
      </c>
      <c r="AJ18" s="857"/>
      <c r="AK18" s="857"/>
      <c r="AL18" s="857">
        <f>AL12/AI12-1</f>
        <v>4.7733436376065086E-2</v>
      </c>
      <c r="AM18" s="857"/>
      <c r="AN18" s="857"/>
      <c r="AO18" s="857">
        <f>AO12/AL12-1</f>
        <v>4.4733460880308273E-2</v>
      </c>
      <c r="AP18" s="857"/>
      <c r="AQ18" s="857"/>
      <c r="AR18" s="857">
        <f>AR12/AO12-1</f>
        <v>4.1112514694908731E-2</v>
      </c>
      <c r="AS18" s="857"/>
      <c r="AT18" s="857"/>
      <c r="AU18" s="857">
        <f>AU12/AR12-1</f>
        <v>3.7121268652460238E-2</v>
      </c>
      <c r="AV18" s="857"/>
      <c r="AW18" s="857"/>
      <c r="AX18" s="857">
        <f>AX12/AU12-1</f>
        <v>3.3049844879610824E-2</v>
      </c>
      <c r="AY18" s="857"/>
      <c r="AZ18" s="857"/>
      <c r="BA18" s="857">
        <f>BA12/AX12-1</f>
        <v>3.3065305753982033E-2</v>
      </c>
      <c r="BB18" s="857"/>
      <c r="BC18" s="857"/>
      <c r="BD18" s="857">
        <f>BD12/BA12-1</f>
        <v>3.3080587023195385E-2</v>
      </c>
      <c r="BE18" s="857"/>
      <c r="BF18" s="857"/>
      <c r="BG18" s="857">
        <f>BG12/BD12-1</f>
        <v>3.3095688506296517E-2</v>
      </c>
      <c r="BH18" s="857"/>
      <c r="BI18" s="857"/>
      <c r="BJ18" s="857">
        <f t="shared" ref="BJ18" si="50">BJ12/BG12-1</f>
        <v>3.3110610084960745E-2</v>
      </c>
      <c r="BK18" s="859"/>
      <c r="BL18" s="860"/>
    </row>
    <row r="19" spans="1:68" s="839" customFormat="1">
      <c r="B19" s="848" t="s">
        <v>155</v>
      </c>
      <c r="C19" s="651"/>
      <c r="D19" s="651"/>
      <c r="E19" s="834"/>
      <c r="F19" s="651"/>
      <c r="G19" s="651"/>
      <c r="H19" s="834"/>
      <c r="I19" s="862">
        <f>I21-J21</f>
        <v>-0.15478835835224086</v>
      </c>
      <c r="J19" s="651"/>
      <c r="K19" s="835"/>
      <c r="L19" s="651"/>
      <c r="M19" s="651"/>
      <c r="N19" s="834"/>
      <c r="O19" s="834"/>
      <c r="P19" s="834"/>
      <c r="Q19" s="834"/>
      <c r="R19" s="834"/>
      <c r="S19" s="834"/>
      <c r="T19" s="855"/>
      <c r="U19" s="862"/>
      <c r="V19" s="862"/>
      <c r="W19" s="855"/>
      <c r="X19" s="862"/>
      <c r="Y19" s="651"/>
      <c r="Z19" s="852"/>
      <c r="AA19" s="862"/>
      <c r="AB19" s="651"/>
      <c r="AC19" s="853"/>
      <c r="AD19" s="651"/>
      <c r="AE19" s="651"/>
      <c r="AF19" s="834"/>
      <c r="AG19" s="651"/>
      <c r="AH19" s="651"/>
      <c r="AI19" s="834"/>
      <c r="AJ19" s="834"/>
      <c r="AK19" s="834"/>
      <c r="AL19" s="834"/>
      <c r="AM19" s="834"/>
      <c r="AN19" s="834"/>
      <c r="AO19" s="834"/>
      <c r="AP19" s="834"/>
      <c r="AQ19" s="834"/>
      <c r="AR19" s="834"/>
      <c r="AS19" s="834"/>
      <c r="AT19" s="834"/>
      <c r="AU19" s="834"/>
      <c r="AV19" s="834"/>
      <c r="AW19" s="834"/>
      <c r="AX19" s="834"/>
      <c r="AY19" s="834"/>
      <c r="AZ19" s="834"/>
      <c r="BA19" s="834"/>
      <c r="BB19" s="834"/>
      <c r="BC19" s="834"/>
      <c r="BD19" s="834"/>
      <c r="BE19" s="834"/>
      <c r="BF19" s="834"/>
      <c r="BG19" s="834"/>
      <c r="BH19" s="834"/>
      <c r="BI19" s="834"/>
      <c r="BJ19" s="834"/>
      <c r="BK19" s="837"/>
      <c r="BL19" s="838"/>
      <c r="BP19" s="647"/>
    </row>
    <row r="20" spans="1:68" s="839" customFormat="1">
      <c r="B20" s="844" t="s">
        <v>247</v>
      </c>
      <c r="C20" s="651">
        <f>C75+C125</f>
        <v>218.67240000000001</v>
      </c>
      <c r="D20" s="651">
        <f>E20-C20</f>
        <v>284.79743999999937</v>
      </c>
      <c r="E20" s="834">
        <f t="shared" ref="E20:R20" si="51">E28-E22-E24-E26</f>
        <v>503.46983999999941</v>
      </c>
      <c r="F20" s="651">
        <f t="shared" si="51"/>
        <v>232.6098049197771</v>
      </c>
      <c r="G20" s="651">
        <f t="shared" si="51"/>
        <v>294.77737576528023</v>
      </c>
      <c r="H20" s="834">
        <f t="shared" si="51"/>
        <v>530.96527989886238</v>
      </c>
      <c r="I20" s="651">
        <f t="shared" si="51"/>
        <v>239.43248758409777</v>
      </c>
      <c r="J20" s="651">
        <f t="shared" si="51"/>
        <v>308.87094338935339</v>
      </c>
      <c r="K20" s="835">
        <f t="shared" si="51"/>
        <v>548.3034309734511</v>
      </c>
      <c r="L20" s="651">
        <f t="shared" si="51"/>
        <v>254.01349999999991</v>
      </c>
      <c r="M20" s="651">
        <f t="shared" si="51"/>
        <v>288.39889999999986</v>
      </c>
      <c r="N20" s="834">
        <f t="shared" si="51"/>
        <v>542.41239999999982</v>
      </c>
      <c r="O20" s="834">
        <f t="shared" si="51"/>
        <v>328.20417901234572</v>
      </c>
      <c r="P20" s="834">
        <f t="shared" si="51"/>
        <v>360.60992098765411</v>
      </c>
      <c r="Q20" s="834">
        <f t="shared" si="51"/>
        <v>688.81409999999994</v>
      </c>
      <c r="R20" s="834">
        <f t="shared" si="51"/>
        <v>307.05526190476166</v>
      </c>
      <c r="S20" s="834">
        <f>T20-R20</f>
        <v>392.17593809523839</v>
      </c>
      <c r="T20" s="834">
        <f>T28-T22-T24-T26</f>
        <v>699.23120000000006</v>
      </c>
      <c r="U20" s="834">
        <f>U28-U22-U24-U26</f>
        <v>357.80861058201089</v>
      </c>
      <c r="V20" s="834">
        <f t="shared" ref="V20:AX20" si="52">V75</f>
        <v>392.84618941798936</v>
      </c>
      <c r="W20" s="834">
        <f>W28-W22-W24-W26</f>
        <v>750.65480000000025</v>
      </c>
      <c r="X20" s="834">
        <f>X28-X22-X24-X26</f>
        <v>380.03311358024689</v>
      </c>
      <c r="Y20" s="834">
        <f t="shared" si="52"/>
        <v>407.47064641975328</v>
      </c>
      <c r="Z20" s="834">
        <f>Z28-Z22-Z24-Z26</f>
        <v>787.50376000000017</v>
      </c>
      <c r="AA20" s="834">
        <f>AA28-AA22-AA24-AA26</f>
        <v>384.05394571428542</v>
      </c>
      <c r="AB20" s="834">
        <f t="shared" ref="AB20" si="53">AB75</f>
        <v>426.039864285715</v>
      </c>
      <c r="AC20" s="836">
        <f>AC28-AC22-AC24-AC26</f>
        <v>810.09381000000042</v>
      </c>
      <c r="AD20" s="834">
        <f t="shared" si="52"/>
        <v>406.02964456855329</v>
      </c>
      <c r="AE20" s="834">
        <f t="shared" si="52"/>
        <v>449.41180818002658</v>
      </c>
      <c r="AF20" s="834">
        <f t="shared" si="52"/>
        <v>855.44145274857988</v>
      </c>
      <c r="AG20" s="834">
        <f t="shared" ref="AG20:AH20" si="54">AG75</f>
        <v>421.72913272322347</v>
      </c>
      <c r="AH20" s="834">
        <f t="shared" si="54"/>
        <v>478.3091432378979</v>
      </c>
      <c r="AI20" s="834">
        <f t="shared" si="52"/>
        <v>900.03827596112137</v>
      </c>
      <c r="AJ20" s="834"/>
      <c r="AK20" s="834"/>
      <c r="AL20" s="834">
        <f t="shared" si="52"/>
        <v>943.14095455091297</v>
      </c>
      <c r="AM20" s="834"/>
      <c r="AN20" s="834"/>
      <c r="AO20" s="834">
        <f t="shared" si="52"/>
        <v>985.80042093031807</v>
      </c>
      <c r="AP20" s="834"/>
      <c r="AQ20" s="834"/>
      <c r="AR20" s="834">
        <f t="shared" si="52"/>
        <v>1024.6846504094738</v>
      </c>
      <c r="AS20" s="834"/>
      <c r="AT20" s="834"/>
      <c r="AU20" s="834">
        <f t="shared" si="52"/>
        <v>1058.0589097312688</v>
      </c>
      <c r="AV20" s="834"/>
      <c r="AW20" s="834"/>
      <c r="AX20" s="834">
        <f t="shared" si="52"/>
        <v>1082.8359484161974</v>
      </c>
      <c r="AY20" s="834"/>
      <c r="AZ20" s="834"/>
      <c r="BA20" s="834">
        <f t="shared" ref="BA20:BD20" si="55">BA75</f>
        <v>1108.1851537714722</v>
      </c>
      <c r="BB20" s="834"/>
      <c r="BC20" s="834"/>
      <c r="BD20" s="834">
        <f t="shared" si="55"/>
        <v>1134.1195878221693</v>
      </c>
      <c r="BE20" s="834"/>
      <c r="BF20" s="834"/>
      <c r="BG20" s="834">
        <f t="shared" ref="BG20:BJ20" si="56">BG75</f>
        <v>1160.652607931175</v>
      </c>
      <c r="BH20" s="834"/>
      <c r="BI20" s="834"/>
      <c r="BJ20" s="834">
        <f t="shared" si="56"/>
        <v>1187.7978734223577</v>
      </c>
      <c r="BK20" s="864"/>
      <c r="BL20" s="865"/>
    </row>
    <row r="21" spans="1:68" s="872" customFormat="1">
      <c r="B21" s="1387" t="s">
        <v>771</v>
      </c>
      <c r="C21" s="867"/>
      <c r="D21" s="867"/>
      <c r="E21" s="867">
        <f>E20/E$7</f>
        <v>0.52669718589810588</v>
      </c>
      <c r="F21" s="867">
        <f t="shared" ref="F21:AU21" si="57">F20/F$7</f>
        <v>0.45018348155559723</v>
      </c>
      <c r="G21" s="867">
        <f t="shared" si="57"/>
        <v>0.60195502504651888</v>
      </c>
      <c r="H21" s="867">
        <f t="shared" si="57"/>
        <v>0.52758871214115899</v>
      </c>
      <c r="I21" s="867">
        <f t="shared" si="57"/>
        <v>0.45107853727222641</v>
      </c>
      <c r="J21" s="867">
        <f t="shared" si="57"/>
        <v>0.60586689562446727</v>
      </c>
      <c r="K21" s="868">
        <f t="shared" si="57"/>
        <v>0.52691085044536912</v>
      </c>
      <c r="L21" s="867">
        <f t="shared" si="57"/>
        <v>0.46125567459596856</v>
      </c>
      <c r="M21" s="867">
        <f t="shared" si="57"/>
        <v>0.50685219683655514</v>
      </c>
      <c r="N21" s="867">
        <f t="shared" si="57"/>
        <v>0.48442654282397052</v>
      </c>
      <c r="O21" s="867">
        <f t="shared" si="57"/>
        <v>0.49585160751223106</v>
      </c>
      <c r="P21" s="867">
        <f t="shared" si="57"/>
        <v>0.55744306846136049</v>
      </c>
      <c r="Q21" s="867">
        <f t="shared" si="57"/>
        <v>0.52629439180929094</v>
      </c>
      <c r="R21" s="867">
        <f t="shared" si="57"/>
        <v>0.4983854275357274</v>
      </c>
      <c r="S21" s="867">
        <f t="shared" si="57"/>
        <v>0.54190401837120139</v>
      </c>
      <c r="T21" s="867">
        <f t="shared" si="57"/>
        <v>0.52189222271980895</v>
      </c>
      <c r="U21" s="867">
        <f t="shared" ref="U21" si="58">U20/U$7</f>
        <v>0.49109059920671272</v>
      </c>
      <c r="V21" s="867">
        <f t="shared" ref="V21" si="59">V20/V$7</f>
        <v>0.54592299807947375</v>
      </c>
      <c r="W21" s="867">
        <f>W20/W$7</f>
        <v>0.51833641762187554</v>
      </c>
      <c r="X21" s="867">
        <f t="shared" ref="X21:Y21" si="60">X20/X$7</f>
        <v>0.50004357050032489</v>
      </c>
      <c r="Y21" s="867">
        <f t="shared" si="60"/>
        <v>0.55182915278948164</v>
      </c>
      <c r="Z21" s="867">
        <f>Z20/Z$7</f>
        <v>0.52556310731446887</v>
      </c>
      <c r="AA21" s="867">
        <f>AA20/AA$7</f>
        <v>0.49632197688586899</v>
      </c>
      <c r="AB21" s="867">
        <f t="shared" ref="AB21" si="61">AB20/AB$7</f>
        <v>0.56021020944867195</v>
      </c>
      <c r="AC21" s="869">
        <f>AC20/AC$7</f>
        <v>0.52798918725151567</v>
      </c>
      <c r="AD21" s="867">
        <f t="shared" ref="AD21:AE21" si="62">AD20/AD$7</f>
        <v>0.49832197688586899</v>
      </c>
      <c r="AE21" s="867">
        <f t="shared" si="62"/>
        <v>0.5597060874924914</v>
      </c>
      <c r="AF21" s="867">
        <f t="shared" si="57"/>
        <v>0.52878918725151569</v>
      </c>
      <c r="AG21" s="867">
        <f t="shared" si="57"/>
        <v>0.49932197688586905</v>
      </c>
      <c r="AH21" s="867">
        <f t="shared" si="57"/>
        <v>0.55802366284463423</v>
      </c>
      <c r="AI21" s="867">
        <f t="shared" si="57"/>
        <v>0.52888918725151568</v>
      </c>
      <c r="AJ21" s="867"/>
      <c r="AK21" s="867"/>
      <c r="AL21" s="867">
        <f t="shared" si="57"/>
        <v>0.52898918725151567</v>
      </c>
      <c r="AM21" s="867"/>
      <c r="AN21" s="867"/>
      <c r="AO21" s="867">
        <f t="shared" si="57"/>
        <v>0.52938918725151562</v>
      </c>
      <c r="AP21" s="867"/>
      <c r="AQ21" s="867"/>
      <c r="AR21" s="867">
        <f t="shared" si="57"/>
        <v>0.52978918725151558</v>
      </c>
      <c r="AS21" s="867"/>
      <c r="AT21" s="867"/>
      <c r="AU21" s="867">
        <f t="shared" si="57"/>
        <v>0.53018918725151554</v>
      </c>
      <c r="AV21" s="867"/>
      <c r="AW21" s="867"/>
      <c r="AX21" s="867">
        <f t="shared" ref="AX21:BA21" si="63">AX20/AX$7</f>
        <v>0.53058918725151549</v>
      </c>
      <c r="AY21" s="867"/>
      <c r="AZ21" s="867"/>
      <c r="BA21" s="867">
        <f t="shared" si="63"/>
        <v>0.53098918725151545</v>
      </c>
      <c r="BB21" s="867"/>
      <c r="BC21" s="867"/>
      <c r="BD21" s="867">
        <f t="shared" ref="BD21:BG21" si="64">BD20/BD$7</f>
        <v>0.5313891872515154</v>
      </c>
      <c r="BE21" s="867"/>
      <c r="BF21" s="867"/>
      <c r="BG21" s="867">
        <f t="shared" si="64"/>
        <v>0.53178918725151536</v>
      </c>
      <c r="BH21" s="867"/>
      <c r="BI21" s="867"/>
      <c r="BJ21" s="867">
        <f t="shared" ref="BJ21" si="65">BJ20/BJ$7</f>
        <v>0.53218918725151532</v>
      </c>
      <c r="BK21" s="870"/>
      <c r="BL21" s="871"/>
    </row>
    <row r="22" spans="1:68" s="839" customFormat="1">
      <c r="B22" s="844" t="s">
        <v>150</v>
      </c>
      <c r="C22" s="651">
        <f>C272</f>
        <v>133.72999999999999</v>
      </c>
      <c r="D22" s="651">
        <f>D272</f>
        <v>87.670000000000016</v>
      </c>
      <c r="E22" s="834">
        <f t="shared" ref="E22:AU22" si="66">E158</f>
        <v>191.94515999999999</v>
      </c>
      <c r="F22" s="651">
        <f t="shared" si="66"/>
        <v>121.15068493150683</v>
      </c>
      <c r="G22" s="651">
        <f t="shared" si="66"/>
        <v>84.285414282298191</v>
      </c>
      <c r="H22" s="834">
        <f t="shared" si="66"/>
        <v>204.30300000000003</v>
      </c>
      <c r="I22" s="651">
        <f t="shared" si="66"/>
        <v>124.09739999999999</v>
      </c>
      <c r="J22" s="651">
        <f t="shared" si="66"/>
        <v>91.846764578550392</v>
      </c>
      <c r="K22" s="835">
        <f t="shared" si="66"/>
        <v>215.61740000000003</v>
      </c>
      <c r="L22" s="651">
        <f t="shared" si="66"/>
        <v>122</v>
      </c>
      <c r="M22" s="651">
        <f t="shared" si="66"/>
        <v>99.490000000000009</v>
      </c>
      <c r="N22" s="834">
        <f t="shared" si="66"/>
        <v>221.49</v>
      </c>
      <c r="O22" s="834">
        <f t="shared" si="66"/>
        <v>186.1928209876543</v>
      </c>
      <c r="P22" s="834">
        <f t="shared" si="66"/>
        <v>148.04347901234573</v>
      </c>
      <c r="Q22" s="834">
        <f t="shared" si="66"/>
        <v>334.23630000000003</v>
      </c>
      <c r="R22" s="834">
        <f t="shared" si="66"/>
        <v>169.63273809523807</v>
      </c>
      <c r="S22" s="834">
        <f t="shared" si="66"/>
        <v>153.12056190476196</v>
      </c>
      <c r="T22" s="834">
        <f t="shared" si="66"/>
        <v>322.75330000000002</v>
      </c>
      <c r="U22" s="834">
        <f t="shared" ref="U22" si="67">U158</f>
        <v>172.02838941798939</v>
      </c>
      <c r="V22" s="651">
        <f>V158</f>
        <v>139.57451058201059</v>
      </c>
      <c r="W22" s="834">
        <f>W158</f>
        <v>311.60289999999998</v>
      </c>
      <c r="X22" s="834">
        <f>X158</f>
        <v>195.09318641975307</v>
      </c>
      <c r="Y22" s="651">
        <f t="shared" ref="Y22:Z22" si="68">Y158</f>
        <v>143.36031358024695</v>
      </c>
      <c r="Z22" s="834">
        <f t="shared" si="68"/>
        <v>338.45350000000002</v>
      </c>
      <c r="AA22" s="834">
        <f t="shared" si="66"/>
        <v>206.28955428571425</v>
      </c>
      <c r="AB22" s="651">
        <f t="shared" si="66"/>
        <v>154.15599571428572</v>
      </c>
      <c r="AC22" s="836">
        <f t="shared" si="66"/>
        <v>360.44554999999997</v>
      </c>
      <c r="AD22" s="651">
        <f t="shared" ref="AD22:AE22" si="69">AD158</f>
        <v>209.53470807422218</v>
      </c>
      <c r="AE22" s="651">
        <f t="shared" si="69"/>
        <v>160.84396564683271</v>
      </c>
      <c r="AF22" s="834">
        <f t="shared" si="66"/>
        <v>370.37867372105489</v>
      </c>
      <c r="AG22" s="651">
        <f t="shared" si="66"/>
        <v>218.89687030185175</v>
      </c>
      <c r="AH22" s="651">
        <f t="shared" si="66"/>
        <v>167.97607428345984</v>
      </c>
      <c r="AI22" s="834">
        <f t="shared" si="66"/>
        <v>386.87294458531159</v>
      </c>
      <c r="AJ22" s="834"/>
      <c r="AK22" s="834"/>
      <c r="AL22" s="834">
        <f t="shared" si="66"/>
        <v>407.55639390687782</v>
      </c>
      <c r="AM22" s="834"/>
      <c r="AN22" s="834"/>
      <c r="AO22" s="834">
        <f t="shared" si="66"/>
        <v>426.79305569928238</v>
      </c>
      <c r="AP22" s="834"/>
      <c r="AQ22" s="834"/>
      <c r="AR22" s="834">
        <f t="shared" si="66"/>
        <v>444.36941221640717</v>
      </c>
      <c r="AS22" s="834"/>
      <c r="AT22" s="834"/>
      <c r="AU22" s="834">
        <f t="shared" si="66"/>
        <v>460.05565246764627</v>
      </c>
      <c r="AV22" s="834"/>
      <c r="AW22" s="834"/>
      <c r="AX22" s="834">
        <f t="shared" ref="AX22:BA22" si="70">AX158</f>
        <v>476.29561699975415</v>
      </c>
      <c r="AY22" s="834"/>
      <c r="AZ22" s="834"/>
      <c r="BA22" s="834">
        <f t="shared" si="70"/>
        <v>493.10885227984539</v>
      </c>
      <c r="BB22" s="834"/>
      <c r="BC22" s="834"/>
      <c r="BD22" s="834">
        <f t="shared" ref="BD22:BG22" si="71">BD158</f>
        <v>510.5155947653239</v>
      </c>
      <c r="BE22" s="834"/>
      <c r="BF22" s="834"/>
      <c r="BG22" s="834">
        <f t="shared" si="71"/>
        <v>528.53679526053975</v>
      </c>
      <c r="BH22" s="834"/>
      <c r="BI22" s="834"/>
      <c r="BJ22" s="834">
        <f t="shared" ref="BJ22" si="72">BJ158</f>
        <v>547.1941441332367</v>
      </c>
      <c r="BK22" s="873"/>
      <c r="BL22" s="865"/>
    </row>
    <row r="23" spans="1:68" s="872" customFormat="1">
      <c r="B23" s="1387" t="s">
        <v>771</v>
      </c>
      <c r="C23" s="867"/>
      <c r="D23" s="867"/>
      <c r="E23" s="867">
        <f t="shared" ref="E23:AU23" si="73">E22/E$8</f>
        <v>0.4</v>
      </c>
      <c r="F23" s="867">
        <f t="shared" si="73"/>
        <v>0.44</v>
      </c>
      <c r="G23" s="867">
        <f t="shared" si="73"/>
        <v>0.37803348770929818</v>
      </c>
      <c r="H23" s="867">
        <f t="shared" si="73"/>
        <v>0.41000000000000003</v>
      </c>
      <c r="I23" s="867">
        <f t="shared" si="73"/>
        <v>0.441</v>
      </c>
      <c r="J23" s="867">
        <f t="shared" si="73"/>
        <v>0.39385405050836353</v>
      </c>
      <c r="K23" s="868">
        <f t="shared" si="73"/>
        <v>0.41900000000000004</v>
      </c>
      <c r="L23" s="867">
        <f t="shared" si="73"/>
        <v>0.43033509700176364</v>
      </c>
      <c r="M23" s="867">
        <f t="shared" si="73"/>
        <v>0.39558648111332012</v>
      </c>
      <c r="N23" s="867">
        <f t="shared" si="73"/>
        <v>0.41400000000000003</v>
      </c>
      <c r="O23" s="867">
        <f t="shared" si="73"/>
        <v>0.43533509700176365</v>
      </c>
      <c r="P23" s="867">
        <f t="shared" si="73"/>
        <v>0.40011751084417757</v>
      </c>
      <c r="Q23" s="867">
        <f t="shared" si="73"/>
        <v>0.41900000000000004</v>
      </c>
      <c r="R23" s="867">
        <f t="shared" si="73"/>
        <v>0.40533509700176362</v>
      </c>
      <c r="S23" s="867">
        <f t="shared" si="73"/>
        <v>0.37237490735593859</v>
      </c>
      <c r="T23" s="867">
        <f t="shared" si="73"/>
        <v>0.38900000000000001</v>
      </c>
      <c r="U23" s="867">
        <f t="shared" ref="U23" si="74">U22/U$8</f>
        <v>0.3843350970017636</v>
      </c>
      <c r="V23" s="867">
        <f t="shared" ref="V23:W23" si="75">V22/V$8</f>
        <v>0.35578514040787818</v>
      </c>
      <c r="W23" s="867">
        <f t="shared" si="75"/>
        <v>0.371</v>
      </c>
      <c r="X23" s="867">
        <f t="shared" ref="X23:Y23" si="76">X22/X$8</f>
        <v>0.40333509700176362</v>
      </c>
      <c r="Y23" s="867">
        <f t="shared" si="76"/>
        <v>0.36257034289389717</v>
      </c>
      <c r="Z23" s="867">
        <f t="shared" ref="Z23" si="77">Z22/Z$8</f>
        <v>0.38500000000000001</v>
      </c>
      <c r="AA23" s="867">
        <f t="shared" si="73"/>
        <v>0.3979350970017636</v>
      </c>
      <c r="AB23" s="867">
        <f t="shared" si="73"/>
        <v>0.35528000856023445</v>
      </c>
      <c r="AC23" s="869">
        <f t="shared" si="73"/>
        <v>0.3785</v>
      </c>
      <c r="AD23" s="867">
        <f t="shared" ref="AD23:AE23" si="78">AD22/AD$8</f>
        <v>0.3964350970017636</v>
      </c>
      <c r="AE23" s="867">
        <f t="shared" si="78"/>
        <v>0.35436812841100634</v>
      </c>
      <c r="AF23" s="867">
        <f t="shared" si="73"/>
        <v>0.377</v>
      </c>
      <c r="AG23" s="867">
        <f t="shared" si="73"/>
        <v>0.3964350970017636</v>
      </c>
      <c r="AH23" s="867">
        <f t="shared" si="73"/>
        <v>0.35436122439104584</v>
      </c>
      <c r="AI23" s="867">
        <f t="shared" si="73"/>
        <v>0.377</v>
      </c>
      <c r="AJ23" s="867"/>
      <c r="AK23" s="867"/>
      <c r="AL23" s="867">
        <f t="shared" si="73"/>
        <v>0.377</v>
      </c>
      <c r="AM23" s="867"/>
      <c r="AN23" s="867"/>
      <c r="AO23" s="867">
        <f t="shared" si="73"/>
        <v>0.377</v>
      </c>
      <c r="AP23" s="867"/>
      <c r="AQ23" s="867"/>
      <c r="AR23" s="867">
        <f t="shared" si="73"/>
        <v>0.377</v>
      </c>
      <c r="AS23" s="867"/>
      <c r="AT23" s="867"/>
      <c r="AU23" s="867">
        <f t="shared" si="73"/>
        <v>0.377</v>
      </c>
      <c r="AV23" s="867"/>
      <c r="AW23" s="867"/>
      <c r="AX23" s="867">
        <f t="shared" ref="AX23:BA23" si="79">AX22/AX$8</f>
        <v>0.377</v>
      </c>
      <c r="AY23" s="867"/>
      <c r="AZ23" s="867"/>
      <c r="BA23" s="867">
        <f t="shared" si="79"/>
        <v>0.377</v>
      </c>
      <c r="BB23" s="867"/>
      <c r="BC23" s="867"/>
      <c r="BD23" s="867">
        <f t="shared" ref="BD23:BG23" si="80">BD22/BD$8</f>
        <v>0.377</v>
      </c>
      <c r="BE23" s="867"/>
      <c r="BF23" s="867"/>
      <c r="BG23" s="867">
        <f t="shared" si="80"/>
        <v>0.377</v>
      </c>
      <c r="BH23" s="867"/>
      <c r="BI23" s="867"/>
      <c r="BJ23" s="867">
        <f t="shared" ref="BJ23" si="81">BJ22/BJ$8</f>
        <v>0.377</v>
      </c>
      <c r="BK23" s="870"/>
      <c r="BL23" s="871"/>
    </row>
    <row r="24" spans="1:68" s="839" customFormat="1">
      <c r="B24" s="844" t="s">
        <v>246</v>
      </c>
      <c r="C24" s="651"/>
      <c r="D24" s="651"/>
      <c r="E24" s="834">
        <f t="shared" ref="E24:AU24" si="82">E212</f>
        <v>29.24</v>
      </c>
      <c r="F24" s="651">
        <f t="shared" si="82"/>
        <v>10.56</v>
      </c>
      <c r="G24" s="651">
        <f t="shared" si="82"/>
        <v>25.3</v>
      </c>
      <c r="H24" s="834">
        <f t="shared" si="82"/>
        <v>33.414999999999999</v>
      </c>
      <c r="I24" s="651">
        <f t="shared" si="82"/>
        <v>29.591099999999997</v>
      </c>
      <c r="J24" s="651">
        <f t="shared" si="82"/>
        <v>28.23933542144967</v>
      </c>
      <c r="K24" s="835">
        <f t="shared" si="82"/>
        <v>58.15720000000001</v>
      </c>
      <c r="L24" s="651">
        <f t="shared" si="82"/>
        <v>29.326499999999999</v>
      </c>
      <c r="M24" s="651">
        <f t="shared" si="82"/>
        <v>25.280100000000008</v>
      </c>
      <c r="N24" s="834">
        <f t="shared" si="82"/>
        <v>54.606600000000007</v>
      </c>
      <c r="O24" s="834">
        <f t="shared" si="82"/>
        <v>27.09</v>
      </c>
      <c r="P24" s="834">
        <f t="shared" si="82"/>
        <v>37.184600000000003</v>
      </c>
      <c r="Q24" s="834">
        <f t="shared" si="82"/>
        <v>64.274600000000007</v>
      </c>
      <c r="R24" s="834">
        <f t="shared" si="82"/>
        <v>27.223999999999997</v>
      </c>
      <c r="S24" s="834">
        <f t="shared" si="82"/>
        <v>45.440800000000017</v>
      </c>
      <c r="T24" s="834">
        <f t="shared" si="82"/>
        <v>72.664800000000014</v>
      </c>
      <c r="U24" s="834">
        <f t="shared" ref="U24" si="83">U212</f>
        <v>47.150999999999996</v>
      </c>
      <c r="V24" s="651">
        <f t="shared" ref="V24:W24" si="84">V212</f>
        <v>44.904000000000011</v>
      </c>
      <c r="W24" s="834">
        <f t="shared" si="84"/>
        <v>92.055000000000007</v>
      </c>
      <c r="X24" s="834">
        <f>X212</f>
        <v>46.99199999999999</v>
      </c>
      <c r="Y24" s="651">
        <f t="shared" ref="Y24:Z24" si="85">Y212</f>
        <v>45.42234000000002</v>
      </c>
      <c r="Z24" s="834">
        <f t="shared" si="85"/>
        <v>92.41434000000001</v>
      </c>
      <c r="AA24" s="834">
        <f t="shared" si="82"/>
        <v>47.579499999999996</v>
      </c>
      <c r="AB24" s="651">
        <f t="shared" si="82"/>
        <v>48.974540000000019</v>
      </c>
      <c r="AC24" s="836">
        <f t="shared" si="82"/>
        <v>96.554040000000015</v>
      </c>
      <c r="AD24" s="651">
        <f t="shared" ref="AD24:AE24" si="86">AD212</f>
        <v>53.026439608080807</v>
      </c>
      <c r="AE24" s="651">
        <f t="shared" si="86"/>
        <v>51.456425048639204</v>
      </c>
      <c r="AF24" s="834">
        <f t="shared" si="82"/>
        <v>104.48286465672001</v>
      </c>
      <c r="AG24" s="651">
        <f t="shared" si="82"/>
        <v>54.510365231636364</v>
      </c>
      <c r="AH24" s="651">
        <f t="shared" si="82"/>
        <v>54.695124907567383</v>
      </c>
      <c r="AI24" s="834">
        <f t="shared" si="82"/>
        <v>109.20549013920375</v>
      </c>
      <c r="AJ24" s="834"/>
      <c r="AK24" s="834"/>
      <c r="AL24" s="834">
        <f t="shared" si="82"/>
        <v>115.30031291974043</v>
      </c>
      <c r="AM24" s="834"/>
      <c r="AN24" s="834"/>
      <c r="AO24" s="834">
        <f t="shared" si="82"/>
        <v>121.14191298560681</v>
      </c>
      <c r="AP24" s="834"/>
      <c r="AQ24" s="834"/>
      <c r="AR24" s="834">
        <f t="shared" si="82"/>
        <v>127.26822219786108</v>
      </c>
      <c r="AS24" s="834"/>
      <c r="AT24" s="834"/>
      <c r="AU24" s="834">
        <f t="shared" si="82"/>
        <v>133.69274654038261</v>
      </c>
      <c r="AV24" s="834"/>
      <c r="AW24" s="834"/>
      <c r="AX24" s="834">
        <f t="shared" ref="AX24:BA24" si="87">AX212</f>
        <v>139.06622565901833</v>
      </c>
      <c r="AY24" s="834"/>
      <c r="AZ24" s="834"/>
      <c r="BA24" s="834">
        <f t="shared" si="87"/>
        <v>144.64358210789584</v>
      </c>
      <c r="BB24" s="834"/>
      <c r="BC24" s="834"/>
      <c r="BD24" s="834">
        <f t="shared" ref="BD24:BG24" si="88">BD212</f>
        <v>150.43226707005209</v>
      </c>
      <c r="BE24" s="834"/>
      <c r="BF24" s="834"/>
      <c r="BG24" s="834">
        <f t="shared" si="88"/>
        <v>156.43999697786887</v>
      </c>
      <c r="BH24" s="834"/>
      <c r="BI24" s="834"/>
      <c r="BJ24" s="834">
        <f t="shared" ref="BJ24" si="89">BJ212</f>
        <v>162.67476277284968</v>
      </c>
      <c r="BK24" s="873"/>
      <c r="BL24" s="865"/>
    </row>
    <row r="25" spans="1:68" s="872" customFormat="1">
      <c r="B25" s="1387" t="s">
        <v>771</v>
      </c>
      <c r="C25" s="867"/>
      <c r="D25" s="867"/>
      <c r="E25" s="867">
        <f t="shared" ref="E25:AI25" si="90">E24/E9</f>
        <v>0.4</v>
      </c>
      <c r="F25" s="867">
        <f t="shared" si="90"/>
        <v>0.44</v>
      </c>
      <c r="G25" s="867">
        <f t="shared" si="90"/>
        <v>0.44</v>
      </c>
      <c r="H25" s="867">
        <f t="shared" si="90"/>
        <v>0.41</v>
      </c>
      <c r="I25" s="867">
        <f t="shared" si="90"/>
        <v>0.441</v>
      </c>
      <c r="J25" s="867">
        <f t="shared" si="90"/>
        <v>0.39385405050836353</v>
      </c>
      <c r="K25" s="868">
        <f t="shared" si="90"/>
        <v>0.41900000000000004</v>
      </c>
      <c r="L25" s="867">
        <f t="shared" si="90"/>
        <v>0.441</v>
      </c>
      <c r="M25" s="867">
        <f t="shared" si="90"/>
        <v>0.3865458715596331</v>
      </c>
      <c r="N25" s="867">
        <f t="shared" si="90"/>
        <v>0.41400000000000003</v>
      </c>
      <c r="O25" s="867">
        <f t="shared" si="90"/>
        <v>0.43</v>
      </c>
      <c r="P25" s="867">
        <f t="shared" si="90"/>
        <v>0.41133407079646017</v>
      </c>
      <c r="Q25" s="867">
        <f t="shared" si="90"/>
        <v>0.41900000000000004</v>
      </c>
      <c r="R25" s="867">
        <f t="shared" si="90"/>
        <v>0.41499999999999998</v>
      </c>
      <c r="S25" s="867">
        <f t="shared" si="90"/>
        <v>0.40864028776978428</v>
      </c>
      <c r="T25" s="867">
        <f t="shared" si="90"/>
        <v>0.41100000000000003</v>
      </c>
      <c r="U25" s="867">
        <f t="shared" si="90"/>
        <v>0.46499999999999991</v>
      </c>
      <c r="V25" s="867">
        <f t="shared" si="90"/>
        <v>0.38979166666666681</v>
      </c>
      <c r="W25" s="867">
        <f t="shared" si="90"/>
        <v>0.42500000000000004</v>
      </c>
      <c r="X25" s="867">
        <f t="shared" si="90"/>
        <v>0.44499999999999995</v>
      </c>
      <c r="Y25" s="867">
        <f t="shared" si="90"/>
        <v>0.38723222506393873</v>
      </c>
      <c r="Z25" s="867">
        <f t="shared" si="90"/>
        <v>0.41460000000000002</v>
      </c>
      <c r="AA25" s="867">
        <f t="shared" si="90"/>
        <v>0.44259999999999994</v>
      </c>
      <c r="AB25" s="867">
        <f t="shared" si="90"/>
        <v>0.39463771152296551</v>
      </c>
      <c r="AC25" s="869">
        <f t="shared" si="90"/>
        <v>0.41690000000000005</v>
      </c>
      <c r="AD25" s="867">
        <f t="shared" si="90"/>
        <v>0.44259999999999994</v>
      </c>
      <c r="AE25" s="867">
        <f t="shared" si="90"/>
        <v>0.39336213211994997</v>
      </c>
      <c r="AF25" s="867">
        <f t="shared" si="90"/>
        <v>0.41690000000000005</v>
      </c>
      <c r="AG25" s="867">
        <f t="shared" si="90"/>
        <v>0.43959999999999994</v>
      </c>
      <c r="AH25" s="867">
        <f t="shared" si="90"/>
        <v>0.39649501059976416</v>
      </c>
      <c r="AI25" s="867">
        <f t="shared" si="90"/>
        <v>0.41690000000000005</v>
      </c>
      <c r="AJ25" s="867"/>
      <c r="AK25" s="867"/>
      <c r="AL25" s="867">
        <f>AL24/AL9</f>
        <v>0.41710000000000003</v>
      </c>
      <c r="AM25" s="867"/>
      <c r="AN25" s="867"/>
      <c r="AO25" s="867">
        <f>AO24/AO9</f>
        <v>0.4173</v>
      </c>
      <c r="AP25" s="867"/>
      <c r="AQ25" s="867"/>
      <c r="AR25" s="867">
        <f>AR24/AR9</f>
        <v>0.41749999999999998</v>
      </c>
      <c r="AS25" s="867"/>
      <c r="AT25" s="867"/>
      <c r="AU25" s="867">
        <f>AU24/AU9</f>
        <v>0.41769999999999996</v>
      </c>
      <c r="AV25" s="867"/>
      <c r="AW25" s="867"/>
      <c r="AX25" s="867">
        <f>AX24/AX9</f>
        <v>0.41789999999999994</v>
      </c>
      <c r="AY25" s="867"/>
      <c r="AZ25" s="867"/>
      <c r="BA25" s="867">
        <f>BA24/BA9</f>
        <v>0.41809999999999997</v>
      </c>
      <c r="BB25" s="867"/>
      <c r="BC25" s="867"/>
      <c r="BD25" s="867">
        <f>BD24/BD9</f>
        <v>0.41829999999999989</v>
      </c>
      <c r="BE25" s="867"/>
      <c r="BF25" s="867"/>
      <c r="BG25" s="867">
        <f>BG24/BG9</f>
        <v>0.41849999999999987</v>
      </c>
      <c r="BH25" s="867"/>
      <c r="BI25" s="867"/>
      <c r="BJ25" s="867">
        <f>BJ24/BJ9</f>
        <v>0.41869999999999985</v>
      </c>
      <c r="BK25" s="870"/>
      <c r="BL25" s="871"/>
    </row>
    <row r="26" spans="1:68" s="839" customFormat="1">
      <c r="A26" s="1324"/>
      <c r="B26" s="844" t="s">
        <v>248</v>
      </c>
      <c r="C26" s="651">
        <f>C357</f>
        <v>222.59759999999997</v>
      </c>
      <c r="D26" s="651">
        <f>E26-C26</f>
        <v>153.21030000000039</v>
      </c>
      <c r="E26" s="834">
        <f>E357</f>
        <v>375.80790000000036</v>
      </c>
      <c r="F26" s="651">
        <f>F357</f>
        <v>227.12197590214066</v>
      </c>
      <c r="G26" s="651">
        <f>H26-F26</f>
        <v>159.09474419899709</v>
      </c>
      <c r="H26" s="834">
        <f>H357</f>
        <v>386.21672010113775</v>
      </c>
      <c r="I26" s="651">
        <f>I357</f>
        <v>238.27901241590212</v>
      </c>
      <c r="J26" s="651">
        <f>K26-I26</f>
        <v>164.64295661064648</v>
      </c>
      <c r="K26" s="835">
        <f>K357</f>
        <v>402.9219690265486</v>
      </c>
      <c r="L26" s="651">
        <f>L357</f>
        <v>244.26</v>
      </c>
      <c r="M26" s="651">
        <f>N26-L26</f>
        <v>207.53099999999995</v>
      </c>
      <c r="N26" s="834">
        <f>N357</f>
        <v>451.79099999999994</v>
      </c>
      <c r="O26" s="834">
        <f>O357</f>
        <v>305.613</v>
      </c>
      <c r="P26" s="834">
        <f>Q26-O26</f>
        <v>262.96199999999993</v>
      </c>
      <c r="Q26" s="834">
        <f>Q357</f>
        <v>568.57499999999993</v>
      </c>
      <c r="R26" s="834">
        <f>R357</f>
        <v>290.68799999999999</v>
      </c>
      <c r="S26" s="834">
        <f>T26-R26</f>
        <v>275.3626999999999</v>
      </c>
      <c r="T26" s="834">
        <f>T357</f>
        <v>566.05069999999989</v>
      </c>
      <c r="U26" s="834">
        <f>U357</f>
        <v>327.31199999999995</v>
      </c>
      <c r="V26" s="651">
        <f>W26-U26</f>
        <v>276.27529999999996</v>
      </c>
      <c r="W26" s="834">
        <f>W357</f>
        <v>603.58729999999991</v>
      </c>
      <c r="X26" s="834">
        <f>X357</f>
        <v>318.2817</v>
      </c>
      <c r="Y26" s="651">
        <f>Z26-X26</f>
        <v>261.6466999999999</v>
      </c>
      <c r="Z26" s="834">
        <f>Z357</f>
        <v>579.9283999999999</v>
      </c>
      <c r="AA26" s="834">
        <f>AA357</f>
        <v>323.577</v>
      </c>
      <c r="AB26" s="651">
        <f>AC26-AA26</f>
        <v>271.52959999999996</v>
      </c>
      <c r="AC26" s="836">
        <f t="shared" ref="AC26:AU26" si="91">AC357</f>
        <v>595.10659999999996</v>
      </c>
      <c r="AD26" s="651">
        <f>AD357</f>
        <v>337.60132987010866</v>
      </c>
      <c r="AE26" s="651">
        <f>AF26-AD26</f>
        <v>289.77483623426508</v>
      </c>
      <c r="AF26" s="834">
        <f t="shared" si="91"/>
        <v>627.37616610437374</v>
      </c>
      <c r="AG26" s="651">
        <f>AG357</f>
        <v>358.44157869128679</v>
      </c>
      <c r="AH26" s="651">
        <f>AI26-AG26</f>
        <v>304.32156307823294</v>
      </c>
      <c r="AI26" s="834">
        <f t="shared" si="91"/>
        <v>662.76314176951973</v>
      </c>
      <c r="AJ26" s="834"/>
      <c r="AK26" s="834"/>
      <c r="AL26" s="834">
        <f t="shared" si="91"/>
        <v>692.45111672501002</v>
      </c>
      <c r="AM26" s="834"/>
      <c r="AN26" s="834"/>
      <c r="AO26" s="834">
        <f t="shared" si="91"/>
        <v>722.38094197582643</v>
      </c>
      <c r="AP26" s="834"/>
      <c r="AQ26" s="834"/>
      <c r="AR26" s="834">
        <f t="shared" si="91"/>
        <v>753.50308255140385</v>
      </c>
      <c r="AS26" s="834"/>
      <c r="AT26" s="834"/>
      <c r="AU26" s="834">
        <f t="shared" si="91"/>
        <v>785.86274441919613</v>
      </c>
      <c r="AV26" s="834"/>
      <c r="AW26" s="834"/>
      <c r="AX26" s="834">
        <f t="shared" ref="AX26:BA26" si="92">AX357</f>
        <v>819.5067913008844</v>
      </c>
      <c r="AY26" s="834"/>
      <c r="AZ26" s="834"/>
      <c r="BA26" s="834">
        <f t="shared" si="92"/>
        <v>854.48380401771419</v>
      </c>
      <c r="BB26" s="834"/>
      <c r="BC26" s="834"/>
      <c r="BD26" s="834">
        <f t="shared" ref="BD26:BG26" si="93">BD357</f>
        <v>890.8441419218733</v>
      </c>
      <c r="BE26" s="834"/>
      <c r="BF26" s="834"/>
      <c r="BG26" s="834">
        <f t="shared" si="93"/>
        <v>928.64000648619162</v>
      </c>
      <c r="BH26" s="834"/>
      <c r="BI26" s="834"/>
      <c r="BJ26" s="834">
        <f t="shared" ref="BJ26" si="94">BJ357</f>
        <v>967.92550712692127</v>
      </c>
      <c r="BK26" s="873"/>
      <c r="BL26" s="865"/>
    </row>
    <row r="27" spans="1:68" s="872" customFormat="1">
      <c r="B27" s="1387" t="s">
        <v>771</v>
      </c>
      <c r="C27" s="867"/>
      <c r="D27" s="867"/>
      <c r="E27" s="867">
        <f t="shared" ref="E27:AU27" si="95">E26/E$10</f>
        <v>0.39592067003792702</v>
      </c>
      <c r="F27" s="867">
        <f t="shared" si="95"/>
        <v>0.45081773700305805</v>
      </c>
      <c r="G27" s="867">
        <f t="shared" si="95"/>
        <v>0.33465448927008218</v>
      </c>
      <c r="H27" s="867">
        <f t="shared" si="95"/>
        <v>0.39442067003792664</v>
      </c>
      <c r="I27" s="867">
        <f t="shared" si="95"/>
        <v>0.45481773700305805</v>
      </c>
      <c r="J27" s="867">
        <f t="shared" si="95"/>
        <v>0.33430041951400302</v>
      </c>
      <c r="K27" s="868">
        <f t="shared" si="95"/>
        <v>0.39642067003792658</v>
      </c>
      <c r="L27" s="867">
        <f t="shared" si="95"/>
        <v>0.45</v>
      </c>
      <c r="M27" s="867">
        <f t="shared" si="95"/>
        <v>0.41857805566760786</v>
      </c>
      <c r="N27" s="867">
        <f t="shared" si="95"/>
        <v>0.435</v>
      </c>
      <c r="O27" s="867">
        <f t="shared" si="95"/>
        <v>0.49</v>
      </c>
      <c r="P27" s="867">
        <f t="shared" si="95"/>
        <v>0.45868131868131862</v>
      </c>
      <c r="Q27" s="867">
        <f t="shared" si="95"/>
        <v>0.47499999999999992</v>
      </c>
      <c r="R27" s="867">
        <f t="shared" si="95"/>
        <v>0.48</v>
      </c>
      <c r="S27" s="867">
        <f t="shared" si="95"/>
        <v>0.45401929101401478</v>
      </c>
      <c r="T27" s="867">
        <f t="shared" si="95"/>
        <v>0.46699999999999997</v>
      </c>
      <c r="U27" s="867">
        <f t="shared" ref="U27" si="96">U26/U$10</f>
        <v>0.47999999999999993</v>
      </c>
      <c r="V27" s="867">
        <f t="shared" ref="V27:W27" si="97">V26/V$10</f>
        <v>0.44034953777494418</v>
      </c>
      <c r="W27" s="867">
        <f t="shared" si="97"/>
        <v>0.46099999999999997</v>
      </c>
      <c r="X27" s="867">
        <f>X26/X$10</f>
        <v>0.47300000000000003</v>
      </c>
      <c r="Y27" s="867">
        <f t="shared" ref="Y27:Z27" si="98">Y26/Y$10</f>
        <v>0.42289752707289469</v>
      </c>
      <c r="Z27" s="867">
        <f t="shared" si="98"/>
        <v>0.44899999999999995</v>
      </c>
      <c r="AA27" s="867">
        <f t="shared" si="95"/>
        <v>0.45800000000000002</v>
      </c>
      <c r="AB27" s="867">
        <f t="shared" si="95"/>
        <v>0.41435922478254233</v>
      </c>
      <c r="AC27" s="869">
        <f t="shared" si="95"/>
        <v>0.437</v>
      </c>
      <c r="AD27" s="867">
        <f t="shared" ref="AD27:AE27" si="99">AD26/AD$10</f>
        <v>0.45899999999999996</v>
      </c>
      <c r="AE27" s="867">
        <f t="shared" si="99"/>
        <v>0.41583483557292289</v>
      </c>
      <c r="AF27" s="867">
        <f t="shared" si="95"/>
        <v>0.43799999999999994</v>
      </c>
      <c r="AG27" s="867">
        <f t="shared" si="95"/>
        <v>0.45899999999999996</v>
      </c>
      <c r="AH27" s="867">
        <f t="shared" si="95"/>
        <v>0.41658552807996668</v>
      </c>
      <c r="AI27" s="867">
        <f t="shared" si="95"/>
        <v>0.43849999999999995</v>
      </c>
      <c r="AJ27" s="867"/>
      <c r="AK27" s="867"/>
      <c r="AL27" s="867">
        <f t="shared" si="95"/>
        <v>0.43949999999999995</v>
      </c>
      <c r="AM27" s="867"/>
      <c r="AN27" s="867"/>
      <c r="AO27" s="867">
        <f t="shared" si="95"/>
        <v>0.43989999999999996</v>
      </c>
      <c r="AP27" s="867"/>
      <c r="AQ27" s="867"/>
      <c r="AR27" s="867">
        <f t="shared" si="95"/>
        <v>0.44029999999999997</v>
      </c>
      <c r="AS27" s="867"/>
      <c r="AT27" s="867"/>
      <c r="AU27" s="867">
        <f t="shared" si="95"/>
        <v>0.44069999999999998</v>
      </c>
      <c r="AV27" s="867"/>
      <c r="AW27" s="867"/>
      <c r="AX27" s="867">
        <f t="shared" ref="AX27:BA27" si="100">AX26/AX$10</f>
        <v>0.44109999999999999</v>
      </c>
      <c r="AY27" s="867"/>
      <c r="AZ27" s="867"/>
      <c r="BA27" s="867">
        <f t="shared" si="100"/>
        <v>0.4415</v>
      </c>
      <c r="BB27" s="867"/>
      <c r="BC27" s="867"/>
      <c r="BD27" s="867">
        <f t="shared" ref="BD27:BG27" si="101">BD26/BD$10</f>
        <v>0.44190000000000002</v>
      </c>
      <c r="BE27" s="867"/>
      <c r="BF27" s="867"/>
      <c r="BG27" s="867">
        <f t="shared" si="101"/>
        <v>0.44230000000000003</v>
      </c>
      <c r="BH27" s="867"/>
      <c r="BI27" s="867"/>
      <c r="BJ27" s="867">
        <f t="shared" ref="BJ27" si="102">BJ26/BJ$10</f>
        <v>0.44270000000000004</v>
      </c>
      <c r="BK27" s="870"/>
      <c r="BL27" s="871"/>
    </row>
    <row r="28" spans="1:68" s="848" customFormat="1">
      <c r="B28" s="844" t="s">
        <v>147</v>
      </c>
      <c r="C28" s="652">
        <f>C359</f>
        <v>0</v>
      </c>
      <c r="D28" s="652">
        <f>E28-C28</f>
        <v>1100.4628999999998</v>
      </c>
      <c r="E28" s="845">
        <f>MODEL!E10</f>
        <v>1100.4628999999998</v>
      </c>
      <c r="F28" s="845">
        <f>MODEL!F10</f>
        <v>591.44246575342459</v>
      </c>
      <c r="G28" s="845">
        <f>MODEL!G10</f>
        <v>563.45753424657551</v>
      </c>
      <c r="H28" s="845">
        <f>MODEL!H10</f>
        <v>1154.9000000000001</v>
      </c>
      <c r="I28" s="845">
        <f>MODEL!I10</f>
        <v>631.39999999999986</v>
      </c>
      <c r="J28" s="845">
        <f>MODEL!J10</f>
        <v>593.59999999999991</v>
      </c>
      <c r="K28" s="846">
        <f>MODEL!K10</f>
        <v>1224.9999999999998</v>
      </c>
      <c r="L28" s="845">
        <f>MODEL!L10</f>
        <v>649.59999999999991</v>
      </c>
      <c r="M28" s="845">
        <f>MODEL!M10</f>
        <v>620.69999999999982</v>
      </c>
      <c r="N28" s="845">
        <f>MODEL!N10</f>
        <v>1270.2999999999997</v>
      </c>
      <c r="O28" s="845">
        <f>MODEL!O10</f>
        <v>847.1</v>
      </c>
      <c r="P28" s="845">
        <f>MODEL!P10</f>
        <v>808.79999999999984</v>
      </c>
      <c r="Q28" s="845">
        <f>MODEL!Q10</f>
        <v>1655.8999999999999</v>
      </c>
      <c r="R28" s="845">
        <f>MODEL!R10</f>
        <v>794.5999999999998</v>
      </c>
      <c r="S28" s="845">
        <f>T28-R28</f>
        <v>866.10000000000025</v>
      </c>
      <c r="T28" s="845">
        <f>MODEL!T10</f>
        <v>1660.7</v>
      </c>
      <c r="U28" s="845">
        <f>MODEL!U10</f>
        <v>904.30000000000018</v>
      </c>
      <c r="V28" s="845">
        <f>V20+V22+V24+V26</f>
        <v>853.59999999999991</v>
      </c>
      <c r="W28" s="845">
        <f>MODEL!W10</f>
        <v>1757.9</v>
      </c>
      <c r="X28" s="845">
        <f>MODEL!X10</f>
        <v>940.39999999999986</v>
      </c>
      <c r="Y28" s="845">
        <f>Y20+Y22+Y24+Y26</f>
        <v>857.9000000000002</v>
      </c>
      <c r="Z28" s="845">
        <f>MODEL!Z10</f>
        <v>1798.3000000000002</v>
      </c>
      <c r="AA28" s="845">
        <f>MODEL!AA10</f>
        <v>961.49999999999977</v>
      </c>
      <c r="AB28" s="845">
        <f>AB20+AB22+AB24+AB26</f>
        <v>900.70000000000073</v>
      </c>
      <c r="AC28" s="847">
        <f>MODEL!AC10</f>
        <v>1862.2000000000003</v>
      </c>
      <c r="AD28" s="845">
        <f t="shared" ref="AD28:AI28" si="103">AD20+AD22+AD24+AD26</f>
        <v>1006.192122120965</v>
      </c>
      <c r="AE28" s="845">
        <f t="shared" si="103"/>
        <v>951.4870351097635</v>
      </c>
      <c r="AF28" s="845">
        <f t="shared" si="103"/>
        <v>1957.6791572307284</v>
      </c>
      <c r="AG28" s="845">
        <f t="shared" si="103"/>
        <v>1053.5779469479983</v>
      </c>
      <c r="AH28" s="845">
        <f t="shared" si="103"/>
        <v>1005.3019055071579</v>
      </c>
      <c r="AI28" s="845">
        <f t="shared" si="103"/>
        <v>2058.8798524551567</v>
      </c>
      <c r="AJ28" s="845"/>
      <c r="AK28" s="845"/>
      <c r="AL28" s="845">
        <f>AL20+AL22+AL24+AL26</f>
        <v>2158.4487781025409</v>
      </c>
      <c r="AM28" s="845"/>
      <c r="AN28" s="845"/>
      <c r="AO28" s="845">
        <f>AO20+AO22+AO24+AO26</f>
        <v>2256.1163315910335</v>
      </c>
      <c r="AP28" s="845"/>
      <c r="AQ28" s="845"/>
      <c r="AR28" s="845">
        <f>AR20+AR22+AR24+AR26</f>
        <v>2349.825367375146</v>
      </c>
      <c r="AS28" s="845"/>
      <c r="AT28" s="845"/>
      <c r="AU28" s="845">
        <f>AU20+AU22+AU24+AU26</f>
        <v>2437.6700531584938</v>
      </c>
      <c r="AV28" s="845"/>
      <c r="AW28" s="845"/>
      <c r="AX28" s="845">
        <f>AX20+AX22+AX24+AX26</f>
        <v>2517.7045823758544</v>
      </c>
      <c r="AY28" s="845"/>
      <c r="AZ28" s="845"/>
      <c r="BA28" s="845">
        <f>BA20+BA22+BA24+BA26</f>
        <v>2600.4213921769278</v>
      </c>
      <c r="BB28" s="845"/>
      <c r="BC28" s="845"/>
      <c r="BD28" s="845">
        <f>BD20+BD22+BD24+BD26</f>
        <v>2685.9115915794187</v>
      </c>
      <c r="BE28" s="845"/>
      <c r="BF28" s="845"/>
      <c r="BG28" s="845">
        <f>BG20+BG22+BG24+BG26</f>
        <v>2774.2694066557751</v>
      </c>
      <c r="BH28" s="845"/>
      <c r="BI28" s="845"/>
      <c r="BJ28" s="845">
        <f>BJ20+BJ22+BJ24+BJ26</f>
        <v>2865.5922874553653</v>
      </c>
      <c r="BK28" s="873"/>
      <c r="BL28" s="865"/>
    </row>
    <row r="29" spans="1:68" s="872" customFormat="1">
      <c r="B29" s="1387" t="s">
        <v>771</v>
      </c>
      <c r="C29" s="867"/>
      <c r="D29" s="867"/>
      <c r="E29" s="867">
        <f t="shared" ref="E29:K29" si="104">E28/SUM(E7:E10)</f>
        <v>0.44769517492819239</v>
      </c>
      <c r="F29" s="867">
        <f t="shared" si="104"/>
        <v>0.44811595406259563</v>
      </c>
      <c r="G29" s="867">
        <f t="shared" si="104"/>
        <v>0.45237375131563473</v>
      </c>
      <c r="H29" s="867">
        <f t="shared" si="104"/>
        <v>0.4501832072971077</v>
      </c>
      <c r="I29" s="867">
        <f t="shared" si="104"/>
        <v>0.44997149372862028</v>
      </c>
      <c r="J29" s="867">
        <f t="shared" si="104"/>
        <v>0.45410036719706232</v>
      </c>
      <c r="K29" s="868">
        <f t="shared" si="104"/>
        <v>0.45196280991735532</v>
      </c>
      <c r="L29" s="867">
        <f>MODEL!L11</f>
        <v>0.44998614574674423</v>
      </c>
      <c r="M29" s="867">
        <f>MODEL!M11</f>
        <v>0.44919669995657835</v>
      </c>
      <c r="N29" s="867">
        <f>MODEL!N11</f>
        <v>0.44960005662914981</v>
      </c>
      <c r="O29" s="867">
        <f>MODEL!O11</f>
        <v>0.47678279957224068</v>
      </c>
      <c r="P29" s="867">
        <f>MODEL!P11</f>
        <v>0.48246241947029345</v>
      </c>
      <c r="Q29" s="867">
        <f>MODEL!Q11</f>
        <v>0.47954012336740898</v>
      </c>
      <c r="R29" s="867">
        <f>MODEL!R11</f>
        <v>0.46598639455782304</v>
      </c>
      <c r="S29" s="867">
        <f>S28/SUM(S7:S10)</f>
        <v>0.46750512792831711</v>
      </c>
      <c r="T29" s="867">
        <f>MODEL!T11</f>
        <v>0.46767107856941709</v>
      </c>
      <c r="U29" s="867">
        <f>MODEL!U11</f>
        <v>0.46175449346405234</v>
      </c>
      <c r="V29" s="867">
        <f>V28/V12</f>
        <v>0.46280633268271515</v>
      </c>
      <c r="W29" s="867">
        <f>MODEL!W11</f>
        <v>0.46226464710213527</v>
      </c>
      <c r="X29" s="867">
        <f t="shared" ref="X29:AI29" si="105">X28/X12</f>
        <v>0.46545238566620467</v>
      </c>
      <c r="Y29" s="867">
        <f t="shared" si="105"/>
        <v>0.46064218213058428</v>
      </c>
      <c r="Z29" s="867">
        <f t="shared" si="105"/>
        <v>0.46314515298238385</v>
      </c>
      <c r="AA29" s="867">
        <f t="shared" si="105"/>
        <v>0.4562927107061503</v>
      </c>
      <c r="AB29" s="867">
        <f t="shared" si="105"/>
        <v>0.45774254205417531</v>
      </c>
      <c r="AC29" s="869">
        <f t="shared" si="105"/>
        <v>0.4569928096395004</v>
      </c>
      <c r="AD29" s="867">
        <f t="shared" si="105"/>
        <v>0.4581696284409903</v>
      </c>
      <c r="AE29" s="867">
        <f t="shared" si="105"/>
        <v>0.45701841645183816</v>
      </c>
      <c r="AF29" s="867">
        <f t="shared" si="105"/>
        <v>0.45760938357939818</v>
      </c>
      <c r="AG29" s="867">
        <f t="shared" si="105"/>
        <v>0.45824967483829981</v>
      </c>
      <c r="AH29" s="867">
        <f t="shared" si="105"/>
        <v>0.4575618780255814</v>
      </c>
      <c r="AI29" s="867">
        <f t="shared" si="105"/>
        <v>0.45791358192736953</v>
      </c>
      <c r="AJ29" s="867"/>
      <c r="AK29" s="867"/>
      <c r="AL29" s="867">
        <f>AL28/AL12</f>
        <v>0.45818774012782404</v>
      </c>
      <c r="AM29" s="867"/>
      <c r="AN29" s="867"/>
      <c r="AO29" s="867">
        <f>AO28/AO12</f>
        <v>0.45841382026124905</v>
      </c>
      <c r="AP29" s="867"/>
      <c r="AQ29" s="867"/>
      <c r="AR29" s="867">
        <f>AR28/AR12</f>
        <v>0.458600088176498</v>
      </c>
      <c r="AS29" s="867"/>
      <c r="AT29" s="867"/>
      <c r="AU29" s="867">
        <f>AU28/AU12</f>
        <v>0.45871604106221431</v>
      </c>
      <c r="AV29" s="867"/>
      <c r="AW29" s="867"/>
      <c r="AX29" s="867">
        <f>AX28/AX12</f>
        <v>0.45861948142499087</v>
      </c>
      <c r="AY29" s="867"/>
      <c r="AZ29" s="867"/>
      <c r="BA29" s="867">
        <f>BA28/BA12</f>
        <v>0.45852569954699068</v>
      </c>
      <c r="BB29" s="867"/>
      <c r="BC29" s="867"/>
      <c r="BD29" s="867">
        <f>BD28/BD12</f>
        <v>0.45843468092336992</v>
      </c>
      <c r="BE29" s="867"/>
      <c r="BF29" s="867"/>
      <c r="BG29" s="867">
        <f>BG28/BG12</f>
        <v>0.45834641100008383</v>
      </c>
      <c r="BH29" s="867"/>
      <c r="BI29" s="867"/>
      <c r="BJ29" s="867">
        <f>BJ28/BJ12</f>
        <v>0.4582608751693682</v>
      </c>
      <c r="BK29" s="870"/>
      <c r="BL29" s="871"/>
    </row>
    <row r="30" spans="1:68" s="861" customFormat="1">
      <c r="B30" s="854"/>
      <c r="C30" s="855"/>
      <c r="D30" s="855"/>
      <c r="E30" s="855"/>
      <c r="F30" s="855">
        <f>F28/H28</f>
        <v>0.51211573794564424</v>
      </c>
      <c r="G30" s="855">
        <f>1-F30</f>
        <v>0.48788426205435576</v>
      </c>
      <c r="H30" s="855"/>
      <c r="I30" s="855">
        <f>I28/K28</f>
        <v>0.51542857142857146</v>
      </c>
      <c r="J30" s="855">
        <f>1-I30</f>
        <v>0.48457142857142854</v>
      </c>
      <c r="K30" s="856"/>
      <c r="L30" s="855">
        <f>L28/N28</f>
        <v>0.51137526568527125</v>
      </c>
      <c r="M30" s="855">
        <f>1-L30</f>
        <v>0.48862473431472875</v>
      </c>
      <c r="N30" s="855"/>
      <c r="O30" s="855">
        <f>O28/Q28</f>
        <v>0.51156470801376897</v>
      </c>
      <c r="P30" s="855">
        <f>1-O30</f>
        <v>0.48843529198623103</v>
      </c>
      <c r="Q30" s="855"/>
      <c r="R30" s="855">
        <f>R28/T28</f>
        <v>0.47847293310049965</v>
      </c>
      <c r="S30" s="855">
        <f>1-R30</f>
        <v>0.52152706689950035</v>
      </c>
      <c r="T30" s="855"/>
      <c r="U30" s="855">
        <f>U28/W28</f>
        <v>0.51442061550713925</v>
      </c>
      <c r="V30" s="855">
        <f>1-U30</f>
        <v>0.48557938449286075</v>
      </c>
      <c r="W30" s="855"/>
      <c r="X30" s="855"/>
      <c r="Y30" s="855"/>
      <c r="Z30" s="855"/>
      <c r="AA30" s="855"/>
      <c r="AB30" s="855"/>
      <c r="AC30" s="874"/>
      <c r="AD30" s="855"/>
      <c r="AE30" s="855"/>
      <c r="AF30" s="855"/>
      <c r="AG30" s="855"/>
      <c r="AH30" s="855"/>
      <c r="AI30" s="855"/>
      <c r="AJ30" s="855"/>
      <c r="AK30" s="855"/>
      <c r="AL30" s="855"/>
      <c r="AM30" s="855"/>
      <c r="AN30" s="855"/>
      <c r="AO30" s="855"/>
      <c r="AP30" s="855"/>
      <c r="AQ30" s="855"/>
      <c r="AR30" s="855"/>
      <c r="AS30" s="855"/>
      <c r="AT30" s="855"/>
      <c r="AU30" s="855"/>
      <c r="AV30" s="855"/>
      <c r="AW30" s="855"/>
      <c r="AX30" s="855"/>
      <c r="AY30" s="855"/>
      <c r="AZ30" s="855"/>
      <c r="BA30" s="855"/>
      <c r="BB30" s="855"/>
      <c r="BC30" s="855"/>
      <c r="BD30" s="855"/>
      <c r="BE30" s="855"/>
      <c r="BF30" s="855"/>
      <c r="BG30" s="855"/>
      <c r="BH30" s="855"/>
      <c r="BI30" s="855"/>
      <c r="BJ30" s="855"/>
      <c r="BK30" s="859"/>
      <c r="BL30" s="860"/>
    </row>
    <row r="31" spans="1:68" s="872" customFormat="1">
      <c r="B31" s="875"/>
      <c r="C31" s="876"/>
      <c r="D31" s="876"/>
      <c r="E31" s="876"/>
      <c r="F31" s="876"/>
      <c r="G31" s="876"/>
      <c r="H31" s="876"/>
      <c r="I31" s="876"/>
      <c r="J31" s="876"/>
      <c r="K31" s="876"/>
      <c r="L31" s="876"/>
      <c r="M31" s="876"/>
      <c r="N31" s="876"/>
      <c r="O31" s="876"/>
      <c r="P31" s="876"/>
      <c r="Q31" s="876"/>
      <c r="R31" s="876"/>
      <c r="S31" s="876"/>
      <c r="T31" s="876"/>
      <c r="U31" s="876"/>
      <c r="V31" s="876"/>
      <c r="W31" s="876"/>
      <c r="X31" s="876"/>
      <c r="Y31" s="876"/>
      <c r="Z31" s="876"/>
      <c r="AA31" s="1415"/>
      <c r="AB31" s="1415"/>
      <c r="AC31" s="1415"/>
      <c r="AD31" s="1415"/>
      <c r="AE31" s="1415"/>
      <c r="AF31" s="1415"/>
      <c r="AG31" s="876"/>
      <c r="AH31" s="876"/>
      <c r="AI31" s="876"/>
      <c r="AJ31" s="876"/>
      <c r="AK31" s="876"/>
      <c r="AL31" s="876"/>
      <c r="AM31" s="876"/>
      <c r="AN31" s="876"/>
      <c r="AO31" s="876"/>
      <c r="AP31" s="876"/>
      <c r="AQ31" s="876"/>
      <c r="AR31" s="876"/>
      <c r="AS31" s="876"/>
      <c r="AT31" s="876"/>
      <c r="AU31" s="876"/>
      <c r="AV31" s="876"/>
      <c r="AW31" s="876"/>
      <c r="AX31" s="876"/>
      <c r="AY31" s="876"/>
      <c r="AZ31" s="876"/>
      <c r="BA31" s="876"/>
      <c r="BB31" s="876"/>
      <c r="BC31" s="876"/>
      <c r="BD31" s="876"/>
      <c r="BE31" s="876"/>
      <c r="BF31" s="876"/>
      <c r="BG31" s="876"/>
      <c r="BH31" s="876"/>
      <c r="BI31" s="876"/>
      <c r="BJ31" s="876"/>
      <c r="BK31" s="870"/>
      <c r="BL31" s="871"/>
    </row>
    <row r="32" spans="1:68" s="839" customFormat="1">
      <c r="B32" s="848" t="s">
        <v>70</v>
      </c>
      <c r="C32" s="651"/>
      <c r="D32" s="651"/>
      <c r="E32" s="834"/>
      <c r="F32" s="651"/>
      <c r="G32" s="651"/>
      <c r="H32" s="834"/>
      <c r="I32" s="852">
        <f>I38/K38</f>
        <v>0.54581323980710217</v>
      </c>
      <c r="J32" s="651"/>
      <c r="K32" s="835"/>
      <c r="L32" s="651"/>
      <c r="M32" s="651"/>
      <c r="N32" s="852"/>
      <c r="O32" s="852"/>
      <c r="P32" s="852"/>
      <c r="Q32" s="852"/>
      <c r="R32" s="852"/>
      <c r="S32" s="852"/>
      <c r="T32" s="852"/>
      <c r="U32" s="852"/>
      <c r="V32" s="852"/>
      <c r="W32" s="852"/>
      <c r="X32" s="852"/>
      <c r="Y32" s="852"/>
      <c r="Z32" s="852"/>
      <c r="AA32" s="852"/>
      <c r="AB32" s="852"/>
      <c r="AC32" s="853"/>
      <c r="AD32" s="852"/>
      <c r="AE32" s="852"/>
      <c r="AF32" s="852"/>
      <c r="AG32" s="852"/>
      <c r="AH32" s="852"/>
      <c r="AI32" s="852"/>
      <c r="AJ32" s="852"/>
      <c r="AK32" s="852"/>
      <c r="AL32" s="852"/>
      <c r="AM32" s="852"/>
      <c r="AN32" s="852"/>
      <c r="AO32" s="852"/>
      <c r="AP32" s="852"/>
      <c r="AQ32" s="852"/>
      <c r="AR32" s="852"/>
      <c r="AS32" s="852"/>
      <c r="AT32" s="852"/>
      <c r="AU32" s="852"/>
      <c r="AV32" s="852"/>
      <c r="AW32" s="852"/>
      <c r="AX32" s="852"/>
      <c r="AY32" s="852"/>
      <c r="AZ32" s="852"/>
      <c r="BA32" s="852"/>
      <c r="BB32" s="852"/>
      <c r="BC32" s="852"/>
      <c r="BD32" s="852"/>
      <c r="BE32" s="852"/>
      <c r="BF32" s="852"/>
      <c r="BG32" s="852"/>
      <c r="BH32" s="852"/>
      <c r="BI32" s="852"/>
      <c r="BJ32" s="852"/>
      <c r="BK32" s="837"/>
      <c r="BL32" s="838"/>
    </row>
    <row r="33" spans="2:66" s="839" customFormat="1">
      <c r="B33" s="833" t="s">
        <v>247</v>
      </c>
      <c r="C33" s="651">
        <f>C90+C133</f>
        <v>53.6</v>
      </c>
      <c r="D33" s="651">
        <f>E33-C33</f>
        <v>57.4</v>
      </c>
      <c r="E33" s="834">
        <f t="shared" ref="E33:AU33" si="106">E90</f>
        <v>111</v>
      </c>
      <c r="F33" s="651">
        <f t="shared" si="106"/>
        <v>55.7</v>
      </c>
      <c r="G33" s="651">
        <f t="shared" si="106"/>
        <v>60.7</v>
      </c>
      <c r="H33" s="834">
        <f t="shared" si="106"/>
        <v>116.4</v>
      </c>
      <c r="I33" s="651">
        <f t="shared" si="106"/>
        <v>57.1</v>
      </c>
      <c r="J33" s="651">
        <f t="shared" si="106"/>
        <v>63.499999999999993</v>
      </c>
      <c r="K33" s="835">
        <f t="shared" si="106"/>
        <v>120.6</v>
      </c>
      <c r="L33" s="651">
        <f t="shared" si="106"/>
        <v>60.9</v>
      </c>
      <c r="M33" s="651">
        <f t="shared" si="106"/>
        <v>80.699999999999989</v>
      </c>
      <c r="N33" s="834">
        <f t="shared" si="106"/>
        <v>141.6</v>
      </c>
      <c r="O33" s="834">
        <f t="shared" si="106"/>
        <v>109</v>
      </c>
      <c r="P33" s="834">
        <f t="shared" si="106"/>
        <v>95.199999999999989</v>
      </c>
      <c r="Q33" s="834">
        <f t="shared" si="106"/>
        <v>204.2</v>
      </c>
      <c r="R33" s="834">
        <f t="shared" si="106"/>
        <v>82.9</v>
      </c>
      <c r="S33" s="834">
        <f t="shared" si="106"/>
        <v>107.69999999999999</v>
      </c>
      <c r="T33" s="834">
        <f t="shared" si="106"/>
        <v>190.6</v>
      </c>
      <c r="U33" s="834">
        <f t="shared" ref="U33" si="107">U90</f>
        <v>115.69999999999999</v>
      </c>
      <c r="V33" s="651">
        <f t="shared" ref="V33:W33" si="108">V90</f>
        <v>103.70000000000002</v>
      </c>
      <c r="W33" s="834">
        <f t="shared" si="108"/>
        <v>219.4</v>
      </c>
      <c r="X33" s="834">
        <f t="shared" ref="X33:Y33" si="109">X90</f>
        <v>116.1</v>
      </c>
      <c r="Y33" s="651">
        <f t="shared" si="109"/>
        <v>105.69999999999999</v>
      </c>
      <c r="Z33" s="834">
        <f t="shared" si="106"/>
        <v>221.79999999999998</v>
      </c>
      <c r="AA33" s="834">
        <f t="shared" si="106"/>
        <v>108.39999999999999</v>
      </c>
      <c r="AB33" s="651">
        <f t="shared" si="106"/>
        <v>110.00000000000004</v>
      </c>
      <c r="AC33" s="836">
        <f t="shared" si="106"/>
        <v>218.40000000000003</v>
      </c>
      <c r="AD33" s="651">
        <f t="shared" ref="AD33:AE33" si="110">AD90</f>
        <v>115.23382862193678</v>
      </c>
      <c r="AE33" s="651">
        <f t="shared" si="110"/>
        <v>117.63129033533603</v>
      </c>
      <c r="AF33" s="834">
        <f t="shared" si="106"/>
        <v>232.86511895727281</v>
      </c>
      <c r="AG33" s="651">
        <f t="shared" si="106"/>
        <v>120.16229626436834</v>
      </c>
      <c r="AH33" s="651">
        <f t="shared" si="106"/>
        <v>127.51928438050382</v>
      </c>
      <c r="AI33" s="834">
        <f t="shared" si="106"/>
        <v>247.68158064487216</v>
      </c>
      <c r="AJ33" s="834"/>
      <c r="AK33" s="834"/>
      <c r="AL33" s="834">
        <f t="shared" si="106"/>
        <v>259.8505274050313</v>
      </c>
      <c r="AM33" s="834"/>
      <c r="AN33" s="834"/>
      <c r="AO33" s="834">
        <f t="shared" si="106"/>
        <v>273.26082394555863</v>
      </c>
      <c r="AP33" s="834"/>
      <c r="AQ33" s="834"/>
      <c r="AR33" s="834">
        <f t="shared" si="106"/>
        <v>284.79202556854398</v>
      </c>
      <c r="AS33" s="834"/>
      <c r="AT33" s="834"/>
      <c r="AU33" s="834">
        <f t="shared" si="106"/>
        <v>294.84373358737037</v>
      </c>
      <c r="AV33" s="834"/>
      <c r="AW33" s="834"/>
      <c r="AX33" s="834">
        <f t="shared" ref="AX33:BA33" si="111">AX90</f>
        <v>302.54114852401176</v>
      </c>
      <c r="AY33" s="834"/>
      <c r="AZ33" s="834"/>
      <c r="BA33" s="834">
        <f t="shared" si="111"/>
        <v>310.43390842323549</v>
      </c>
      <c r="BB33" s="834"/>
      <c r="BC33" s="834"/>
      <c r="BD33" s="834">
        <f t="shared" ref="BD33:BG33" si="112">BD90</f>
        <v>318.52685583474113</v>
      </c>
      <c r="BE33" s="834"/>
      <c r="BF33" s="834"/>
      <c r="BG33" s="834">
        <f t="shared" si="112"/>
        <v>326.82495102657435</v>
      </c>
      <c r="BH33" s="834"/>
      <c r="BI33" s="834"/>
      <c r="BJ33" s="834">
        <f t="shared" ref="BJ33" si="113">BJ90</f>
        <v>335.33327479992909</v>
      </c>
      <c r="BK33" s="873"/>
      <c r="BL33" s="865"/>
      <c r="BN33" s="647"/>
    </row>
    <row r="34" spans="2:66" s="839" customFormat="1">
      <c r="B34" s="833" t="s">
        <v>150</v>
      </c>
      <c r="C34" s="651">
        <f>C293</f>
        <v>20.6</v>
      </c>
      <c r="D34" s="651">
        <f>D293</f>
        <v>4.7999999999999972</v>
      </c>
      <c r="E34" s="834">
        <f>E172</f>
        <v>31.191088499999999</v>
      </c>
      <c r="F34" s="834">
        <f t="shared" ref="F34:AU34" si="114">F172</f>
        <v>19.899999999999999</v>
      </c>
      <c r="G34" s="834">
        <f t="shared" si="114"/>
        <v>7.4000000000000021</v>
      </c>
      <c r="H34" s="834">
        <f t="shared" si="114"/>
        <v>27.3</v>
      </c>
      <c r="I34" s="834">
        <f t="shared" si="114"/>
        <v>15.4</v>
      </c>
      <c r="J34" s="834">
        <f t="shared" si="114"/>
        <v>5.4</v>
      </c>
      <c r="K34" s="835">
        <f t="shared" si="114"/>
        <v>20.8</v>
      </c>
      <c r="L34" s="834">
        <f t="shared" si="114"/>
        <v>16.399999999999999</v>
      </c>
      <c r="M34" s="834">
        <f t="shared" si="114"/>
        <v>7</v>
      </c>
      <c r="N34" s="834">
        <f t="shared" si="114"/>
        <v>23.4</v>
      </c>
      <c r="O34" s="834">
        <f t="shared" si="114"/>
        <v>67.599999999999994</v>
      </c>
      <c r="P34" s="834">
        <f t="shared" si="114"/>
        <v>37.599999999999994</v>
      </c>
      <c r="Q34" s="834">
        <f t="shared" si="114"/>
        <v>105.19999999999999</v>
      </c>
      <c r="R34" s="834">
        <f t="shared" si="114"/>
        <v>35.599999999999994</v>
      </c>
      <c r="S34" s="834">
        <f t="shared" si="114"/>
        <v>33.300000000000011</v>
      </c>
      <c r="T34" s="834">
        <f t="shared" si="114"/>
        <v>68.900000000000006</v>
      </c>
      <c r="U34" s="834">
        <f t="shared" ref="U34" si="115">U172</f>
        <v>35.9</v>
      </c>
      <c r="V34" s="834">
        <f t="shared" ref="V34:W34" si="116">V172</f>
        <v>25.099999999999994</v>
      </c>
      <c r="W34" s="834">
        <f t="shared" si="116"/>
        <v>61</v>
      </c>
      <c r="X34" s="834">
        <f t="shared" ref="X34:Y34" si="117">X172</f>
        <v>46.900000000000006</v>
      </c>
      <c r="Y34" s="834">
        <f t="shared" si="117"/>
        <v>19.900000000000006</v>
      </c>
      <c r="Z34" s="834">
        <f t="shared" si="114"/>
        <v>66.8</v>
      </c>
      <c r="AA34" s="834">
        <f t="shared" si="114"/>
        <v>51.7</v>
      </c>
      <c r="AB34" s="834">
        <f t="shared" si="114"/>
        <v>23.699999999999989</v>
      </c>
      <c r="AC34" s="836">
        <f t="shared" si="114"/>
        <v>75.400000000000006</v>
      </c>
      <c r="AD34" s="834">
        <f t="shared" ref="AD34:AE34" si="118">AD172</f>
        <v>52.342008473222215</v>
      </c>
      <c r="AE34" s="834">
        <f t="shared" si="118"/>
        <v>24.756419069305259</v>
      </c>
      <c r="AF34" s="834">
        <f t="shared" si="114"/>
        <v>77.098427542527475</v>
      </c>
      <c r="AG34" s="834">
        <f t="shared" si="114"/>
        <v>54.128524053062286</v>
      </c>
      <c r="AH34" s="834">
        <f t="shared" si="114"/>
        <v>27.019081760754482</v>
      </c>
      <c r="AI34" s="834">
        <f t="shared" si="114"/>
        <v>81.147605813816767</v>
      </c>
      <c r="AJ34" s="834"/>
      <c r="AK34" s="834"/>
      <c r="AL34" s="834">
        <f t="shared" si="114"/>
        <v>85.594118220493073</v>
      </c>
      <c r="AM34" s="834"/>
      <c r="AN34" s="834"/>
      <c r="AO34" s="834">
        <f t="shared" si="114"/>
        <v>89.747368307582349</v>
      </c>
      <c r="AP34" s="834"/>
      <c r="AQ34" s="834"/>
      <c r="AR34" s="834">
        <f t="shared" si="114"/>
        <v>93.561248974959227</v>
      </c>
      <c r="AS34" s="834"/>
      <c r="AT34" s="834"/>
      <c r="AU34" s="834">
        <f t="shared" si="114"/>
        <v>96.985991740822328</v>
      </c>
      <c r="AV34" s="834"/>
      <c r="AW34" s="834"/>
      <c r="AX34" s="834">
        <f t="shared" ref="AX34:BA34" si="119">AX172</f>
        <v>100.53593560922025</v>
      </c>
      <c r="AY34" s="834"/>
      <c r="AZ34" s="834"/>
      <c r="BA34" s="834">
        <f t="shared" si="119"/>
        <v>104.21565224027867</v>
      </c>
      <c r="BB34" s="834"/>
      <c r="BC34" s="834"/>
      <c r="BD34" s="834">
        <f t="shared" ref="BD34:BG34" si="120">BD172</f>
        <v>108.02988004148656</v>
      </c>
      <c r="BE34" s="834"/>
      <c r="BF34" s="834"/>
      <c r="BG34" s="834">
        <f t="shared" si="120"/>
        <v>111.98353024335964</v>
      </c>
      <c r="BH34" s="834"/>
      <c r="BI34" s="834"/>
      <c r="BJ34" s="834">
        <f t="shared" ref="BJ34" si="121">BJ172</f>
        <v>116.0816931962641</v>
      </c>
      <c r="BK34" s="873"/>
      <c r="BL34" s="865"/>
      <c r="BN34" s="647"/>
    </row>
    <row r="35" spans="2:66" s="872" customFormat="1">
      <c r="B35" s="833" t="s">
        <v>246</v>
      </c>
      <c r="C35" s="876"/>
      <c r="D35" s="876"/>
      <c r="E35" s="834">
        <f t="shared" ref="E35:AU35" si="122">E227</f>
        <v>2.2999999999999998</v>
      </c>
      <c r="F35" s="834">
        <f t="shared" si="122"/>
        <v>-3.5</v>
      </c>
      <c r="G35" s="834">
        <f t="shared" si="122"/>
        <v>5.8</v>
      </c>
      <c r="H35" s="834">
        <f t="shared" si="122"/>
        <v>2.2999999999999998</v>
      </c>
      <c r="I35" s="834">
        <f t="shared" si="122"/>
        <v>-15.4</v>
      </c>
      <c r="J35" s="834">
        <f t="shared" si="122"/>
        <v>28.4</v>
      </c>
      <c r="K35" s="835">
        <f t="shared" si="122"/>
        <v>13</v>
      </c>
      <c r="L35" s="834">
        <f t="shared" si="122"/>
        <v>-8.6999999999999993</v>
      </c>
      <c r="M35" s="834">
        <f t="shared" si="122"/>
        <v>16.399999999999999</v>
      </c>
      <c r="N35" s="834">
        <f t="shared" si="122"/>
        <v>7.6999999999999993</v>
      </c>
      <c r="O35" s="834">
        <f t="shared" si="122"/>
        <v>4.5</v>
      </c>
      <c r="P35" s="834">
        <f t="shared" si="122"/>
        <v>13.600000000000001</v>
      </c>
      <c r="Q35" s="834">
        <f t="shared" si="122"/>
        <v>18.100000000000001</v>
      </c>
      <c r="R35" s="834">
        <f t="shared" si="122"/>
        <v>-0.80000000000000071</v>
      </c>
      <c r="S35" s="834">
        <f t="shared" si="122"/>
        <v>20.8</v>
      </c>
      <c r="T35" s="834">
        <f t="shared" si="122"/>
        <v>20</v>
      </c>
      <c r="U35" s="834">
        <f t="shared" ref="U35" si="123">U227</f>
        <v>16.5</v>
      </c>
      <c r="V35" s="834">
        <f t="shared" ref="V35:W35" si="124">V227</f>
        <v>13.900000000000002</v>
      </c>
      <c r="W35" s="834">
        <f t="shared" si="124"/>
        <v>30.400000000000002</v>
      </c>
      <c r="X35" s="834">
        <f t="shared" ref="X35:Y35" si="125">X227</f>
        <v>9.1999999999999993</v>
      </c>
      <c r="Y35" s="834">
        <f t="shared" si="125"/>
        <v>12.800000000000004</v>
      </c>
      <c r="Z35" s="834">
        <f t="shared" si="122"/>
        <v>22.000000000000004</v>
      </c>
      <c r="AA35" s="834">
        <f t="shared" si="122"/>
        <v>3.9000000000000004</v>
      </c>
      <c r="AB35" s="834">
        <f t="shared" si="122"/>
        <v>10.399999999999997</v>
      </c>
      <c r="AC35" s="836">
        <f t="shared" si="122"/>
        <v>14.299999999999997</v>
      </c>
      <c r="AD35" s="834">
        <f t="shared" ref="AD35:AE35" si="126">AD227</f>
        <v>4.9455085858585885</v>
      </c>
      <c r="AE35" s="834">
        <f t="shared" si="126"/>
        <v>12.337214415741402</v>
      </c>
      <c r="AF35" s="834">
        <f t="shared" si="122"/>
        <v>17.28272300159999</v>
      </c>
      <c r="AG35" s="834">
        <f t="shared" si="122"/>
        <v>5.3666012281818176</v>
      </c>
      <c r="AH35" s="834">
        <f t="shared" si="122"/>
        <v>14.268979770901044</v>
      </c>
      <c r="AI35" s="834">
        <f t="shared" si="122"/>
        <v>19.635580999082862</v>
      </c>
      <c r="AJ35" s="834"/>
      <c r="AK35" s="834"/>
      <c r="AL35" s="834">
        <f t="shared" si="122"/>
        <v>20.997946850397238</v>
      </c>
      <c r="AM35" s="834"/>
      <c r="AN35" s="834"/>
      <c r="AO35" s="834">
        <f t="shared" si="122"/>
        <v>22.109277663935075</v>
      </c>
      <c r="AP35" s="834"/>
      <c r="AQ35" s="834"/>
      <c r="AR35" s="834">
        <f t="shared" si="122"/>
        <v>23.338180264861613</v>
      </c>
      <c r="AS35" s="834"/>
      <c r="AT35" s="834"/>
      <c r="AU35" s="834">
        <f t="shared" si="122"/>
        <v>24.632584913102313</v>
      </c>
      <c r="AV35" s="834"/>
      <c r="AW35" s="834"/>
      <c r="AX35" s="834">
        <f t="shared" ref="AX35:BA35" si="127">AX227</f>
        <v>25.743483240813319</v>
      </c>
      <c r="AY35" s="834"/>
      <c r="AZ35" s="834"/>
      <c r="BA35" s="834">
        <f t="shared" si="127"/>
        <v>26.901518572835684</v>
      </c>
      <c r="BB35" s="834"/>
      <c r="BC35" s="834"/>
      <c r="BD35" s="834">
        <f t="shared" ref="BD35:BG35" si="128">BD227</f>
        <v>28.108600440890484</v>
      </c>
      <c r="BE35" s="834"/>
      <c r="BF35" s="834"/>
      <c r="BG35" s="834">
        <f t="shared" si="128"/>
        <v>29.366713005920559</v>
      </c>
      <c r="BH35" s="834"/>
      <c r="BI35" s="834"/>
      <c r="BJ35" s="834">
        <f t="shared" ref="BJ35" si="129">BJ227</f>
        <v>30.677917893113211</v>
      </c>
      <c r="BK35" s="870"/>
      <c r="BL35" s="871"/>
    </row>
    <row r="36" spans="2:66" s="839" customFormat="1">
      <c r="B36" s="833" t="s">
        <v>248</v>
      </c>
      <c r="C36" s="651">
        <f>C410</f>
        <v>50.9</v>
      </c>
      <c r="D36" s="651">
        <f>E36-C36</f>
        <v>40.4</v>
      </c>
      <c r="E36" s="834">
        <f>E372</f>
        <v>91.3</v>
      </c>
      <c r="F36" s="651">
        <f>+F372</f>
        <v>51.7</v>
      </c>
      <c r="G36" s="651">
        <f>H36-F36</f>
        <v>39.799999999999997</v>
      </c>
      <c r="H36" s="834">
        <f t="shared" ref="H36:AU36" si="130">H372</f>
        <v>91.5</v>
      </c>
      <c r="I36" s="651">
        <f t="shared" si="130"/>
        <v>54.4</v>
      </c>
      <c r="J36" s="651">
        <f t="shared" si="130"/>
        <v>39.4</v>
      </c>
      <c r="K36" s="877">
        <f t="shared" si="130"/>
        <v>93.8</v>
      </c>
      <c r="L36" s="651">
        <f t="shared" si="130"/>
        <v>58.4</v>
      </c>
      <c r="M36" s="651">
        <f t="shared" si="130"/>
        <v>52.199999999999996</v>
      </c>
      <c r="N36" s="651">
        <f t="shared" si="130"/>
        <v>110.6</v>
      </c>
      <c r="O36" s="651">
        <f t="shared" si="130"/>
        <v>104.00000000000001</v>
      </c>
      <c r="P36" s="651">
        <f t="shared" si="130"/>
        <v>75.999999999999957</v>
      </c>
      <c r="Q36" s="651">
        <f t="shared" si="130"/>
        <v>179.99999999999997</v>
      </c>
      <c r="R36" s="651">
        <f t="shared" si="130"/>
        <v>74.800000000000011</v>
      </c>
      <c r="S36" s="651">
        <f t="shared" si="130"/>
        <v>80.800000000000011</v>
      </c>
      <c r="T36" s="651">
        <f t="shared" si="130"/>
        <v>155.60000000000002</v>
      </c>
      <c r="U36" s="651">
        <f t="shared" ref="U36" si="131">U372</f>
        <v>91.399999999999991</v>
      </c>
      <c r="V36" s="651">
        <f t="shared" ref="V36:W36" si="132">V372</f>
        <v>70.40000000000002</v>
      </c>
      <c r="W36" s="651">
        <f t="shared" si="132"/>
        <v>161.80000000000001</v>
      </c>
      <c r="X36" s="651">
        <f t="shared" ref="X36:Y36" si="133">X372</f>
        <v>74.199999999999989</v>
      </c>
      <c r="Y36" s="651">
        <f t="shared" si="133"/>
        <v>47.200000000000017</v>
      </c>
      <c r="Z36" s="651">
        <f t="shared" si="130"/>
        <v>121.4</v>
      </c>
      <c r="AA36" s="651">
        <f t="shared" si="130"/>
        <v>69.300000000000011</v>
      </c>
      <c r="AB36" s="651">
        <f t="shared" si="130"/>
        <v>54.400000000000006</v>
      </c>
      <c r="AC36" s="878">
        <f t="shared" si="130"/>
        <v>123.70000000000002</v>
      </c>
      <c r="AD36" s="651">
        <f t="shared" ref="AD36:AE36" si="134">AD372</f>
        <v>73.64403897684781</v>
      </c>
      <c r="AE36" s="651">
        <f t="shared" si="134"/>
        <v>60.189991444400732</v>
      </c>
      <c r="AF36" s="651">
        <f t="shared" si="130"/>
        <v>133.83403042124854</v>
      </c>
      <c r="AG36" s="651">
        <f t="shared" si="130"/>
        <v>78.971029874262655</v>
      </c>
      <c r="AH36" s="651">
        <f t="shared" si="130"/>
        <v>65.122381013043679</v>
      </c>
      <c r="AI36" s="651">
        <f t="shared" si="130"/>
        <v>144.09341088730633</v>
      </c>
      <c r="AJ36" s="651"/>
      <c r="AK36" s="651"/>
      <c r="AL36" s="651">
        <f t="shared" si="130"/>
        <v>153.98672582864532</v>
      </c>
      <c r="AM36" s="651"/>
      <c r="AN36" s="651"/>
      <c r="AO36" s="651">
        <f t="shared" si="130"/>
        <v>161.81014307921481</v>
      </c>
      <c r="AP36" s="651"/>
      <c r="AQ36" s="651"/>
      <c r="AR36" s="651">
        <f t="shared" si="130"/>
        <v>169.99710431058975</v>
      </c>
      <c r="AS36" s="651"/>
      <c r="AT36" s="651"/>
      <c r="AU36" s="651">
        <f t="shared" si="130"/>
        <v>178.56338450196233</v>
      </c>
      <c r="AV36" s="651"/>
      <c r="AW36" s="651"/>
      <c r="AX36" s="651">
        <f t="shared" ref="AX36:BA36" si="135">AX372</f>
        <v>187.33962162620864</v>
      </c>
      <c r="AY36" s="651"/>
      <c r="AZ36" s="651"/>
      <c r="BA36" s="651">
        <f t="shared" si="135"/>
        <v>196.51319564742755</v>
      </c>
      <c r="BB36" s="651"/>
      <c r="BC36" s="651"/>
      <c r="BD36" s="651">
        <f t="shared" ref="BD36:BG36" si="136">BD372</f>
        <v>206.10101298227298</v>
      </c>
      <c r="BE36" s="651"/>
      <c r="BF36" s="651"/>
      <c r="BG36" s="651">
        <f t="shared" si="136"/>
        <v>216.12066640467035</v>
      </c>
      <c r="BH36" s="651"/>
      <c r="BI36" s="651"/>
      <c r="BJ36" s="651">
        <f t="shared" ref="BJ36" si="137">BJ372</f>
        <v>226.59046191795315</v>
      </c>
      <c r="BK36" s="873"/>
      <c r="BL36" s="865"/>
      <c r="BN36" s="647"/>
    </row>
    <row r="37" spans="2:66" s="839" customFormat="1">
      <c r="B37" s="833" t="s">
        <v>823</v>
      </c>
      <c r="C37" s="651">
        <f t="shared" ref="C37" si="138">C38-SUM(C33:C36)</f>
        <v>-9.9000000000000057</v>
      </c>
      <c r="D37" s="651">
        <f t="shared" ref="D37" si="139">D38-SUM(D33:D36)</f>
        <v>-10.5</v>
      </c>
      <c r="E37" s="834">
        <f t="shared" ref="E37" si="140">E38-SUM(E33:E36)</f>
        <v>-28.491088500000018</v>
      </c>
      <c r="F37" s="651">
        <f t="shared" ref="F37" si="141">F38-SUM(F33:F36)</f>
        <v>-10.200000000000003</v>
      </c>
      <c r="G37" s="651">
        <f t="shared" ref="G37" si="142">G38-SUM(G33:G36)</f>
        <v>-7.7000000000000028</v>
      </c>
      <c r="H37" s="834">
        <f t="shared" ref="H37" si="143">H38-SUM(H33:H36)</f>
        <v>-17.900000000000034</v>
      </c>
      <c r="I37" s="651">
        <f t="shared" ref="I37" si="144">I38-SUM(I33:I36)</f>
        <v>13</v>
      </c>
      <c r="J37" s="651">
        <f t="shared" ref="J37" si="145">J38-SUM(J33:J36)</f>
        <v>-33.099999999999994</v>
      </c>
      <c r="K37" s="877">
        <f t="shared" ref="K37" si="146">K38-SUM(K33:K36)</f>
        <v>-20.099999999999994</v>
      </c>
      <c r="L37" s="651">
        <f t="shared" ref="L37" si="147">L38-SUM(L33:L36)</f>
        <v>1.0999999999999943</v>
      </c>
      <c r="M37" s="651">
        <f t="shared" ref="M37" si="148">M38-SUM(M33:M36)</f>
        <v>-19.399999999999977</v>
      </c>
      <c r="N37" s="651">
        <f t="shared" ref="N37" si="149">N38-SUM(N33:N36)</f>
        <v>-18.299999999999955</v>
      </c>
      <c r="O37" s="651">
        <f t="shared" ref="O37:Q37" si="150">O38-SUM(O33:O36)</f>
        <v>-13.200000000000045</v>
      </c>
      <c r="P37" s="651">
        <f t="shared" si="150"/>
        <v>-17.499999999999886</v>
      </c>
      <c r="Q37" s="651">
        <f t="shared" si="150"/>
        <v>-30.699999999999989</v>
      </c>
      <c r="R37" s="651">
        <f>R38-SUM(R33:R36)</f>
        <v>-9.6999999999999886</v>
      </c>
      <c r="S37" s="651">
        <f>T37-R37</f>
        <v>-28.800000000000011</v>
      </c>
      <c r="T37" s="651">
        <f t="shared" ref="T37" si="151">T38-SUM(T33:T36)</f>
        <v>-38.5</v>
      </c>
      <c r="U37" s="651">
        <f>U38-SUM(U33:U36)</f>
        <v>-18.599999999999994</v>
      </c>
      <c r="V37" s="651">
        <f t="shared" ref="V37:Y37" si="152">V38-SUM(V33:V36)</f>
        <v>-20.200000000000017</v>
      </c>
      <c r="W37" s="651">
        <f t="shared" si="152"/>
        <v>-38.799999999999955</v>
      </c>
      <c r="X37" s="651">
        <f t="shared" si="152"/>
        <v>-16.69999999999996</v>
      </c>
      <c r="Y37" s="651">
        <f t="shared" si="152"/>
        <v>-23.100000000000051</v>
      </c>
      <c r="Z37" s="651">
        <f>Z38-SUM(Z33:Z36)</f>
        <v>-39.800000000000011</v>
      </c>
      <c r="AA37" s="651">
        <f>AA438</f>
        <v>-17.2</v>
      </c>
      <c r="AB37" s="651">
        <f t="shared" ref="AB37" si="153">AB38-SUM(AB33:AB36)</f>
        <v>-18.200000000000102</v>
      </c>
      <c r="AC37" s="878">
        <f>AC38-SUM(AC33:AC36)</f>
        <v>-35.400000000000091</v>
      </c>
      <c r="AD37" s="651">
        <f t="shared" ref="AD37:AX37" si="154">AD438</f>
        <v>-30</v>
      </c>
      <c r="AE37" s="651">
        <f t="shared" si="154"/>
        <v>-30</v>
      </c>
      <c r="AF37" s="651">
        <f t="shared" si="154"/>
        <v>-60</v>
      </c>
      <c r="AG37" s="651">
        <f t="shared" ref="AG37:AH37" si="155">AG438</f>
        <v>-17.775000000000002</v>
      </c>
      <c r="AH37" s="651">
        <f t="shared" si="155"/>
        <v>-17.775000000000002</v>
      </c>
      <c r="AI37" s="651">
        <f t="shared" si="154"/>
        <v>-35.550000000000004</v>
      </c>
      <c r="AJ37" s="651"/>
      <c r="AK37" s="651"/>
      <c r="AL37" s="651">
        <f t="shared" si="154"/>
        <v>-34.177500000000009</v>
      </c>
      <c r="AM37" s="651"/>
      <c r="AN37" s="651"/>
      <c r="AO37" s="651">
        <f t="shared" si="154"/>
        <v>-35.886375000000008</v>
      </c>
      <c r="AP37" s="651"/>
      <c r="AQ37" s="651"/>
      <c r="AR37" s="651">
        <f t="shared" si="154"/>
        <v>-37.68069375000001</v>
      </c>
      <c r="AS37" s="651"/>
      <c r="AT37" s="651"/>
      <c r="AU37" s="651">
        <f t="shared" si="154"/>
        <v>-39.564728437500015</v>
      </c>
      <c r="AV37" s="651"/>
      <c r="AW37" s="651"/>
      <c r="AX37" s="651">
        <f t="shared" si="154"/>
        <v>-41.542964859375019</v>
      </c>
      <c r="AY37" s="651"/>
      <c r="AZ37" s="651"/>
      <c r="BA37" s="651">
        <f t="shared" ref="BA37:BD37" si="156">BA438</f>
        <v>-43.620113102343772</v>
      </c>
      <c r="BB37" s="651"/>
      <c r="BC37" s="651"/>
      <c r="BD37" s="651">
        <f t="shared" si="156"/>
        <v>-45.801118757460962</v>
      </c>
      <c r="BE37" s="651"/>
      <c r="BF37" s="651"/>
      <c r="BG37" s="651">
        <f t="shared" ref="BG37:BJ37" si="157">BG438</f>
        <v>-48.091174695334011</v>
      </c>
      <c r="BH37" s="651"/>
      <c r="BI37" s="651"/>
      <c r="BJ37" s="651">
        <f t="shared" si="157"/>
        <v>-50.495733430100714</v>
      </c>
      <c r="BK37" s="873"/>
      <c r="BL37" s="865"/>
      <c r="BN37" s="647"/>
    </row>
    <row r="38" spans="2:66" s="848" customFormat="1">
      <c r="B38" s="844" t="s">
        <v>147</v>
      </c>
      <c r="C38" s="652">
        <f>MODEL!C31</f>
        <v>115.19999999999999</v>
      </c>
      <c r="D38" s="652">
        <f>MODEL!D31</f>
        <v>92.1</v>
      </c>
      <c r="E38" s="845">
        <f>MODEL!E31</f>
        <v>207.29999999999998</v>
      </c>
      <c r="F38" s="652">
        <f>MODEL!F31</f>
        <v>113.6</v>
      </c>
      <c r="G38" s="652">
        <f>MODEL!G31</f>
        <v>106</v>
      </c>
      <c r="H38" s="845">
        <f>MODEL!H31</f>
        <v>219.6</v>
      </c>
      <c r="I38" s="652">
        <f>MODEL!I31</f>
        <v>124.5</v>
      </c>
      <c r="J38" s="652">
        <f>MODEL!J31</f>
        <v>103.6</v>
      </c>
      <c r="K38" s="879">
        <f>MODEL!K31</f>
        <v>228.1</v>
      </c>
      <c r="L38" s="652">
        <f>MODEL!L31</f>
        <v>128.1</v>
      </c>
      <c r="M38" s="652">
        <f>MODEL!M31</f>
        <v>136.9</v>
      </c>
      <c r="N38" s="652">
        <f>MODEL!N31</f>
        <v>265</v>
      </c>
      <c r="O38" s="652">
        <f>MODEL!O31</f>
        <v>271.89999999999998</v>
      </c>
      <c r="P38" s="652">
        <f>MODEL!P31</f>
        <v>204.90000000000003</v>
      </c>
      <c r="Q38" s="652">
        <f>MODEL!Q31</f>
        <v>476.8</v>
      </c>
      <c r="R38" s="652">
        <f>MODEL!R31</f>
        <v>182.8</v>
      </c>
      <c r="S38" s="652">
        <f t="shared" ref="S38:AU38" si="158">SUM(S33:S37)</f>
        <v>213.8</v>
      </c>
      <c r="T38" s="652">
        <f>MODEL!T31</f>
        <v>396.6</v>
      </c>
      <c r="U38" s="652">
        <f>MODEL!U31</f>
        <v>240.9</v>
      </c>
      <c r="V38" s="652">
        <f>MODEL!V31</f>
        <v>192.9</v>
      </c>
      <c r="W38" s="652">
        <f>MODEL!W31</f>
        <v>433.8</v>
      </c>
      <c r="X38" s="652">
        <f>MODEL!X31</f>
        <v>229.70000000000002</v>
      </c>
      <c r="Y38" s="652">
        <f>Z38-X38</f>
        <v>162.49999999999997</v>
      </c>
      <c r="Z38" s="652">
        <f>MODEL!Z31</f>
        <v>392.2</v>
      </c>
      <c r="AA38" s="652">
        <f t="shared" ref="AA38" si="159">SUM(AA33:AA37)</f>
        <v>216.10000000000002</v>
      </c>
      <c r="AB38" s="652">
        <f>AC38-AA38</f>
        <v>180.29999999999995</v>
      </c>
      <c r="AC38" s="880">
        <f>MODEL!AC31</f>
        <v>396.4</v>
      </c>
      <c r="AD38" s="652">
        <f t="shared" ref="AD38:AE38" si="160">SUM(AD33:AD37)</f>
        <v>216.16538465786539</v>
      </c>
      <c r="AE38" s="652">
        <f t="shared" si="160"/>
        <v>184.91491526478345</v>
      </c>
      <c r="AF38" s="652">
        <f t="shared" si="158"/>
        <v>401.08029992264881</v>
      </c>
      <c r="AG38" s="652">
        <f t="shared" ref="AG38:AH38" si="161">SUM(AG33:AG37)</f>
        <v>240.85345141987509</v>
      </c>
      <c r="AH38" s="652">
        <f t="shared" si="161"/>
        <v>216.15472692520302</v>
      </c>
      <c r="AI38" s="652">
        <f t="shared" si="158"/>
        <v>457.00817834507814</v>
      </c>
      <c r="AJ38" s="652"/>
      <c r="AK38" s="652"/>
      <c r="AL38" s="652">
        <f t="shared" si="158"/>
        <v>486.25181830456688</v>
      </c>
      <c r="AM38" s="652"/>
      <c r="AN38" s="652"/>
      <c r="AO38" s="652">
        <f>SUM(AO33:AO37)</f>
        <v>511.04123799629093</v>
      </c>
      <c r="AP38" s="652"/>
      <c r="AQ38" s="652"/>
      <c r="AR38" s="652">
        <f t="shared" si="158"/>
        <v>534.00786536895453</v>
      </c>
      <c r="AS38" s="652"/>
      <c r="AT38" s="652"/>
      <c r="AU38" s="652">
        <f t="shared" si="158"/>
        <v>555.46096630575744</v>
      </c>
      <c r="AV38" s="652"/>
      <c r="AW38" s="652"/>
      <c r="AX38" s="652">
        <f t="shared" ref="AX38:BA38" si="162">SUM(AX33:AX37)</f>
        <v>574.61722414087888</v>
      </c>
      <c r="AY38" s="652"/>
      <c r="AZ38" s="652"/>
      <c r="BA38" s="652">
        <f t="shared" si="162"/>
        <v>594.44416178143365</v>
      </c>
      <c r="BB38" s="652"/>
      <c r="BC38" s="652"/>
      <c r="BD38" s="652">
        <f t="shared" ref="BD38:BG38" si="163">SUM(BD33:BD37)</f>
        <v>614.96523054193017</v>
      </c>
      <c r="BE38" s="652"/>
      <c r="BF38" s="652"/>
      <c r="BG38" s="652">
        <f t="shared" si="163"/>
        <v>636.20468598519096</v>
      </c>
      <c r="BH38" s="652"/>
      <c r="BI38" s="652"/>
      <c r="BJ38" s="652">
        <f t="shared" ref="BJ38" si="164">SUM(BJ33:BJ37)</f>
        <v>658.18761437715887</v>
      </c>
      <c r="BK38" s="873"/>
      <c r="BL38" s="865"/>
      <c r="BN38" s="849"/>
    </row>
    <row r="39" spans="2:66" s="872" customFormat="1">
      <c r="B39" s="866" t="s">
        <v>689</v>
      </c>
      <c r="C39" s="867"/>
      <c r="D39" s="867"/>
      <c r="E39" s="867">
        <f>E38/E12</f>
        <v>8.4088394791484514E-2</v>
      </c>
      <c r="F39" s="867"/>
      <c r="G39" s="867"/>
      <c r="H39" s="867">
        <f t="shared" ref="H39:AI39" si="165">H38/H12</f>
        <v>8.5434173669467775E-2</v>
      </c>
      <c r="I39" s="867">
        <f t="shared" si="165"/>
        <v>8.8637334472447676E-2</v>
      </c>
      <c r="J39" s="867">
        <f t="shared" si="165"/>
        <v>7.9168577105303367E-2</v>
      </c>
      <c r="K39" s="868">
        <f t="shared" si="165"/>
        <v>8.4070470293380509E-2</v>
      </c>
      <c r="L39" s="867">
        <f t="shared" si="165"/>
        <v>8.8736492103075645E-2</v>
      </c>
      <c r="M39" s="867">
        <f t="shared" si="165"/>
        <v>9.907367202200032E-2</v>
      </c>
      <c r="N39" s="867">
        <f t="shared" si="165"/>
        <v>9.3792029447157935E-2</v>
      </c>
      <c r="O39" s="867">
        <f t="shared" si="165"/>
        <v>0.15303652839533965</v>
      </c>
      <c r="P39" s="867">
        <f t="shared" si="165"/>
        <v>0.12222619899785256</v>
      </c>
      <c r="Q39" s="867">
        <f t="shared" si="165"/>
        <v>0.1380788277200197</v>
      </c>
      <c r="R39" s="867">
        <f t="shared" si="165"/>
        <v>0.10720150129017125</v>
      </c>
      <c r="S39" s="867">
        <f t="shared" si="165"/>
        <v>0.11583053418571894</v>
      </c>
      <c r="T39" s="867">
        <f t="shared" si="165"/>
        <v>0.11168684877499296</v>
      </c>
      <c r="U39" s="867">
        <f t="shared" si="165"/>
        <v>0.12300857843137254</v>
      </c>
      <c r="V39" s="867">
        <f t="shared" si="165"/>
        <v>0.10458685751463891</v>
      </c>
      <c r="W39" s="867">
        <f t="shared" si="165"/>
        <v>0.11407384032817923</v>
      </c>
      <c r="X39" s="867">
        <f t="shared" si="165"/>
        <v>0.11369035834488221</v>
      </c>
      <c r="Y39" s="867">
        <f t="shared" si="165"/>
        <v>8.7253006872852215E-2</v>
      </c>
      <c r="Z39" s="867">
        <f t="shared" si="165"/>
        <v>0.10100958071494796</v>
      </c>
      <c r="AA39" s="867">
        <f t="shared" si="165"/>
        <v>0.10255315110098712</v>
      </c>
      <c r="AB39" s="867">
        <f t="shared" si="165"/>
        <v>9.1629821619149232E-2</v>
      </c>
      <c r="AC39" s="869">
        <f t="shared" si="165"/>
        <v>9.7278460821124443E-2</v>
      </c>
      <c r="AD39" s="867">
        <f t="shared" si="165"/>
        <v>9.8430917707573978E-2</v>
      </c>
      <c r="AE39" s="867">
        <f t="shared" si="165"/>
        <v>8.8818363923254248E-2</v>
      </c>
      <c r="AF39" s="867">
        <f t="shared" si="165"/>
        <v>9.3752905390825494E-2</v>
      </c>
      <c r="AG39" s="867">
        <f t="shared" si="165"/>
        <v>0.10475828211530286</v>
      </c>
      <c r="AH39" s="867">
        <f t="shared" si="165"/>
        <v>9.8382547823886904E-2</v>
      </c>
      <c r="AI39" s="867">
        <f t="shared" si="165"/>
        <v>0.10164277029888262</v>
      </c>
      <c r="AJ39" s="867"/>
      <c r="AK39" s="867"/>
      <c r="AL39" s="867">
        <f>AL38/AL12</f>
        <v>0.10321978636799994</v>
      </c>
      <c r="AM39" s="867"/>
      <c r="AN39" s="867"/>
      <c r="AO39" s="867">
        <f>AO38/AO12</f>
        <v>0.10383700651451326</v>
      </c>
      <c r="AP39" s="867"/>
      <c r="AQ39" s="867"/>
      <c r="AR39" s="867">
        <f>AR38/AR12</f>
        <v>0.10421883155457856</v>
      </c>
      <c r="AS39" s="867"/>
      <c r="AT39" s="867"/>
      <c r="AU39" s="867">
        <f>AU38/AU12</f>
        <v>0.1045255714973508</v>
      </c>
      <c r="AV39" s="867"/>
      <c r="AW39" s="867"/>
      <c r="AX39" s="867">
        <f>AX38/AX12</f>
        <v>0.10467099881300393</v>
      </c>
      <c r="AY39" s="867"/>
      <c r="AZ39" s="867"/>
      <c r="BA39" s="867">
        <f>BA38/BA12</f>
        <v>0.10481682928099499</v>
      </c>
      <c r="BB39" s="867"/>
      <c r="BC39" s="867"/>
      <c r="BD39" s="867">
        <f>BD38/BD12</f>
        <v>0.10496301893416969</v>
      </c>
      <c r="BE39" s="867"/>
      <c r="BF39" s="867"/>
      <c r="BG39" s="867">
        <f>BG38/BG12</f>
        <v>0.10510952317145633</v>
      </c>
      <c r="BH39" s="867"/>
      <c r="BI39" s="867"/>
      <c r="BJ39" s="867">
        <f>BJ38/BJ12</f>
        <v>0.10525629675600302</v>
      </c>
      <c r="BK39" s="870"/>
      <c r="BL39" s="871"/>
    </row>
    <row r="40" spans="2:66" s="861" customFormat="1">
      <c r="B40" s="854" t="s">
        <v>899</v>
      </c>
      <c r="C40" s="855"/>
      <c r="D40" s="855"/>
      <c r="E40" s="855"/>
      <c r="F40" s="855">
        <f>F38/H38</f>
        <v>0.51730418943533696</v>
      </c>
      <c r="G40" s="855">
        <f>1-F40</f>
        <v>0.48269581056466304</v>
      </c>
      <c r="H40" s="855"/>
      <c r="I40" s="855">
        <f>I38/K38</f>
        <v>0.54581323980710217</v>
      </c>
      <c r="J40" s="855">
        <f>1-I40</f>
        <v>0.45418676019289783</v>
      </c>
      <c r="K40" s="856"/>
      <c r="L40" s="855"/>
      <c r="M40" s="855"/>
      <c r="N40" s="855"/>
      <c r="O40" s="855"/>
      <c r="P40" s="855"/>
      <c r="Q40" s="855"/>
      <c r="R40" s="855"/>
      <c r="S40" s="855"/>
      <c r="T40" s="855"/>
      <c r="U40" s="855"/>
      <c r="V40" s="855"/>
      <c r="W40" s="855"/>
      <c r="X40" s="855"/>
      <c r="Y40" s="881"/>
      <c r="Z40" s="867">
        <f>Z33/Z38</f>
        <v>0.56552779194288627</v>
      </c>
      <c r="AA40" s="855"/>
      <c r="AB40" s="881"/>
      <c r="AC40" s="869">
        <f>AC33/AC38</f>
        <v>0.55095862764883963</v>
      </c>
      <c r="AD40" s="867"/>
      <c r="AE40" s="867"/>
      <c r="AF40" s="855"/>
      <c r="AG40" s="867"/>
      <c r="AH40" s="867"/>
      <c r="AI40" s="855"/>
      <c r="AJ40" s="855"/>
      <c r="AK40" s="855"/>
      <c r="AL40" s="855"/>
      <c r="AM40" s="855"/>
      <c r="AN40" s="855"/>
      <c r="AO40" s="855"/>
      <c r="AP40" s="855"/>
      <c r="AQ40" s="855"/>
      <c r="AR40" s="855"/>
      <c r="AS40" s="855"/>
      <c r="AT40" s="855"/>
      <c r="AU40" s="855"/>
      <c r="AV40" s="855"/>
      <c r="AW40" s="855"/>
      <c r="AX40" s="855"/>
      <c r="AY40" s="855"/>
      <c r="AZ40" s="855"/>
      <c r="BA40" s="855"/>
      <c r="BB40" s="855"/>
      <c r="BC40" s="855"/>
      <c r="BD40" s="855"/>
      <c r="BE40" s="855"/>
      <c r="BF40" s="855"/>
      <c r="BG40" s="855"/>
      <c r="BH40" s="855"/>
      <c r="BI40" s="855"/>
      <c r="BJ40" s="855"/>
      <c r="BK40" s="859"/>
      <c r="BL40" s="860"/>
    </row>
    <row r="41" spans="2:66" s="861" customFormat="1">
      <c r="B41" s="854"/>
      <c r="C41" s="855"/>
      <c r="D41" s="855"/>
      <c r="E41" s="855"/>
      <c r="F41" s="855"/>
      <c r="G41" s="855"/>
      <c r="H41" s="855"/>
      <c r="I41" s="855"/>
      <c r="J41" s="855"/>
      <c r="K41" s="856"/>
      <c r="L41" s="855"/>
      <c r="M41" s="855"/>
      <c r="N41" s="855"/>
      <c r="O41" s="855"/>
      <c r="P41" s="855"/>
      <c r="Q41" s="867"/>
      <c r="R41" s="867"/>
      <c r="S41" s="867"/>
      <c r="T41" s="867"/>
      <c r="U41" s="867"/>
      <c r="V41" s="867"/>
      <c r="W41" s="867"/>
      <c r="X41" s="882"/>
      <c r="Y41" s="882"/>
      <c r="Z41" s="855"/>
      <c r="AA41" s="882"/>
      <c r="AB41" s="882"/>
      <c r="AC41" s="874"/>
      <c r="AD41" s="867"/>
      <c r="AE41" s="867"/>
      <c r="AF41" s="855"/>
      <c r="AG41" s="867"/>
      <c r="AH41" s="867"/>
      <c r="AJ41" s="855"/>
      <c r="AK41" s="855"/>
      <c r="AL41" s="855"/>
      <c r="AM41" s="855"/>
      <c r="AN41" s="855"/>
      <c r="AO41" s="855"/>
      <c r="AP41" s="855"/>
      <c r="AQ41" s="855"/>
      <c r="AR41" s="855"/>
      <c r="AS41" s="855"/>
      <c r="AT41" s="855"/>
      <c r="AU41" s="855"/>
      <c r="AV41" s="855"/>
      <c r="AW41" s="855"/>
      <c r="AX41" s="855"/>
      <c r="AY41" s="855"/>
      <c r="AZ41" s="855"/>
      <c r="BA41" s="855"/>
      <c r="BB41" s="855"/>
      <c r="BC41" s="855"/>
      <c r="BD41" s="855"/>
      <c r="BE41" s="855"/>
      <c r="BF41" s="855"/>
      <c r="BG41" s="855"/>
      <c r="BH41" s="855"/>
      <c r="BI41" s="855"/>
      <c r="BJ41" s="855"/>
      <c r="BK41" s="859"/>
      <c r="BL41" s="860"/>
    </row>
    <row r="42" spans="2:66" s="861" customFormat="1">
      <c r="B42" s="848" t="s">
        <v>925</v>
      </c>
      <c r="C42" s="855"/>
      <c r="D42" s="855"/>
      <c r="E42" s="855"/>
      <c r="F42" s="855"/>
      <c r="G42" s="855"/>
      <c r="H42" s="855"/>
      <c r="I42" s="855"/>
      <c r="J42" s="855"/>
      <c r="K42" s="856"/>
      <c r="L42" s="855"/>
      <c r="M42" s="855"/>
      <c r="N42" s="855"/>
      <c r="O42" s="855"/>
      <c r="P42" s="855"/>
      <c r="Q42" s="855"/>
      <c r="R42" s="855"/>
      <c r="S42" s="855"/>
      <c r="T42" s="855"/>
      <c r="U42" s="855"/>
      <c r="V42" s="855"/>
      <c r="W42" s="855"/>
      <c r="X42" s="855"/>
      <c r="Y42" s="874"/>
      <c r="Z42" s="855"/>
      <c r="AA42" s="855"/>
      <c r="AB42" s="855"/>
      <c r="AC42" s="869"/>
      <c r="AD42" s="867"/>
      <c r="AE42" s="867"/>
      <c r="AF42" s="867"/>
      <c r="AG42" s="867"/>
      <c r="AH42" s="867"/>
      <c r="AI42" s="855"/>
      <c r="AJ42" s="855"/>
      <c r="AK42" s="855"/>
      <c r="AL42" s="855"/>
      <c r="AM42" s="855"/>
      <c r="AN42" s="855"/>
      <c r="AO42" s="855"/>
      <c r="AP42" s="855"/>
      <c r="AQ42" s="855"/>
      <c r="AR42" s="855"/>
      <c r="AS42" s="855"/>
      <c r="AT42" s="855"/>
      <c r="AU42" s="855"/>
      <c r="AV42" s="855"/>
      <c r="AW42" s="855"/>
      <c r="AX42" s="855"/>
      <c r="AY42" s="855"/>
      <c r="AZ42" s="855"/>
      <c r="BA42" s="855"/>
      <c r="BB42" s="855"/>
      <c r="BC42" s="855"/>
      <c r="BD42" s="855"/>
      <c r="BE42" s="855"/>
      <c r="BF42" s="855"/>
      <c r="BG42" s="855"/>
      <c r="BH42" s="855"/>
      <c r="BI42" s="855"/>
      <c r="BJ42" s="855"/>
      <c r="BK42" s="859"/>
      <c r="BL42" s="860"/>
    </row>
    <row r="43" spans="2:66" s="861" customFormat="1">
      <c r="B43" s="833" t="s">
        <v>247</v>
      </c>
      <c r="C43" s="855"/>
      <c r="D43" s="855"/>
      <c r="E43" s="867">
        <f>E33/E7</f>
        <v>0.11612093315200335</v>
      </c>
      <c r="F43" s="855"/>
      <c r="G43" s="855"/>
      <c r="H43" s="867">
        <f t="shared" ref="H43:AI43" si="166">H33/H7</f>
        <v>0.11565977742448331</v>
      </c>
      <c r="I43" s="867">
        <f t="shared" si="166"/>
        <v>0.10757347400150717</v>
      </c>
      <c r="J43" s="867">
        <f t="shared" si="166"/>
        <v>0.12455865045115731</v>
      </c>
      <c r="K43" s="867">
        <f t="shared" si="166"/>
        <v>0.11589467614837594</v>
      </c>
      <c r="L43" s="867">
        <f t="shared" si="166"/>
        <v>0.11058652623933175</v>
      </c>
      <c r="M43" s="867">
        <f t="shared" si="166"/>
        <v>0.14182776801405975</v>
      </c>
      <c r="N43" s="867">
        <f t="shared" si="166"/>
        <v>0.12646244529784761</v>
      </c>
      <c r="O43" s="867">
        <f t="shared" si="166"/>
        <v>0.16467744372261672</v>
      </c>
      <c r="P43" s="867">
        <f t="shared" si="166"/>
        <v>0.14716339465141443</v>
      </c>
      <c r="Q43" s="867">
        <f t="shared" si="166"/>
        <v>0.15602078239608802</v>
      </c>
      <c r="R43" s="867">
        <f t="shared" si="166"/>
        <v>0.13455607855867555</v>
      </c>
      <c r="S43" s="867">
        <f t="shared" si="166"/>
        <v>0.14881857123117315</v>
      </c>
      <c r="T43" s="867">
        <f t="shared" si="166"/>
        <v>0.14226003881176294</v>
      </c>
      <c r="U43" s="867">
        <f t="shared" si="166"/>
        <v>0.15879769420807024</v>
      </c>
      <c r="V43" s="867">
        <f t="shared" si="166"/>
        <v>0.14410783768760424</v>
      </c>
      <c r="W43" s="867">
        <f t="shared" si="166"/>
        <v>0.15149841182157162</v>
      </c>
      <c r="X43" s="867">
        <f t="shared" si="166"/>
        <v>0.15276315789473682</v>
      </c>
      <c r="Y43" s="867">
        <f t="shared" si="166"/>
        <v>0.14314734561213432</v>
      </c>
      <c r="Z43" s="867">
        <f t="shared" si="166"/>
        <v>0.14802455953016549</v>
      </c>
      <c r="AA43" s="867">
        <f t="shared" si="166"/>
        <v>0.14008787800465236</v>
      </c>
      <c r="AB43" s="867">
        <f t="shared" si="166"/>
        <v>0.14464168310322162</v>
      </c>
      <c r="AC43" s="869">
        <f t="shared" si="166"/>
        <v>0.1423450433422408</v>
      </c>
      <c r="AD43" s="867">
        <f t="shared" si="166"/>
        <v>0.14142698704679355</v>
      </c>
      <c r="AE43" s="867">
        <f t="shared" si="166"/>
        <v>0.14650026564035076</v>
      </c>
      <c r="AF43" s="867">
        <f t="shared" si="166"/>
        <v>0.14394504334224084</v>
      </c>
      <c r="AG43" s="867">
        <f t="shared" si="166"/>
        <v>0.14227064402792169</v>
      </c>
      <c r="AH43" s="867">
        <f t="shared" si="166"/>
        <v>0.14877151975734418</v>
      </c>
      <c r="AI43" s="867">
        <f t="shared" si="166"/>
        <v>0.14554504334224089</v>
      </c>
      <c r="AJ43" s="867"/>
      <c r="AK43" s="867"/>
      <c r="AL43" s="867">
        <f>AL33/AL7</f>
        <v>0.14574504334224084</v>
      </c>
      <c r="AM43" s="867"/>
      <c r="AN43" s="867"/>
      <c r="AO43" s="867">
        <f>AO33/AO7</f>
        <v>0.14674504334224084</v>
      </c>
      <c r="AP43" s="867"/>
      <c r="AQ43" s="867"/>
      <c r="AR43" s="867">
        <f>AR33/AR7</f>
        <v>0.14724504334224073</v>
      </c>
      <c r="AS43" s="867"/>
      <c r="AT43" s="867"/>
      <c r="AU43" s="867">
        <f>AU33/AU7</f>
        <v>0.1477450433422407</v>
      </c>
      <c r="AV43" s="867"/>
      <c r="AW43" s="867"/>
      <c r="AX43" s="867">
        <f>AX33/AX7</f>
        <v>0.14824504334224062</v>
      </c>
      <c r="AY43" s="867"/>
      <c r="AZ43" s="867"/>
      <c r="BA43" s="867">
        <f>BA33/BA7</f>
        <v>0.14874504334224059</v>
      </c>
      <c r="BB43" s="867"/>
      <c r="BC43" s="867"/>
      <c r="BD43" s="867">
        <f>BD33/BD7</f>
        <v>0.14924504334224062</v>
      </c>
      <c r="BE43" s="867"/>
      <c r="BF43" s="867"/>
      <c r="BG43" s="867">
        <f>BG33/BG7</f>
        <v>0.14974504334224051</v>
      </c>
      <c r="BH43" s="867"/>
      <c r="BI43" s="867"/>
      <c r="BJ43" s="867">
        <f>BJ33/BJ7</f>
        <v>0.15024504334224056</v>
      </c>
      <c r="BK43" s="859"/>
      <c r="BL43" s="860"/>
    </row>
    <row r="44" spans="2:66" s="861" customFormat="1">
      <c r="B44" s="833" t="s">
        <v>150</v>
      </c>
      <c r="C44" s="855"/>
      <c r="D44" s="855"/>
      <c r="E44" s="867">
        <f>E34/E8</f>
        <v>6.5000000000000002E-2</v>
      </c>
      <c r="F44" s="855"/>
      <c r="G44" s="855"/>
      <c r="H44" s="867">
        <f t="shared" ref="H44:AI44" si="167">H34/H8</f>
        <v>5.4786273329319686E-2</v>
      </c>
      <c r="I44" s="867">
        <f t="shared" si="167"/>
        <v>5.4726368159203988E-2</v>
      </c>
      <c r="J44" s="867">
        <f t="shared" si="167"/>
        <v>2.3156089193825041E-2</v>
      </c>
      <c r="K44" s="867">
        <f t="shared" si="167"/>
        <v>4.0419743490089387E-2</v>
      </c>
      <c r="L44" s="867">
        <f t="shared" si="167"/>
        <v>5.7848324514991174E-2</v>
      </c>
      <c r="M44" s="867">
        <f t="shared" si="167"/>
        <v>2.7833001988071572E-2</v>
      </c>
      <c r="N44" s="867">
        <f t="shared" si="167"/>
        <v>4.3738317757009343E-2</v>
      </c>
      <c r="O44" s="867">
        <f t="shared" si="167"/>
        <v>0.1580547112462006</v>
      </c>
      <c r="P44" s="867">
        <f t="shared" si="167"/>
        <v>0.1016216216216216</v>
      </c>
      <c r="Q44" s="867">
        <f t="shared" si="167"/>
        <v>0.1318791525636204</v>
      </c>
      <c r="R44" s="867">
        <f t="shared" si="167"/>
        <v>8.506571087216247E-2</v>
      </c>
      <c r="S44" s="867">
        <f t="shared" si="167"/>
        <v>8.0982490272373558E-2</v>
      </c>
      <c r="T44" s="867">
        <f t="shared" si="167"/>
        <v>8.3042063396408336E-2</v>
      </c>
      <c r="U44" s="867">
        <f t="shared" si="167"/>
        <v>8.0205540661304725E-2</v>
      </c>
      <c r="V44" s="867">
        <f t="shared" si="167"/>
        <v>6.3981646698954869E-2</v>
      </c>
      <c r="W44" s="867">
        <f t="shared" si="167"/>
        <v>7.2627693773068228E-2</v>
      </c>
      <c r="X44" s="867">
        <f t="shared" si="167"/>
        <v>9.6960926193921868E-2</v>
      </c>
      <c r="Y44" s="867">
        <f t="shared" si="167"/>
        <v>5.0328780981284786E-2</v>
      </c>
      <c r="Z44" s="867">
        <f t="shared" si="167"/>
        <v>7.5986804686611301E-2</v>
      </c>
      <c r="AA44" s="867">
        <f t="shared" si="167"/>
        <v>9.9729938271604951E-2</v>
      </c>
      <c r="AB44" s="867">
        <f t="shared" si="167"/>
        <v>5.4620880387185967E-2</v>
      </c>
      <c r="AC44" s="869">
        <f t="shared" si="167"/>
        <v>7.9176730022051889E-2</v>
      </c>
      <c r="AD44" s="867">
        <f t="shared" si="167"/>
        <v>9.9029938271604917E-2</v>
      </c>
      <c r="AE44" s="867">
        <f t="shared" si="167"/>
        <v>5.4542835079128785E-2</v>
      </c>
      <c r="AF44" s="867">
        <f t="shared" si="167"/>
        <v>7.8476730022051855E-2</v>
      </c>
      <c r="AG44" s="867">
        <f t="shared" si="167"/>
        <v>9.8029938271604944E-2</v>
      </c>
      <c r="AH44" s="867">
        <f t="shared" si="167"/>
        <v>5.6999277638229158E-2</v>
      </c>
      <c r="AI44" s="867">
        <f t="shared" si="167"/>
        <v>7.9076730022051886E-2</v>
      </c>
      <c r="AJ44" s="867"/>
      <c r="AK44" s="867"/>
      <c r="AL44" s="867">
        <f>AL34/AL8</f>
        <v>7.9176730022051861E-2</v>
      </c>
      <c r="AM44" s="867"/>
      <c r="AN44" s="867"/>
      <c r="AO44" s="867">
        <f>AO34/AO8</f>
        <v>7.927673002205185E-2</v>
      </c>
      <c r="AP44" s="867"/>
      <c r="AQ44" s="867"/>
      <c r="AR44" s="867">
        <f>AR34/AR8</f>
        <v>7.9376730022051867E-2</v>
      </c>
      <c r="AS44" s="867"/>
      <c r="AT44" s="867"/>
      <c r="AU44" s="867">
        <f>AU34/AU8</f>
        <v>7.9476730022051814E-2</v>
      </c>
      <c r="AV44" s="867"/>
      <c r="AW44" s="867"/>
      <c r="AX44" s="867">
        <f>AX34/AX8</f>
        <v>7.9576730022051831E-2</v>
      </c>
      <c r="AY44" s="867"/>
      <c r="AZ44" s="867"/>
      <c r="BA44" s="867">
        <f>BA34/BA8</f>
        <v>7.9676730022051792E-2</v>
      </c>
      <c r="BB44" s="867"/>
      <c r="BC44" s="867"/>
      <c r="BD44" s="867">
        <f>BD34/BD8</f>
        <v>7.9776730022051781E-2</v>
      </c>
      <c r="BE44" s="867"/>
      <c r="BF44" s="867"/>
      <c r="BG44" s="867">
        <f>BG34/BG8</f>
        <v>7.987673002205177E-2</v>
      </c>
      <c r="BH44" s="867"/>
      <c r="BI44" s="867"/>
      <c r="BJ44" s="867">
        <f>BJ34/BJ8</f>
        <v>7.9976730022051787E-2</v>
      </c>
      <c r="BK44" s="859"/>
      <c r="BL44" s="860"/>
    </row>
    <row r="45" spans="2:66" s="861" customFormat="1">
      <c r="B45" s="833" t="s">
        <v>246</v>
      </c>
      <c r="C45" s="855"/>
      <c r="D45" s="855"/>
      <c r="E45" s="867">
        <f>E35/E9</f>
        <v>3.1463748290013679E-2</v>
      </c>
      <c r="F45" s="855"/>
      <c r="G45" s="855"/>
      <c r="H45" s="867">
        <f t="shared" ref="H45:AI45" si="168">H35/H9</f>
        <v>2.8220858895705518E-2</v>
      </c>
      <c r="I45" s="867">
        <f t="shared" si="168"/>
        <v>-0.22950819672131151</v>
      </c>
      <c r="J45" s="867">
        <f t="shared" si="168"/>
        <v>0.39609483960948383</v>
      </c>
      <c r="K45" s="867">
        <f t="shared" si="168"/>
        <v>9.3659942363112383E-2</v>
      </c>
      <c r="L45" s="867">
        <f t="shared" si="168"/>
        <v>-0.13082706766917293</v>
      </c>
      <c r="M45" s="867">
        <f t="shared" si="168"/>
        <v>0.25076452599388377</v>
      </c>
      <c r="N45" s="867">
        <f t="shared" si="168"/>
        <v>5.8377558756633807E-2</v>
      </c>
      <c r="O45" s="867">
        <f t="shared" si="168"/>
        <v>7.1428571428571425E-2</v>
      </c>
      <c r="P45" s="867">
        <f t="shared" si="168"/>
        <v>0.15044247787610621</v>
      </c>
      <c r="Q45" s="867">
        <f t="shared" si="168"/>
        <v>0.11799217731421122</v>
      </c>
      <c r="R45" s="867">
        <f t="shared" si="168"/>
        <v>-1.2195121951219525E-2</v>
      </c>
      <c r="S45" s="867">
        <f t="shared" si="168"/>
        <v>0.18705035971223019</v>
      </c>
      <c r="T45" s="867">
        <f t="shared" si="168"/>
        <v>0.11312217194570134</v>
      </c>
      <c r="U45" s="867">
        <f t="shared" si="168"/>
        <v>0.16272189349112426</v>
      </c>
      <c r="V45" s="867">
        <f t="shared" si="168"/>
        <v>0.12065972222222225</v>
      </c>
      <c r="W45" s="867">
        <f t="shared" si="168"/>
        <v>0.14035087719298248</v>
      </c>
      <c r="X45" s="867">
        <f t="shared" si="168"/>
        <v>8.7121212121212113E-2</v>
      </c>
      <c r="Y45" s="867">
        <f t="shared" si="168"/>
        <v>0.10912190963341861</v>
      </c>
      <c r="Z45" s="867">
        <f t="shared" si="168"/>
        <v>9.8698968147151206E-2</v>
      </c>
      <c r="AA45" s="867">
        <f t="shared" si="168"/>
        <v>3.6279069767441864E-2</v>
      </c>
      <c r="AB45" s="867">
        <f t="shared" si="168"/>
        <v>8.3803384367445583E-2</v>
      </c>
      <c r="AC45" s="869">
        <f t="shared" si="168"/>
        <v>6.1744386873920545E-2</v>
      </c>
      <c r="AD45" s="867">
        <f t="shared" si="168"/>
        <v>4.1279069767441876E-2</v>
      </c>
      <c r="AE45" s="867">
        <f t="shared" si="168"/>
        <v>9.4312672565374039E-2</v>
      </c>
      <c r="AF45" s="867">
        <f t="shared" si="168"/>
        <v>6.8960276338514634E-2</v>
      </c>
      <c r="AG45" s="867">
        <f t="shared" si="168"/>
        <v>4.327906976744185E-2</v>
      </c>
      <c r="AH45" s="867">
        <f t="shared" si="168"/>
        <v>0.10343845626227779</v>
      </c>
      <c r="AI45" s="867">
        <f t="shared" si="168"/>
        <v>7.4960276338514611E-2</v>
      </c>
      <c r="AJ45" s="867"/>
      <c r="AK45" s="867"/>
      <c r="AL45" s="867">
        <f>AL35/AL9</f>
        <v>7.5960276338514598E-2</v>
      </c>
      <c r="AM45" s="867"/>
      <c r="AN45" s="867"/>
      <c r="AO45" s="867">
        <f>AO35/AO9</f>
        <v>7.6160276338514618E-2</v>
      </c>
      <c r="AP45" s="867"/>
      <c r="AQ45" s="867"/>
      <c r="AR45" s="867">
        <f>AR35/AR9</f>
        <v>7.6560276338514616E-2</v>
      </c>
      <c r="AS45" s="867"/>
      <c r="AT45" s="867"/>
      <c r="AU45" s="867">
        <f>AU35/AU9</f>
        <v>7.6960276338514585E-2</v>
      </c>
      <c r="AV45" s="867"/>
      <c r="AW45" s="867"/>
      <c r="AX45" s="867">
        <f>AX35/AX9</f>
        <v>7.7360276338514583E-2</v>
      </c>
      <c r="AY45" s="867"/>
      <c r="AZ45" s="867"/>
      <c r="BA45" s="867">
        <f>BA35/BA9</f>
        <v>7.7760276338514539E-2</v>
      </c>
      <c r="BB45" s="867"/>
      <c r="BC45" s="867"/>
      <c r="BD45" s="867">
        <f>BD35/BD9</f>
        <v>7.8160276338514495E-2</v>
      </c>
      <c r="BE45" s="867"/>
      <c r="BF45" s="867"/>
      <c r="BG45" s="867">
        <f>BG35/BG9</f>
        <v>7.8560276338514493E-2</v>
      </c>
      <c r="BH45" s="867"/>
      <c r="BI45" s="867"/>
      <c r="BJ45" s="867">
        <f>BJ35/BJ9</f>
        <v>7.8960276338514476E-2</v>
      </c>
      <c r="BK45" s="859"/>
      <c r="BL45" s="860"/>
    </row>
    <row r="46" spans="2:66" s="861" customFormat="1">
      <c r="B46" s="833" t="s">
        <v>248</v>
      </c>
      <c r="C46" s="855"/>
      <c r="D46" s="855"/>
      <c r="E46" s="867">
        <f>E36/E10</f>
        <v>9.6186262115465646E-2</v>
      </c>
      <c r="F46" s="855"/>
      <c r="G46" s="855"/>
      <c r="H46" s="867">
        <f t="shared" ref="H46:AI46" si="169">H36/H10</f>
        <v>9.3443627450980393E-2</v>
      </c>
      <c r="I46" s="867">
        <f t="shared" si="169"/>
        <v>0.10383661004008399</v>
      </c>
      <c r="J46" s="867">
        <f t="shared" si="169"/>
        <v>0.08</v>
      </c>
      <c r="K46" s="867">
        <f t="shared" si="169"/>
        <v>9.2286501377410471E-2</v>
      </c>
      <c r="L46" s="867">
        <f t="shared" si="169"/>
        <v>0.10759027266028004</v>
      </c>
      <c r="M46" s="867">
        <f t="shared" si="169"/>
        <v>0.10528438886647842</v>
      </c>
      <c r="N46" s="867">
        <f t="shared" si="169"/>
        <v>0.10648950510302331</v>
      </c>
      <c r="O46" s="867">
        <f t="shared" si="169"/>
        <v>0.16674683341350008</v>
      </c>
      <c r="P46" s="867">
        <f t="shared" si="169"/>
        <v>0.13256584685156109</v>
      </c>
      <c r="Q46" s="867">
        <f t="shared" si="169"/>
        <v>0.15037593984962402</v>
      </c>
      <c r="R46" s="867">
        <f t="shared" si="169"/>
        <v>0.12351387054161164</v>
      </c>
      <c r="S46" s="867">
        <f t="shared" si="169"/>
        <v>0.13322341302555651</v>
      </c>
      <c r="T46" s="867">
        <f t="shared" si="169"/>
        <v>0.12837224651431403</v>
      </c>
      <c r="U46" s="867">
        <f t="shared" si="169"/>
        <v>0.13403724886346971</v>
      </c>
      <c r="V46" s="867">
        <f t="shared" si="169"/>
        <v>0.11220911699075553</v>
      </c>
      <c r="W46" s="867">
        <f t="shared" si="169"/>
        <v>0.12357748415183688</v>
      </c>
      <c r="X46" s="867">
        <f t="shared" si="169"/>
        <v>0.11026898499034031</v>
      </c>
      <c r="Y46" s="867">
        <f t="shared" si="169"/>
        <v>7.6288993049943465E-2</v>
      </c>
      <c r="Z46" s="867">
        <f t="shared" si="169"/>
        <v>9.3991947971508213E-2</v>
      </c>
      <c r="AA46" s="867">
        <f t="shared" si="169"/>
        <v>9.8089171974522313E-2</v>
      </c>
      <c r="AB46" s="867">
        <f t="shared" si="169"/>
        <v>8.3015412788036022E-2</v>
      </c>
      <c r="AC46" s="869">
        <f t="shared" si="169"/>
        <v>9.0835658687031889E-2</v>
      </c>
      <c r="AD46" s="867">
        <f t="shared" si="169"/>
        <v>0.10012583156404811</v>
      </c>
      <c r="AE46" s="867">
        <f t="shared" si="169"/>
        <v>8.6374288122049128E-2</v>
      </c>
      <c r="AF46" s="867">
        <f t="shared" si="169"/>
        <v>9.3435658687031839E-2</v>
      </c>
      <c r="AG46" s="867">
        <f t="shared" si="169"/>
        <v>0.10112583156404809</v>
      </c>
      <c r="AH46" s="867">
        <f t="shared" si="169"/>
        <v>8.9145971812616659E-2</v>
      </c>
      <c r="AI46" s="867">
        <f t="shared" si="169"/>
        <v>9.5335658687031824E-2</v>
      </c>
      <c r="AJ46" s="867"/>
      <c r="AK46" s="867"/>
      <c r="AL46" s="867">
        <f>AL36/AL10</f>
        <v>9.7735658687031809E-2</v>
      </c>
      <c r="AM46" s="867"/>
      <c r="AN46" s="867"/>
      <c r="AO46" s="867">
        <f>AO36/AO10</f>
        <v>9.8535658687031846E-2</v>
      </c>
      <c r="AP46" s="867"/>
      <c r="AQ46" s="867"/>
      <c r="AR46" s="867">
        <f>AR36/AR10</f>
        <v>9.9335658687031883E-2</v>
      </c>
      <c r="AS46" s="867"/>
      <c r="AT46" s="867"/>
      <c r="AU46" s="867">
        <f>AU36/AU10</f>
        <v>0.10013565868703189</v>
      </c>
      <c r="AV46" s="867"/>
      <c r="AW46" s="867"/>
      <c r="AX46" s="867">
        <f>AX36/AX10</f>
        <v>0.10083565868703186</v>
      </c>
      <c r="AY46" s="867"/>
      <c r="AZ46" s="867"/>
      <c r="BA46" s="867">
        <f>BA36/BA10</f>
        <v>0.10153565868703188</v>
      </c>
      <c r="BB46" s="867"/>
      <c r="BC46" s="867"/>
      <c r="BD46" s="867">
        <f>BD36/BD10</f>
        <v>0.10223565868703188</v>
      </c>
      <c r="BE46" s="867"/>
      <c r="BF46" s="867"/>
      <c r="BG46" s="867">
        <f>BG36/BG10</f>
        <v>0.10293565868703189</v>
      </c>
      <c r="BH46" s="867"/>
      <c r="BI46" s="867"/>
      <c r="BJ46" s="867">
        <f>BJ36/BJ10</f>
        <v>0.1036356586870319</v>
      </c>
      <c r="BK46" s="859"/>
      <c r="BL46" s="860"/>
    </row>
    <row r="47" spans="2:66" s="886" customFormat="1">
      <c r="B47" s="844" t="s">
        <v>147</v>
      </c>
      <c r="C47" s="883"/>
      <c r="D47" s="883"/>
      <c r="E47" s="884">
        <f>E38/E12</f>
        <v>8.4088394791484514E-2</v>
      </c>
      <c r="F47" s="883"/>
      <c r="G47" s="883"/>
      <c r="H47" s="884">
        <f t="shared" ref="H47:AI47" si="170">H38/H12</f>
        <v>8.5434173669467775E-2</v>
      </c>
      <c r="I47" s="884">
        <f t="shared" si="170"/>
        <v>8.8637334472447676E-2</v>
      </c>
      <c r="J47" s="884">
        <f t="shared" si="170"/>
        <v>7.9168577105303367E-2</v>
      </c>
      <c r="K47" s="884">
        <f t="shared" si="170"/>
        <v>8.4070470293380509E-2</v>
      </c>
      <c r="L47" s="884">
        <f t="shared" si="170"/>
        <v>8.8736492103075645E-2</v>
      </c>
      <c r="M47" s="884">
        <f t="shared" si="170"/>
        <v>9.907367202200032E-2</v>
      </c>
      <c r="N47" s="884">
        <f t="shared" si="170"/>
        <v>9.3792029447157935E-2</v>
      </c>
      <c r="O47" s="884">
        <f t="shared" si="170"/>
        <v>0.15303652839533965</v>
      </c>
      <c r="P47" s="884">
        <f t="shared" si="170"/>
        <v>0.12222619899785256</v>
      </c>
      <c r="Q47" s="884">
        <f t="shared" si="170"/>
        <v>0.1380788277200197</v>
      </c>
      <c r="R47" s="884">
        <f t="shared" si="170"/>
        <v>0.10720150129017125</v>
      </c>
      <c r="S47" s="884">
        <f t="shared" si="170"/>
        <v>0.11583053418571894</v>
      </c>
      <c r="T47" s="884">
        <f t="shared" si="170"/>
        <v>0.11168684877499296</v>
      </c>
      <c r="U47" s="884">
        <f t="shared" si="170"/>
        <v>0.12300857843137254</v>
      </c>
      <c r="V47" s="884">
        <f t="shared" si="170"/>
        <v>0.10458685751463891</v>
      </c>
      <c r="W47" s="884">
        <f t="shared" si="170"/>
        <v>0.11407384032817923</v>
      </c>
      <c r="X47" s="884">
        <f t="shared" si="170"/>
        <v>0.11369035834488221</v>
      </c>
      <c r="Y47" s="884">
        <f t="shared" si="170"/>
        <v>8.7253006872852215E-2</v>
      </c>
      <c r="Z47" s="884">
        <f t="shared" si="170"/>
        <v>0.10100958071494796</v>
      </c>
      <c r="AA47" s="884">
        <f t="shared" si="170"/>
        <v>0.10255315110098712</v>
      </c>
      <c r="AB47" s="884">
        <f t="shared" si="170"/>
        <v>9.1629821619149232E-2</v>
      </c>
      <c r="AC47" s="885">
        <f t="shared" si="170"/>
        <v>9.7278460821124443E-2</v>
      </c>
      <c r="AD47" s="884">
        <f t="shared" si="170"/>
        <v>9.8430917707573978E-2</v>
      </c>
      <c r="AE47" s="884">
        <f t="shared" si="170"/>
        <v>8.8818363923254248E-2</v>
      </c>
      <c r="AF47" s="884">
        <f t="shared" si="170"/>
        <v>9.3752905390825494E-2</v>
      </c>
      <c r="AG47" s="884">
        <f t="shared" si="170"/>
        <v>0.10475828211530286</v>
      </c>
      <c r="AH47" s="884">
        <f t="shared" si="170"/>
        <v>9.8382547823886904E-2</v>
      </c>
      <c r="AI47" s="884">
        <f t="shared" si="170"/>
        <v>0.10164277029888262</v>
      </c>
      <c r="AJ47" s="884"/>
      <c r="AK47" s="884"/>
      <c r="AL47" s="884">
        <f>AL38/AL12</f>
        <v>0.10321978636799994</v>
      </c>
      <c r="AM47" s="884"/>
      <c r="AN47" s="884"/>
      <c r="AO47" s="884">
        <f>AO38/AO12</f>
        <v>0.10383700651451326</v>
      </c>
      <c r="AP47" s="884"/>
      <c r="AQ47" s="884"/>
      <c r="AR47" s="884">
        <f>AR38/AR12</f>
        <v>0.10421883155457856</v>
      </c>
      <c r="AS47" s="884"/>
      <c r="AT47" s="884"/>
      <c r="AU47" s="884">
        <f>AU38/AU12</f>
        <v>0.1045255714973508</v>
      </c>
      <c r="AV47" s="884"/>
      <c r="AW47" s="884"/>
      <c r="AX47" s="884">
        <f>AX38/AX12</f>
        <v>0.10467099881300393</v>
      </c>
      <c r="AY47" s="884"/>
      <c r="AZ47" s="884"/>
      <c r="BA47" s="884">
        <f>BA38/BA12</f>
        <v>0.10481682928099499</v>
      </c>
      <c r="BB47" s="884"/>
      <c r="BC47" s="884"/>
      <c r="BD47" s="884">
        <f>BD38/BD12</f>
        <v>0.10496301893416969</v>
      </c>
      <c r="BE47" s="884"/>
      <c r="BF47" s="884"/>
      <c r="BG47" s="884">
        <f>BG38/BG12</f>
        <v>0.10510952317145633</v>
      </c>
      <c r="BH47" s="884"/>
      <c r="BI47" s="884"/>
      <c r="BJ47" s="884">
        <f>BJ38/BJ12</f>
        <v>0.10525629675600302</v>
      </c>
      <c r="BK47" s="859"/>
      <c r="BL47" s="860"/>
    </row>
    <row r="48" spans="2:66" s="861" customFormat="1">
      <c r="B48" s="854"/>
      <c r="C48" s="855"/>
      <c r="D48" s="855"/>
      <c r="E48" s="855"/>
      <c r="F48" s="855"/>
      <c r="G48" s="855"/>
      <c r="I48" s="855"/>
      <c r="J48" s="855"/>
      <c r="K48" s="856"/>
      <c r="L48" s="855"/>
      <c r="M48" s="855"/>
      <c r="N48" s="855"/>
      <c r="O48" s="855"/>
      <c r="P48" s="855"/>
      <c r="Q48" s="855"/>
      <c r="R48" s="855"/>
      <c r="S48" s="855"/>
      <c r="T48" s="855"/>
      <c r="U48" s="855"/>
      <c r="V48" s="855"/>
      <c r="W48" s="855"/>
      <c r="X48" s="855"/>
      <c r="Y48" s="855"/>
      <c r="Z48" s="855"/>
      <c r="AA48" s="855"/>
      <c r="AB48" s="855"/>
      <c r="AC48" s="874"/>
      <c r="AD48" s="855"/>
      <c r="AE48" s="855"/>
      <c r="AF48" s="855"/>
      <c r="AG48" s="855"/>
      <c r="AH48" s="855"/>
      <c r="AI48" s="855"/>
      <c r="AJ48" s="855"/>
      <c r="AK48" s="855"/>
      <c r="AL48" s="855"/>
      <c r="AM48" s="855"/>
      <c r="AN48" s="855"/>
      <c r="AO48" s="855"/>
      <c r="AP48" s="855"/>
      <c r="AQ48" s="855"/>
      <c r="AR48" s="855"/>
      <c r="AS48" s="855"/>
      <c r="AT48" s="855"/>
      <c r="AU48" s="855"/>
      <c r="AV48" s="855"/>
      <c r="AW48" s="855"/>
      <c r="AX48" s="855"/>
      <c r="AY48" s="855"/>
      <c r="AZ48" s="855"/>
      <c r="BA48" s="855"/>
      <c r="BB48" s="855"/>
      <c r="BC48" s="855"/>
      <c r="BD48" s="855"/>
      <c r="BE48" s="855"/>
      <c r="BF48" s="855"/>
      <c r="BG48" s="855"/>
      <c r="BH48" s="855"/>
      <c r="BI48" s="855"/>
      <c r="BJ48" s="855"/>
      <c r="BK48" s="859"/>
      <c r="BL48" s="860"/>
    </row>
    <row r="49" spans="1:64">
      <c r="B49" s="828" t="s">
        <v>233</v>
      </c>
      <c r="C49" s="823"/>
      <c r="D49" s="823"/>
      <c r="E49" s="887">
        <v>29</v>
      </c>
      <c r="F49" s="823"/>
      <c r="G49" s="823"/>
      <c r="H49" s="887">
        <v>51</v>
      </c>
      <c r="I49" s="887">
        <f>IF(I66&gt;0,I66,0)+IF(I177&gt;0,I177,0)+IF(I232&gt;0,I232,0)+IF(I343&gt;0,I343,0)</f>
        <v>13</v>
      </c>
      <c r="J49" s="887">
        <f>IF(J66&gt;0,J66,0)+IF(J177&gt;0,J177,0)+IF(J232&gt;0,J232,0)+IF(J343&gt;0,J343,0)</f>
        <v>2</v>
      </c>
      <c r="K49" s="888">
        <f>IF(K66&gt;0,K66,0)+IF(K177&gt;0,K177,0)+IF(K232&gt;0,K232,0)+IF(K343&gt;0,K343,0)</f>
        <v>15</v>
      </c>
      <c r="L49" s="887"/>
      <c r="M49" s="887"/>
      <c r="N49" s="887">
        <f>IF(N66&gt;0,N66,0)+IF(N177&gt;0,N177,0)+IF(N232&gt;0,N232,0)+IF(N343&gt;0,N343,0)</f>
        <v>8</v>
      </c>
      <c r="O49" s="887"/>
      <c r="P49" s="887"/>
      <c r="Q49" s="887">
        <f>IF(Q66&gt;0,Q66,0)+IF(Q177&gt;0,Q177,0)+IF(Q232&gt;0,Q232,0)+IF(Q343&gt;0,Q343,0)</f>
        <v>6</v>
      </c>
      <c r="R49" s="887"/>
      <c r="S49" s="887"/>
      <c r="T49" s="887">
        <f>IF(T66&gt;0,T66,0)+IF(T177&gt;0,T177,0)+IF(T232&gt;0,T232,0)+IF(T343&gt;0,T343,0)</f>
        <v>18</v>
      </c>
      <c r="U49" s="887"/>
      <c r="V49" s="887"/>
      <c r="W49" s="887">
        <f>IF(W66&gt;0,W66,0)+IF(W177&gt;0,W177,0)+IF(W232&gt;0,W232,0)+IF(W343&gt;0,W343,0)</f>
        <v>20</v>
      </c>
      <c r="X49" s="887"/>
      <c r="Y49" s="887"/>
      <c r="Z49" s="887">
        <f>IF(Z66&gt;0,Z66,0)+IF(Z177&gt;0,Z177,0)+IF(Z232&gt;0,Z232,0)+IF(Z343&gt;0,Z343,0)</f>
        <v>23</v>
      </c>
      <c r="AA49" s="887">
        <f>IF(AA66&gt;0,AA66,0)+IF(AA177&gt;0,AA177,0)+IF(AA232&gt;0,AA232,0)+IF(AA343&gt;0,AA343,0)</f>
        <v>15</v>
      </c>
      <c r="AB49" s="887"/>
      <c r="AC49" s="889">
        <f>IF(AC66&gt;0,AC66,0)+IF(AC177&gt;0,AC177,0)+IF(AC232&gt;0,AC232,0)+IF(AC343&gt;0,AC343,0)</f>
        <v>23</v>
      </c>
      <c r="AD49" s="887"/>
      <c r="AE49" s="887"/>
      <c r="AF49" s="887">
        <f>IF(AF66&gt;0,AF66,0)+IF(AF177&gt;0,AF177,0)+IF(AF232&gt;0,AF232,0)+IF(AF343&gt;0,AF343,0)</f>
        <v>17</v>
      </c>
      <c r="AG49" s="887"/>
      <c r="AH49" s="887"/>
      <c r="AI49" s="887">
        <f>IF(AI66&gt;0,AI66,0)+IF(AI177&gt;0,AI177,0)+IF(AI232&gt;0,AI232,0)+IF(AI343&gt;0,AI343,0)</f>
        <v>16</v>
      </c>
      <c r="AJ49" s="887"/>
      <c r="AK49" s="887"/>
      <c r="AL49" s="887">
        <f>IF(AL66&gt;0,AL66,0)+IF(AL177&gt;0,AL177,0)+IF(AL232&gt;0,AL232,0)+IF(AL343&gt;0,AL343,0)</f>
        <v>13</v>
      </c>
      <c r="AM49" s="887"/>
      <c r="AN49" s="887"/>
      <c r="AO49" s="887">
        <f>IF(AO66&gt;0,AO66,0)+IF(AO177&gt;0,AO177,0)+IF(AO232&gt;0,AO232,0)+IF(AO343&gt;0,AO343,0)</f>
        <v>11</v>
      </c>
      <c r="AP49" s="887"/>
      <c r="AQ49" s="887"/>
      <c r="AR49" s="887">
        <f>IF(AR66&gt;0,AR66,0)+IF(AR177&gt;0,AR177,0)+IF(AR232&gt;0,AR232,0)+IF(AR343&gt;0,AR343,0)</f>
        <v>7</v>
      </c>
      <c r="AS49" s="887"/>
      <c r="AT49" s="887"/>
      <c r="AU49" s="887">
        <f>IF(AU66&gt;0,AU66,0)+IF(AU177&gt;0,AU177,0)+IF(AU232&gt;0,AU232,0)+IF(AU343&gt;0,AU343,0)</f>
        <v>4</v>
      </c>
      <c r="AV49" s="887"/>
      <c r="AW49" s="887"/>
      <c r="AX49" s="887">
        <f>IF(AX66&gt;0,AX66,0)+IF(AX177&gt;0,AX177,0)+IF(AX232&gt;0,AX232,0)+IF(AX343&gt;0,AX343,0)</f>
        <v>4</v>
      </c>
      <c r="AY49" s="887"/>
      <c r="AZ49" s="887"/>
      <c r="BA49" s="887">
        <f>IF(BA66&gt;0,BA66,0)+IF(BA177&gt;0,BA177,0)+IF(BA232&gt;0,BA232,0)+IF(BA343&gt;0,BA343,0)</f>
        <v>4</v>
      </c>
      <c r="BB49" s="887"/>
      <c r="BC49" s="887"/>
      <c r="BD49" s="887">
        <f>IF(BD66&gt;0,BD66,0)+IF(BD177&gt;0,BD177,0)+IF(BD232&gt;0,BD232,0)+IF(BD343&gt;0,BD343,0)</f>
        <v>4</v>
      </c>
      <c r="BE49" s="887"/>
      <c r="BF49" s="887"/>
      <c r="BG49" s="887">
        <f>IF(BG66&gt;0,BG66,0)+IF(BG177&gt;0,BG177,0)+IF(BG232&gt;0,BG232,0)+IF(BG343&gt;0,BG343,0)</f>
        <v>4</v>
      </c>
      <c r="BH49" s="887"/>
      <c r="BI49" s="887"/>
      <c r="BJ49" s="887">
        <f>IF(BJ66&gt;0,BJ66,0)+IF(BJ177&gt;0,BJ177,0)+IF(BJ232&gt;0,BJ232,0)+IF(BJ343&gt;0,BJ343,0)</f>
        <v>4</v>
      </c>
      <c r="BK49" s="873"/>
    </row>
    <row r="50" spans="1:64">
      <c r="B50" s="828" t="s">
        <v>254</v>
      </c>
      <c r="C50" s="823"/>
      <c r="D50" s="823"/>
      <c r="E50" s="887">
        <v>-38</v>
      </c>
      <c r="F50" s="887"/>
      <c r="G50" s="887"/>
      <c r="H50" s="887">
        <v>-8</v>
      </c>
      <c r="I50" s="887">
        <f>IF(I66&lt;0,I66,0)+IF(I177&lt;0,I177,0)+IF(I232&lt;0,I232,0)+IF(I343&lt;0,I343,0)</f>
        <v>0</v>
      </c>
      <c r="J50" s="887">
        <f>IF(J66&lt;0,J66,0)+IF(J177&lt;0,J177,0)+IF(J232&lt;0,J232,0)+IF(J343&lt;0,J343,0)</f>
        <v>0</v>
      </c>
      <c r="K50" s="888">
        <f>IF(K66&lt;0,K66,0)+IF(K177&lt;0,K177,0)+IF(K232&lt;0,K232,0)+IF(K343&lt;0,K343,0)</f>
        <v>0</v>
      </c>
      <c r="L50" s="887"/>
      <c r="M50" s="887"/>
      <c r="N50" s="887">
        <f>IF(N66&lt;0,N66,0)+IF(N177&lt;0,N177,0)+IF(N232&lt;0,N232,0)+IF(N343&lt;0,N343,0)</f>
        <v>-1</v>
      </c>
      <c r="O50" s="887"/>
      <c r="P50" s="887"/>
      <c r="Q50" s="887">
        <f>IF(Q66&lt;0,Q66,0)+IF(Q177&lt;0,Q177,0)+IF(Q232&lt;0,Q232,0)+IF(Q343&lt;0,Q343,0)</f>
        <v>-7</v>
      </c>
      <c r="R50" s="887"/>
      <c r="S50" s="887"/>
      <c r="T50" s="887">
        <f>IF(T66&lt;0,T66,0)+IF(T177&lt;0,T177,0)+IF(T232&lt;0,T232,0)+IF(T343&lt;0,T343,0)</f>
        <v>0</v>
      </c>
      <c r="U50" s="887"/>
      <c r="V50" s="887"/>
      <c r="W50" s="887">
        <f>IF(W66&lt;0,W66,0)+IF(W177&lt;0,W177,0)+IF(W232&lt;0,W232,0)+IF(W343&lt;0,W343,0)</f>
        <v>0</v>
      </c>
      <c r="X50" s="887"/>
      <c r="Y50" s="887"/>
      <c r="Z50" s="887">
        <f>IF(Z66&lt;0,Z66,0)+IF(Z177&lt;0,Z177,0)+IF(Z232&lt;0,Z232,0)+IF(Z343&lt;0,Z343,0)</f>
        <v>0</v>
      </c>
      <c r="AA50" s="887">
        <f>IF(AA66&lt;0,AA66,0)+IF(AA177&lt;0,AA177,0)+IF(AA232&lt;0,AA232,0)+IF(AA343&lt;0,AA343,0)</f>
        <v>0</v>
      </c>
      <c r="AB50" s="887"/>
      <c r="AC50" s="889">
        <f>IF(AC66&lt;0,AC66,0)+IF(AC177&lt;0,AC177,0)+IF(AC232&lt;0,AC232,0)+IF(AC343&lt;0,AC343,0)</f>
        <v>0</v>
      </c>
      <c r="AD50" s="887"/>
      <c r="AE50" s="887"/>
      <c r="AF50" s="887">
        <f>IF(AF66&lt;0,AF66,0)+IF(AF177&lt;0,AF177,0)+IF(AF232&lt;0,AF232,0)+IF(AF343&lt;0,AF343,0)</f>
        <v>0</v>
      </c>
      <c r="AG50" s="887"/>
      <c r="AH50" s="887"/>
      <c r="AI50" s="887">
        <f>IF(AI66&lt;0,AI66,0)+IF(AI177&lt;0,AI177,0)+IF(AI232&lt;0,AI232,0)+IF(AI343&lt;0,AI343,0)</f>
        <v>0</v>
      </c>
      <c r="AJ50" s="887"/>
      <c r="AK50" s="887"/>
      <c r="AL50" s="887">
        <f>IF(AL66&lt;0,AL66,0)+IF(AL177&lt;0,AL177,0)+IF(AL232&lt;0,AL232,0)+IF(AL343&lt;0,AL343,0)</f>
        <v>0</v>
      </c>
      <c r="AM50" s="887"/>
      <c r="AN50" s="887"/>
      <c r="AO50" s="887">
        <f>IF(AO66&lt;0,AO66,0)+IF(AO177&lt;0,AO177,0)+IF(AO232&lt;0,AO232,0)+IF(AO343&lt;0,AO343,0)</f>
        <v>0</v>
      </c>
      <c r="AP50" s="887"/>
      <c r="AQ50" s="887"/>
      <c r="AR50" s="887">
        <f>IF(AR66&lt;0,AR66,0)+IF(AR177&lt;0,AR177,0)+IF(AR232&lt;0,AR232,0)+IF(AR343&lt;0,AR343,0)</f>
        <v>0</v>
      </c>
      <c r="AS50" s="887"/>
      <c r="AT50" s="887"/>
      <c r="AU50" s="887">
        <f>IF(AU66&lt;0,AU66,0)+IF(AU177&lt;0,AU177,0)+IF(AU232&lt;0,AU232,0)+IF(AU343&lt;0,AU343,0)</f>
        <v>0</v>
      </c>
      <c r="AV50" s="887"/>
      <c r="AW50" s="887"/>
      <c r="AX50" s="887">
        <f>IF(AX66&lt;0,AX66,0)+IF(AX177&lt;0,AX177,0)+IF(AX232&lt;0,AX232,0)+IF(AX343&lt;0,AX343,0)</f>
        <v>0</v>
      </c>
      <c r="AY50" s="887"/>
      <c r="AZ50" s="887"/>
      <c r="BA50" s="887">
        <f>IF(BA66&lt;0,BA66,0)+IF(BA177&lt;0,BA177,0)+IF(BA232&lt;0,BA232,0)+IF(BA343&lt;0,BA343,0)</f>
        <v>0</v>
      </c>
      <c r="BB50" s="887"/>
      <c r="BC50" s="887"/>
      <c r="BD50" s="887">
        <f>IF(BD66&lt;0,BD66,0)+IF(BD177&lt;0,BD177,0)+IF(BD232&lt;0,BD232,0)+IF(BD343&lt;0,BD343,0)</f>
        <v>0</v>
      </c>
      <c r="BE50" s="887"/>
      <c r="BF50" s="887"/>
      <c r="BG50" s="887">
        <f>IF(BG66&lt;0,BG66,0)+IF(BG177&lt;0,BG177,0)+IF(BG232&lt;0,BG232,0)+IF(BG343&lt;0,BG343,0)</f>
        <v>0</v>
      </c>
      <c r="BH50" s="887"/>
      <c r="BI50" s="887"/>
      <c r="BJ50" s="887">
        <f>IF(BJ66&lt;0,BJ66,0)+IF(BJ177&lt;0,BJ177,0)+IF(BJ232&lt;0,BJ232,0)+IF(BJ343&lt;0,BJ343,0)</f>
        <v>0</v>
      </c>
      <c r="BK50" s="873"/>
    </row>
    <row r="51" spans="1:64">
      <c r="B51" s="828" t="s">
        <v>234</v>
      </c>
      <c r="C51" s="890"/>
      <c r="D51" s="890"/>
      <c r="E51" s="834">
        <v>632</v>
      </c>
      <c r="F51" s="651"/>
      <c r="G51" s="651"/>
      <c r="H51" s="834">
        <v>675</v>
      </c>
      <c r="I51" s="651">
        <f>H51+I49+I50</f>
        <v>688</v>
      </c>
      <c r="J51" s="651">
        <f>I51+J49+J50</f>
        <v>690</v>
      </c>
      <c r="K51" s="877">
        <f>H51+K49+K50</f>
        <v>690</v>
      </c>
      <c r="L51" s="651"/>
      <c r="M51" s="651"/>
      <c r="N51" s="651">
        <f>K51+N49+N50</f>
        <v>697</v>
      </c>
      <c r="O51" s="651"/>
      <c r="P51" s="651"/>
      <c r="Q51" s="651">
        <f>N51+Q49+Q50</f>
        <v>696</v>
      </c>
      <c r="R51" s="651"/>
      <c r="S51" s="651"/>
      <c r="T51" s="651">
        <f>T67+T178+T233+T344</f>
        <v>716</v>
      </c>
      <c r="U51" s="651">
        <f>U67+U178+U233+U344</f>
        <v>722</v>
      </c>
      <c r="V51" s="651">
        <f>V67+V178+V233+V344</f>
        <v>736</v>
      </c>
      <c r="W51" s="651">
        <f>W67+W178+W233+W344</f>
        <v>736</v>
      </c>
      <c r="X51" s="651">
        <f>X67+X178+X233+X344</f>
        <v>751</v>
      </c>
      <c r="Y51" s="651"/>
      <c r="Z51" s="651">
        <f>W51+Z49+Z50</f>
        <v>759</v>
      </c>
      <c r="AA51" s="651">
        <f>X51+AA49+AA50</f>
        <v>766</v>
      </c>
      <c r="AB51" s="651"/>
      <c r="AC51" s="878">
        <f>Z51+AC49+AC50</f>
        <v>782</v>
      </c>
      <c r="AD51" s="651"/>
      <c r="AE51" s="651"/>
      <c r="AF51" s="651">
        <f>AC51+AF49+AF50</f>
        <v>799</v>
      </c>
      <c r="AG51" s="651"/>
      <c r="AH51" s="651"/>
      <c r="AI51" s="651">
        <f>AF51+AI49+AI50</f>
        <v>815</v>
      </c>
      <c r="AJ51" s="651"/>
      <c r="AK51" s="651"/>
      <c r="AL51" s="651">
        <f>AI51+AL49+AL50</f>
        <v>828</v>
      </c>
      <c r="AM51" s="651"/>
      <c r="AN51" s="651"/>
      <c r="AO51" s="651">
        <f>AL51+AO49+AO50</f>
        <v>839</v>
      </c>
      <c r="AP51" s="651"/>
      <c r="AQ51" s="651"/>
      <c r="AR51" s="651">
        <f>AO51+AR49+AR50</f>
        <v>846</v>
      </c>
      <c r="AS51" s="651"/>
      <c r="AT51" s="651"/>
      <c r="AU51" s="651">
        <f>AR51+AU49+AU50</f>
        <v>850</v>
      </c>
      <c r="AV51" s="651"/>
      <c r="AW51" s="651"/>
      <c r="AX51" s="651">
        <f>AU51+AX49+AX50</f>
        <v>854</v>
      </c>
      <c r="AY51" s="651"/>
      <c r="AZ51" s="651"/>
      <c r="BA51" s="651">
        <f>AX51+BA49+BA50</f>
        <v>858</v>
      </c>
      <c r="BB51" s="651"/>
      <c r="BC51" s="651"/>
      <c r="BD51" s="651">
        <f>BA51+BD49+BD50</f>
        <v>862</v>
      </c>
      <c r="BE51" s="651"/>
      <c r="BF51" s="651"/>
      <c r="BG51" s="651">
        <f>BD51+BG49+BG50</f>
        <v>866</v>
      </c>
      <c r="BH51" s="651"/>
      <c r="BI51" s="651"/>
      <c r="BJ51" s="651">
        <f t="shared" ref="BJ51" si="171">BG51+BJ49+BJ50</f>
        <v>870</v>
      </c>
      <c r="BK51" s="873"/>
    </row>
    <row r="52" spans="1:64" s="891" customFormat="1">
      <c r="B52" s="891" t="s">
        <v>998</v>
      </c>
      <c r="C52" s="892"/>
      <c r="D52" s="892"/>
      <c r="E52" s="862"/>
      <c r="F52" s="892"/>
      <c r="G52" s="892"/>
      <c r="H52" s="892"/>
      <c r="I52" s="892"/>
      <c r="J52" s="892"/>
      <c r="K52" s="892">
        <f>K51/H51-1</f>
        <v>2.2222222222222143E-2</v>
      </c>
      <c r="L52" s="892">
        <f t="shared" ref="L52:Q52" si="172">L51/I51-1</f>
        <v>-1</v>
      </c>
      <c r="M52" s="892">
        <f t="shared" si="172"/>
        <v>-1</v>
      </c>
      <c r="N52" s="892">
        <f t="shared" si="172"/>
        <v>1.0144927536231974E-2</v>
      </c>
      <c r="O52" s="892" t="e">
        <f t="shared" si="172"/>
        <v>#DIV/0!</v>
      </c>
      <c r="P52" s="892" t="e">
        <f t="shared" si="172"/>
        <v>#DIV/0!</v>
      </c>
      <c r="Q52" s="892">
        <f t="shared" si="172"/>
        <v>-1.4347202295552641E-3</v>
      </c>
      <c r="R52" s="892"/>
      <c r="S52" s="892"/>
      <c r="T52" s="893">
        <f>T51/Q51-1</f>
        <v>2.8735632183908066E-2</v>
      </c>
      <c r="U52" s="852" t="e">
        <f t="shared" ref="U52:AF52" si="173">U51/R51-1</f>
        <v>#DIV/0!</v>
      </c>
      <c r="V52" s="893" t="e">
        <f t="shared" si="173"/>
        <v>#DIV/0!</v>
      </c>
      <c r="W52" s="893">
        <f t="shared" si="173"/>
        <v>2.7932960893854775E-2</v>
      </c>
      <c r="X52" s="852">
        <f t="shared" si="173"/>
        <v>4.0166204986149534E-2</v>
      </c>
      <c r="Y52" s="893">
        <f t="shared" si="173"/>
        <v>-1</v>
      </c>
      <c r="Z52" s="893">
        <f t="shared" si="173"/>
        <v>3.125E-2</v>
      </c>
      <c r="AA52" s="852">
        <f t="shared" si="173"/>
        <v>1.9973368841544659E-2</v>
      </c>
      <c r="AB52" s="893" t="e">
        <f t="shared" si="173"/>
        <v>#DIV/0!</v>
      </c>
      <c r="AC52" s="989">
        <f t="shared" si="173"/>
        <v>3.0303030303030276E-2</v>
      </c>
      <c r="AD52" s="893">
        <f t="shared" si="173"/>
        <v>-1</v>
      </c>
      <c r="AE52" s="893" t="e">
        <f t="shared" si="173"/>
        <v>#DIV/0!</v>
      </c>
      <c r="AF52" s="893">
        <f t="shared" si="173"/>
        <v>2.1739130434782705E-2</v>
      </c>
      <c r="AG52" s="893" t="e">
        <f t="shared" ref="AG52" si="174">AG51/AD51-1</f>
        <v>#DIV/0!</v>
      </c>
      <c r="AH52" s="893" t="e">
        <f t="shared" ref="AH52" si="175">AH51/AE51-1</f>
        <v>#DIV/0!</v>
      </c>
      <c r="AI52" s="893">
        <f t="shared" ref="AI52" si="176">AI51/AF51-1</f>
        <v>2.0025031289111483E-2</v>
      </c>
      <c r="AJ52" s="893" t="e">
        <f t="shared" ref="AJ52" si="177">AJ51/AG51-1</f>
        <v>#DIV/0!</v>
      </c>
      <c r="AK52" s="893" t="e">
        <f t="shared" ref="AK52" si="178">AK51/AH51-1</f>
        <v>#DIV/0!</v>
      </c>
      <c r="AL52" s="893">
        <f t="shared" ref="AL52" si="179">AL51/AI51-1</f>
        <v>1.5950920245398681E-2</v>
      </c>
      <c r="AM52" s="893" t="e">
        <f t="shared" ref="AM52" si="180">AM51/AJ51-1</f>
        <v>#DIV/0!</v>
      </c>
      <c r="AN52" s="893" t="e">
        <f t="shared" ref="AN52" si="181">AN51/AK51-1</f>
        <v>#DIV/0!</v>
      </c>
      <c r="AO52" s="893">
        <f t="shared" ref="AO52" si="182">AO51/AL51-1</f>
        <v>1.3285024154589431E-2</v>
      </c>
      <c r="AP52" s="893" t="e">
        <f t="shared" ref="AP52" si="183">AP51/AM51-1</f>
        <v>#DIV/0!</v>
      </c>
      <c r="AQ52" s="893" t="e">
        <f t="shared" ref="AQ52" si="184">AQ51/AN51-1</f>
        <v>#DIV/0!</v>
      </c>
      <c r="AR52" s="893">
        <f t="shared" ref="AR52" si="185">AR51/AO51-1</f>
        <v>8.3432657926103548E-3</v>
      </c>
      <c r="AS52" s="893" t="e">
        <f t="shared" ref="AS52" si="186">AS51/AP51-1</f>
        <v>#DIV/0!</v>
      </c>
      <c r="AT52" s="893" t="e">
        <f t="shared" ref="AT52" si="187">AT51/AQ51-1</f>
        <v>#DIV/0!</v>
      </c>
      <c r="AU52" s="893">
        <f t="shared" ref="AU52" si="188">AU51/AR51-1</f>
        <v>4.7281323877068626E-3</v>
      </c>
      <c r="AV52" s="893" t="e">
        <f t="shared" ref="AV52" si="189">AV51/AS51-1</f>
        <v>#DIV/0!</v>
      </c>
      <c r="AW52" s="893" t="e">
        <f t="shared" ref="AW52" si="190">AW51/AT51-1</f>
        <v>#DIV/0!</v>
      </c>
      <c r="AX52" s="893">
        <f t="shared" ref="AX52" si="191">AX51/AU51-1</f>
        <v>4.7058823529411153E-3</v>
      </c>
      <c r="AY52" s="893" t="e">
        <f t="shared" ref="AY52" si="192">AY51/AV51-1</f>
        <v>#DIV/0!</v>
      </c>
      <c r="AZ52" s="893" t="e">
        <f t="shared" ref="AZ52" si="193">AZ51/AW51-1</f>
        <v>#DIV/0!</v>
      </c>
      <c r="BA52" s="893">
        <f t="shared" ref="BA52" si="194">BA51/AX51-1</f>
        <v>4.6838407494145251E-3</v>
      </c>
      <c r="BB52" s="893" t="e">
        <f t="shared" ref="BB52" si="195">BB51/AY51-1</f>
        <v>#DIV/0!</v>
      </c>
      <c r="BC52" s="893" t="e">
        <f t="shared" ref="BC52" si="196">BC51/AZ51-1</f>
        <v>#DIV/0!</v>
      </c>
      <c r="BD52" s="893">
        <f t="shared" ref="BD52" si="197">BD51/BA51-1</f>
        <v>4.6620046620047262E-3</v>
      </c>
      <c r="BE52" s="893" t="e">
        <f t="shared" ref="BE52" si="198">BE51/BB51-1</f>
        <v>#DIV/0!</v>
      </c>
      <c r="BF52" s="893" t="e">
        <f t="shared" ref="BF52" si="199">BF51/BC51-1</f>
        <v>#DIV/0!</v>
      </c>
      <c r="BG52" s="893">
        <f t="shared" ref="BG52" si="200">BG51/BD51-1</f>
        <v>4.6403712296982924E-3</v>
      </c>
      <c r="BH52" s="893" t="e">
        <f t="shared" ref="BH52" si="201">BH51/BE51-1</f>
        <v>#DIV/0!</v>
      </c>
      <c r="BI52" s="893" t="e">
        <f t="shared" ref="BI52" si="202">BI51/BF51-1</f>
        <v>#DIV/0!</v>
      </c>
      <c r="BJ52" s="893">
        <f t="shared" ref="BJ52" si="203">BJ51/BG51-1</f>
        <v>4.6189376443417363E-3</v>
      </c>
      <c r="BK52" s="873"/>
      <c r="BL52" s="894"/>
    </row>
    <row r="53" spans="1:64" s="891" customFormat="1">
      <c r="C53" s="892"/>
      <c r="D53" s="892"/>
      <c r="E53" s="862"/>
      <c r="F53" s="892"/>
      <c r="G53" s="892"/>
      <c r="H53" s="892"/>
      <c r="I53" s="892"/>
      <c r="J53" s="892"/>
      <c r="K53" s="892"/>
      <c r="L53" s="892"/>
      <c r="M53" s="892"/>
      <c r="N53" s="892"/>
      <c r="O53" s="892"/>
      <c r="P53" s="892"/>
      <c r="Q53" s="892"/>
      <c r="R53" s="892"/>
      <c r="S53" s="892"/>
      <c r="T53" s="892"/>
      <c r="U53" s="862"/>
      <c r="V53" s="892"/>
      <c r="W53" s="892"/>
      <c r="X53" s="862"/>
      <c r="Y53" s="892"/>
      <c r="Z53" s="892"/>
      <c r="AA53" s="862"/>
      <c r="AB53" s="892"/>
      <c r="AC53" s="1152"/>
      <c r="AD53" s="892"/>
      <c r="AE53" s="892"/>
      <c r="AF53" s="892"/>
      <c r="AG53" s="892"/>
      <c r="AH53" s="892"/>
      <c r="AI53" s="892"/>
      <c r="AJ53" s="892"/>
      <c r="AK53" s="892"/>
      <c r="AL53" s="893"/>
      <c r="AM53" s="892"/>
      <c r="AN53" s="892"/>
      <c r="AO53" s="892"/>
      <c r="AP53" s="892"/>
      <c r="AQ53" s="892"/>
      <c r="AR53" s="892"/>
      <c r="AS53" s="892"/>
      <c r="AT53" s="892"/>
      <c r="AU53" s="892"/>
      <c r="AV53" s="892"/>
      <c r="AW53" s="892"/>
      <c r="AX53" s="892"/>
      <c r="AY53" s="892"/>
      <c r="AZ53" s="892"/>
      <c r="BA53" s="892"/>
      <c r="BB53" s="892"/>
      <c r="BC53" s="892"/>
      <c r="BD53" s="892"/>
      <c r="BE53" s="892"/>
      <c r="BF53" s="892"/>
      <c r="BG53" s="892"/>
      <c r="BH53" s="892"/>
      <c r="BI53" s="892"/>
      <c r="BJ53" s="892"/>
      <c r="BK53" s="873"/>
      <c r="BL53" s="894"/>
    </row>
    <row r="54" spans="1:64" collapsed="1">
      <c r="B54" s="824" t="s">
        <v>224</v>
      </c>
      <c r="C54" s="827"/>
      <c r="D54" s="827"/>
      <c r="E54" s="827"/>
      <c r="F54" s="895">
        <f>F78-(F63-F75)</f>
        <v>-445.70000000000005</v>
      </c>
      <c r="G54" s="895">
        <f>G78-(G63-G75)</f>
        <v>-412.49999999999994</v>
      </c>
      <c r="H54" s="895"/>
      <c r="I54" s="895"/>
      <c r="J54" s="895"/>
      <c r="K54" s="896"/>
      <c r="L54" s="897"/>
      <c r="M54" s="897"/>
      <c r="N54" s="897"/>
      <c r="O54" s="897"/>
      <c r="P54" s="897"/>
      <c r="Q54" s="897"/>
      <c r="R54" s="897"/>
      <c r="S54" s="897"/>
      <c r="T54" s="897"/>
      <c r="U54" s="897"/>
      <c r="V54" s="897"/>
      <c r="W54" s="897"/>
      <c r="X54" s="897"/>
      <c r="Y54" s="897"/>
      <c r="Z54" s="897"/>
      <c r="AA54" s="897"/>
      <c r="AB54" s="897"/>
      <c r="AC54" s="898"/>
      <c r="AD54" s="897">
        <f t="shared" ref="AD54" si="204">(AD56/R56)^(1/4)-1</f>
        <v>5.2495456574437327E-2</v>
      </c>
      <c r="AE54" s="897">
        <f t="shared" ref="AE54" si="205">(AE56/S56)^(1/4)-1</f>
        <v>5.5725036450047227E-3</v>
      </c>
      <c r="AF54" s="827"/>
      <c r="AG54" s="897">
        <f t="shared" ref="AG54" si="206">(AG56/U56)^(1/4)-1</f>
        <v>1.4210244216756429E-2</v>
      </c>
      <c r="AH54" s="897">
        <f t="shared" ref="AH54" si="207">(AH56/V56)^(1/4)-1</f>
        <v>1.9086100031916908E-2</v>
      </c>
      <c r="AI54" s="827"/>
      <c r="AJ54" s="827"/>
      <c r="AK54" s="827"/>
      <c r="AL54" s="827"/>
      <c r="AM54" s="827"/>
      <c r="AN54" s="827"/>
      <c r="AO54" s="827"/>
      <c r="AP54" s="827"/>
      <c r="AQ54" s="827"/>
      <c r="AR54" s="827"/>
      <c r="AS54" s="827"/>
      <c r="AT54" s="827"/>
      <c r="AU54" s="827"/>
      <c r="AV54" s="827"/>
      <c r="AW54" s="827"/>
      <c r="AX54" s="827"/>
      <c r="AY54" s="827"/>
      <c r="AZ54" s="827"/>
      <c r="BA54" s="827"/>
      <c r="BB54" s="827"/>
      <c r="BC54" s="827"/>
      <c r="BD54" s="827"/>
      <c r="BE54" s="827"/>
      <c r="BF54" s="827"/>
      <c r="BG54" s="827"/>
      <c r="BH54" s="827"/>
      <c r="BI54" s="827"/>
      <c r="BJ54" s="827"/>
      <c r="BK54" s="873"/>
    </row>
    <row r="55" spans="1:64">
      <c r="A55" s="812" t="s">
        <v>948</v>
      </c>
      <c r="B55" s="812" t="s">
        <v>218</v>
      </c>
      <c r="C55" s="899">
        <v>309.5</v>
      </c>
      <c r="D55" s="899">
        <v>314</v>
      </c>
      <c r="E55" s="899">
        <v>311.75</v>
      </c>
      <c r="F55" s="899">
        <f>(F67+E67)*0.5</f>
        <v>318.5</v>
      </c>
      <c r="G55" s="899">
        <f>(F67+G67)*0.5</f>
        <v>320</v>
      </c>
      <c r="H55" s="899">
        <f>AVERAGE(F55:G55)</f>
        <v>319.25</v>
      </c>
      <c r="I55" s="899">
        <f>(I67+H67)*0.5</f>
        <v>321</v>
      </c>
      <c r="J55" s="899">
        <f>(I67+J67)*0.5</f>
        <v>323</v>
      </c>
      <c r="K55" s="900">
        <f>(K67+H67)*0.5</f>
        <v>321</v>
      </c>
      <c r="L55" s="899">
        <f>(L67+K67)*0.5</f>
        <v>324</v>
      </c>
      <c r="M55" s="899">
        <f>(L67+M67)*0.5</f>
        <v>325.5</v>
      </c>
      <c r="N55" s="899">
        <f>(N67+K67)*0.5</f>
        <v>324.5</v>
      </c>
      <c r="O55" s="899">
        <f>(O67+N67)*0.5</f>
        <v>326.5</v>
      </c>
      <c r="P55" s="899">
        <f>(O67+P67)*0.5</f>
        <v>327</v>
      </c>
      <c r="Q55" s="899">
        <f>(Q67+N67)*0.5</f>
        <v>326.5</v>
      </c>
      <c r="R55" s="899">
        <f>(R67+Q67)*0.5</f>
        <v>328</v>
      </c>
      <c r="S55" s="899">
        <f>(R67+S67)*0.5</f>
        <v>329</v>
      </c>
      <c r="T55" s="899">
        <f>(T67+Q67)*0.5</f>
        <v>328</v>
      </c>
      <c r="U55" s="899">
        <f>(U67+T67)*0.5</f>
        <v>329.5</v>
      </c>
      <c r="V55" s="899">
        <f>(U67+V67)*0.5</f>
        <v>330.5</v>
      </c>
      <c r="W55" s="899">
        <f>(W67+T67)*0.5</f>
        <v>330</v>
      </c>
      <c r="X55" s="899">
        <f>(X67+W67)*0.5</f>
        <v>334</v>
      </c>
      <c r="Y55" s="899">
        <f>(X67+Y67)*0.5</f>
        <v>339</v>
      </c>
      <c r="Z55" s="899">
        <f>(Z67+W67)*0.5</f>
        <v>336</v>
      </c>
      <c r="AA55" s="899">
        <f>(AA67+Z67)*0.5</f>
        <v>344.5</v>
      </c>
      <c r="AB55" s="899">
        <f>(AA67+AB67)*0.5</f>
        <v>350</v>
      </c>
      <c r="AC55" s="901">
        <f>(AC67+Z67)*0.5</f>
        <v>346.5</v>
      </c>
      <c r="AD55" s="899">
        <f>(AD67+AC67)*0.5</f>
        <v>353.5</v>
      </c>
      <c r="AE55" s="899">
        <f>(AD67+AE67)*0.5</f>
        <v>357</v>
      </c>
      <c r="AF55" s="899">
        <f>(AF67+AC67)*0.5</f>
        <v>355.5</v>
      </c>
      <c r="AG55" s="899">
        <f>(AG67+AF67)*0.5</f>
        <v>361</v>
      </c>
      <c r="AH55" s="899">
        <f>(AG67+AH67)*0.5</f>
        <v>365</v>
      </c>
      <c r="AI55" s="899">
        <f>(AI67+AF67)*0.5</f>
        <v>363</v>
      </c>
      <c r="AJ55" s="899"/>
      <c r="AK55" s="899"/>
      <c r="AL55" s="899">
        <f>(AL67+AI67)*0.5</f>
        <v>371</v>
      </c>
      <c r="AM55" s="899"/>
      <c r="AN55" s="899"/>
      <c r="AO55" s="899">
        <f>(AO67+AL67)*0.5</f>
        <v>378</v>
      </c>
      <c r="AP55" s="899"/>
      <c r="AQ55" s="899"/>
      <c r="AR55" s="899">
        <f>(AR67+AO67)*0.5</f>
        <v>383</v>
      </c>
      <c r="AS55" s="899"/>
      <c r="AT55" s="899"/>
      <c r="AU55" s="899">
        <f>(AU67+AR67)*0.5</f>
        <v>385.5</v>
      </c>
      <c r="AV55" s="899"/>
      <c r="AW55" s="899"/>
      <c r="AX55" s="899">
        <f>(AX67+AU67)*0.5</f>
        <v>386.5</v>
      </c>
      <c r="AY55" s="899"/>
      <c r="AZ55" s="899"/>
      <c r="BA55" s="899">
        <f>(BA67+AX67)*0.5</f>
        <v>387.5</v>
      </c>
      <c r="BB55" s="899"/>
      <c r="BC55" s="899"/>
      <c r="BD55" s="899">
        <f>(BD67+BA67)*0.5</f>
        <v>388.5</v>
      </c>
      <c r="BE55" s="899"/>
      <c r="BF55" s="899"/>
      <c r="BG55" s="899">
        <f>(BG67+BD67)*0.5</f>
        <v>389.5</v>
      </c>
      <c r="BH55" s="899"/>
      <c r="BI55" s="899"/>
      <c r="BJ55" s="899">
        <f t="shared" ref="BJ55" si="208">(BJ67+BG67)*0.5</f>
        <v>390.5</v>
      </c>
      <c r="BK55" s="873"/>
    </row>
    <row r="56" spans="1:64">
      <c r="A56" s="812" t="s">
        <v>945</v>
      </c>
      <c r="B56" s="812" t="s">
        <v>175</v>
      </c>
      <c r="C56" s="834">
        <v>1.5806138933764136</v>
      </c>
      <c r="D56" s="834">
        <v>1.4863057324840765</v>
      </c>
      <c r="E56" s="834">
        <v>3.0662389735364877</v>
      </c>
      <c r="F56" s="834">
        <f t="shared" ref="F56:I56" si="209">F63/F55</f>
        <v>1.6222919937205653</v>
      </c>
      <c r="G56" s="834">
        <f t="shared" si="209"/>
        <v>1.5303124999999997</v>
      </c>
      <c r="H56" s="834">
        <f t="shared" si="209"/>
        <v>3.1523884103367266</v>
      </c>
      <c r="I56" s="834">
        <f t="shared" si="209"/>
        <v>1.6535825545171339</v>
      </c>
      <c r="J56" s="834">
        <f>K56-I56</f>
        <v>1.5881619937694704</v>
      </c>
      <c r="K56" s="835">
        <f>K63/K55</f>
        <v>3.2417445482866043</v>
      </c>
      <c r="L56" s="834">
        <f>L63/L55</f>
        <v>1.6996913580246915</v>
      </c>
      <c r="M56" s="834">
        <f>N56-L56</f>
        <v>1.7508479331925659</v>
      </c>
      <c r="N56" s="834">
        <f t="shared" ref="N56:T56" si="210">N63/N55</f>
        <v>3.4505392912172574</v>
      </c>
      <c r="O56" s="834">
        <f t="shared" si="210"/>
        <v>2.027258805513017</v>
      </c>
      <c r="P56" s="834">
        <f t="shared" si="210"/>
        <v>1.9782874617737003</v>
      </c>
      <c r="Q56" s="834">
        <f t="shared" si="210"/>
        <v>4.0085758039816231</v>
      </c>
      <c r="R56" s="834">
        <f t="shared" si="210"/>
        <v>1.8783536585365854</v>
      </c>
      <c r="S56" s="834">
        <f t="shared" si="210"/>
        <v>2.1996960486322186</v>
      </c>
      <c r="T56" s="834">
        <f t="shared" si="210"/>
        <v>4.0847560975609758</v>
      </c>
      <c r="U56" s="834">
        <f>U63/U55</f>
        <v>2.2112291350531108</v>
      </c>
      <c r="V56" s="834">
        <f>V63/V55</f>
        <v>2.1773071104387292</v>
      </c>
      <c r="W56" s="834">
        <f t="shared" ref="W56" si="211">W63/W55</f>
        <v>4.3884848484848487</v>
      </c>
      <c r="X56" s="834">
        <f>X63/X55</f>
        <v>2.2754491017964074</v>
      </c>
      <c r="Y56" s="834">
        <f t="shared" ref="Y56:Z56" si="212">Y63/Y55</f>
        <v>2.178171091445428</v>
      </c>
      <c r="Z56" s="834">
        <f t="shared" si="212"/>
        <v>4.4595238095238097</v>
      </c>
      <c r="AA56" s="834">
        <f>AA63/AA55</f>
        <v>2.2461538461538462</v>
      </c>
      <c r="AB56" s="834">
        <f t="shared" ref="AB56" si="213">AB63/AB55</f>
        <v>2.172857142857143</v>
      </c>
      <c r="AC56" s="836">
        <f t="shared" ref="AC56" si="214">AC63/AC55</f>
        <v>4.4279942279942279</v>
      </c>
      <c r="AD56" s="834">
        <f>AA56*(1+AD57)</f>
        <v>2.3049328846153849</v>
      </c>
      <c r="AE56" s="834">
        <f t="shared" ref="AE56" si="215">AE63/AE55</f>
        <v>2.2491386705941103</v>
      </c>
      <c r="AF56" s="834">
        <f>AC56*(1+AF57)</f>
        <v>4.5505943181818171</v>
      </c>
      <c r="AG56" s="834">
        <f>AD56*(1+AG57)</f>
        <v>2.3396221245288467</v>
      </c>
      <c r="AH56" s="834">
        <f t="shared" ref="AH56" si="216">AH63/AH55</f>
        <v>2.3483520433358516</v>
      </c>
      <c r="AI56" s="834">
        <f>AF56*(1+AI57)</f>
        <v>4.6880222665909077</v>
      </c>
      <c r="AJ56" s="834"/>
      <c r="AK56" s="834"/>
      <c r="AL56" s="834">
        <f>AI56*(1+AL57)</f>
        <v>4.8056916254823392</v>
      </c>
      <c r="AM56" s="834"/>
      <c r="AN56" s="834"/>
      <c r="AO56" s="834">
        <f>AL56*(1+AO57)</f>
        <v>4.9263144852819458</v>
      </c>
      <c r="AP56" s="834"/>
      <c r="AQ56" s="834"/>
      <c r="AR56" s="834">
        <f>AO56*(1+AR57)</f>
        <v>5.0499649788625218</v>
      </c>
      <c r="AS56" s="834"/>
      <c r="AT56" s="834"/>
      <c r="AU56" s="834">
        <f>AR56*(1+AU57)</f>
        <v>5.1767190998319705</v>
      </c>
      <c r="AV56" s="834"/>
      <c r="AW56" s="834"/>
      <c r="AX56" s="834">
        <f>AU56*(1+AX57)</f>
        <v>5.28025348182861</v>
      </c>
      <c r="AY56" s="834"/>
      <c r="AZ56" s="834"/>
      <c r="BA56" s="834">
        <f>AX56*(1+BA57)</f>
        <v>5.3858585514651827</v>
      </c>
      <c r="BB56" s="834"/>
      <c r="BC56" s="834"/>
      <c r="BD56" s="834">
        <f>BA56*(1+BD57)</f>
        <v>5.4935757224944863</v>
      </c>
      <c r="BE56" s="834"/>
      <c r="BF56" s="834"/>
      <c r="BG56" s="834">
        <f>BD56*(1+BG57)</f>
        <v>5.6034472369443762</v>
      </c>
      <c r="BH56" s="834"/>
      <c r="BI56" s="834"/>
      <c r="BJ56" s="834">
        <f t="shared" ref="BJ56" si="217">BG56*(1+BJ57)</f>
        <v>5.715516181683264</v>
      </c>
      <c r="BK56" s="873"/>
    </row>
    <row r="57" spans="1:64" ht="12" customHeight="1">
      <c r="B57" s="812" t="s">
        <v>219</v>
      </c>
      <c r="C57" s="902">
        <v>4.6375376213793729E-2</v>
      </c>
      <c r="D57" s="903">
        <v>-2.0527398395249419E-2</v>
      </c>
      <c r="E57" s="902">
        <v>1.2609804058566043E-2</v>
      </c>
      <c r="F57" s="902">
        <f>+F56/C56-1</f>
        <v>2.6368299379629923E-2</v>
      </c>
      <c r="G57" s="902">
        <f>G56/D56-1</f>
        <v>2.9608152989071934E-2</v>
      </c>
      <c r="H57" s="902">
        <f>H56/E56-1</f>
        <v>2.8096126082722606E-2</v>
      </c>
      <c r="I57" s="902">
        <f>+I56/F56-1</f>
        <v>1.9287872292833574E-2</v>
      </c>
      <c r="J57" s="852">
        <f>J56/G56-1</f>
        <v>3.7802405567144426E-2</v>
      </c>
      <c r="K57" s="904">
        <f>K56/H56-1</f>
        <v>2.834553561257791E-2</v>
      </c>
      <c r="L57" s="902">
        <v>2.4E-2</v>
      </c>
      <c r="M57" s="852">
        <f t="shared" ref="M57:R57" si="218">M56/J56-1</f>
        <v>0.10243661544686877</v>
      </c>
      <c r="N57" s="902">
        <f t="shared" si="218"/>
        <v>6.4408141918834927E-2</v>
      </c>
      <c r="O57" s="902">
        <f t="shared" si="218"/>
        <v>0.19272172323627634</v>
      </c>
      <c r="P57" s="902">
        <f t="shared" si="218"/>
        <v>0.12990250282125415</v>
      </c>
      <c r="Q57" s="902">
        <f t="shared" si="218"/>
        <v>0.16172443368048284</v>
      </c>
      <c r="R57" s="902">
        <f t="shared" si="218"/>
        <v>-7.3451473769156839E-2</v>
      </c>
      <c r="S57" s="902">
        <f t="shared" ref="S57:T57" si="219">S56/P56-1</f>
        <v>0.11191931968269508</v>
      </c>
      <c r="T57" s="902">
        <f t="shared" si="219"/>
        <v>1.9004329044665758E-2</v>
      </c>
      <c r="U57" s="902">
        <f>U56/R56-1</f>
        <v>0.17721661466875549</v>
      </c>
      <c r="V57" s="852">
        <f>V56/S56-1</f>
        <v>-1.0178196304626241E-2</v>
      </c>
      <c r="W57" s="902">
        <f t="shared" ref="W57" si="220">W56/T56-1</f>
        <v>7.4356643008680612E-2</v>
      </c>
      <c r="X57" s="902">
        <f>X56/U56-1</f>
        <v>2.9042655835734621E-2</v>
      </c>
      <c r="Y57" s="852">
        <f>Y56/V56-1</f>
        <v>3.9681173250971646E-4</v>
      </c>
      <c r="Z57" s="902">
        <f t="shared" ref="Z57" si="221">Z56/W56-1</f>
        <v>1.6187582614871632E-2</v>
      </c>
      <c r="AA57" s="902">
        <f>AA56/X56-1</f>
        <v>-1.2874493927125585E-2</v>
      </c>
      <c r="AB57" s="852">
        <f>AB56/Y56-1</f>
        <v>-2.4396378269617713E-3</v>
      </c>
      <c r="AC57" s="905">
        <f t="shared" ref="AC57" si="222">AC56/Z56-1</f>
        <v>-7.0701677749195335E-3</v>
      </c>
      <c r="AD57" s="902">
        <f>(1+AD58)*(1+AD59)-1</f>
        <v>2.6168750000000074E-2</v>
      </c>
      <c r="AE57" s="852">
        <f>AE56/AB56-1</f>
        <v>3.5106554514054533E-2</v>
      </c>
      <c r="AF57" s="902">
        <f t="shared" ref="AF57:AU57" si="223">(1+AF58)*(1+AF59)-1</f>
        <v>2.7687499999999865E-2</v>
      </c>
      <c r="AG57" s="902">
        <f>(1+AG58)*(1+AG59)-1</f>
        <v>1.5050000000000008E-2</v>
      </c>
      <c r="AH57" s="852">
        <f>AH56/AE56-1</f>
        <v>4.4111718872155592E-2</v>
      </c>
      <c r="AI57" s="902">
        <f t="shared" si="223"/>
        <v>3.0200000000000005E-2</v>
      </c>
      <c r="AJ57" s="902"/>
      <c r="AK57" s="902"/>
      <c r="AL57" s="902">
        <f t="shared" si="223"/>
        <v>2.50999999999999E-2</v>
      </c>
      <c r="AM57" s="902"/>
      <c r="AN57" s="902"/>
      <c r="AO57" s="902">
        <f t="shared" si="223"/>
        <v>2.50999999999999E-2</v>
      </c>
      <c r="AP57" s="902"/>
      <c r="AQ57" s="902"/>
      <c r="AR57" s="902">
        <f t="shared" si="223"/>
        <v>2.50999999999999E-2</v>
      </c>
      <c r="AS57" s="902"/>
      <c r="AT57" s="902"/>
      <c r="AU57" s="902">
        <f t="shared" si="223"/>
        <v>2.50999999999999E-2</v>
      </c>
      <c r="AV57" s="902"/>
      <c r="AW57" s="902"/>
      <c r="AX57" s="902">
        <f t="shared" ref="AX57:BA57" si="224">(1+AX58)*(1+AX59)-1</f>
        <v>2.0000000000000018E-2</v>
      </c>
      <c r="AY57" s="902"/>
      <c r="AZ57" s="902"/>
      <c r="BA57" s="902">
        <f t="shared" si="224"/>
        <v>2.0000000000000018E-2</v>
      </c>
      <c r="BB57" s="902"/>
      <c r="BC57" s="902"/>
      <c r="BD57" s="902">
        <f t="shared" ref="BD57:BG57" si="225">(1+BD58)*(1+BD59)-1</f>
        <v>2.0000000000000018E-2</v>
      </c>
      <c r="BE57" s="902"/>
      <c r="BF57" s="902"/>
      <c r="BG57" s="902">
        <f t="shared" si="225"/>
        <v>2.0000000000000018E-2</v>
      </c>
      <c r="BH57" s="902"/>
      <c r="BI57" s="902"/>
      <c r="BJ57" s="902">
        <f t="shared" ref="BJ57" si="226">(1+BJ58)*(1+BJ59)-1</f>
        <v>2.0000000000000018E-2</v>
      </c>
      <c r="BK57" s="906"/>
    </row>
    <row r="58" spans="1:64" ht="12" customHeight="1">
      <c r="B58" s="812" t="s">
        <v>803</v>
      </c>
      <c r="C58" s="907"/>
      <c r="D58" s="908"/>
      <c r="E58" s="907"/>
      <c r="F58" s="907"/>
      <c r="G58" s="907"/>
      <c r="H58" s="907"/>
      <c r="I58" s="907"/>
      <c r="J58" s="852"/>
      <c r="K58" s="904"/>
      <c r="L58" s="907"/>
      <c r="M58" s="852"/>
      <c r="N58" s="907"/>
      <c r="O58" s="907"/>
      <c r="P58" s="907"/>
      <c r="Q58" s="907"/>
      <c r="R58" s="907"/>
      <c r="S58" s="907"/>
      <c r="T58" s="907"/>
      <c r="U58" s="907"/>
      <c r="V58" s="852"/>
      <c r="W58" s="907" t="s">
        <v>1086</v>
      </c>
      <c r="X58" s="907"/>
      <c r="Y58" s="852"/>
      <c r="Z58" s="907" t="s">
        <v>994</v>
      </c>
      <c r="AA58" s="907"/>
      <c r="AB58" s="852"/>
      <c r="AC58" s="909" t="s">
        <v>1085</v>
      </c>
      <c r="AD58" s="911">
        <v>1.2500000000000001E-2</v>
      </c>
      <c r="AE58" s="911">
        <v>0.02</v>
      </c>
      <c r="AF58" s="911">
        <v>1.4999999999999999E-2</v>
      </c>
      <c r="AG58" s="911">
        <v>0.01</v>
      </c>
      <c r="AH58" s="911">
        <v>0.02</v>
      </c>
      <c r="AI58" s="911">
        <v>0.01</v>
      </c>
      <c r="AJ58" s="911"/>
      <c r="AK58" s="911"/>
      <c r="AL58" s="911">
        <v>5.0000000000000001E-3</v>
      </c>
      <c r="AM58" s="911"/>
      <c r="AN58" s="911"/>
      <c r="AO58" s="911">
        <v>5.0000000000000001E-3</v>
      </c>
      <c r="AP58" s="911"/>
      <c r="AQ58" s="911"/>
      <c r="AR58" s="911">
        <v>5.0000000000000001E-3</v>
      </c>
      <c r="AS58" s="911"/>
      <c r="AT58" s="911"/>
      <c r="AU58" s="911">
        <v>5.0000000000000001E-3</v>
      </c>
      <c r="AV58" s="911"/>
      <c r="AW58" s="911"/>
      <c r="AX58" s="911">
        <v>0</v>
      </c>
      <c r="AY58" s="911">
        <v>0</v>
      </c>
      <c r="AZ58" s="911">
        <v>0</v>
      </c>
      <c r="BA58" s="911">
        <v>0</v>
      </c>
      <c r="BB58" s="911">
        <v>0</v>
      </c>
      <c r="BC58" s="911">
        <v>0</v>
      </c>
      <c r="BD58" s="911">
        <v>0</v>
      </c>
      <c r="BE58" s="911">
        <v>0</v>
      </c>
      <c r="BF58" s="911">
        <v>0</v>
      </c>
      <c r="BG58" s="911">
        <v>0</v>
      </c>
      <c r="BH58" s="911">
        <v>0</v>
      </c>
      <c r="BI58" s="911">
        <v>0</v>
      </c>
      <c r="BJ58" s="911">
        <v>0</v>
      </c>
      <c r="BK58" s="906"/>
    </row>
    <row r="59" spans="1:64" ht="12" customHeight="1">
      <c r="B59" s="812" t="s">
        <v>804</v>
      </c>
      <c r="C59" s="907"/>
      <c r="D59" s="908"/>
      <c r="E59" s="907"/>
      <c r="F59" s="907"/>
      <c r="G59" s="907"/>
      <c r="H59" s="907"/>
      <c r="I59" s="907"/>
      <c r="J59" s="852"/>
      <c r="K59" s="904"/>
      <c r="L59" s="907"/>
      <c r="M59" s="852"/>
      <c r="N59" s="907"/>
      <c r="O59" s="907"/>
      <c r="P59" s="907"/>
      <c r="Q59" s="907"/>
      <c r="R59" s="907"/>
      <c r="S59" s="907"/>
      <c r="T59" s="907"/>
      <c r="U59" s="907"/>
      <c r="V59" s="852"/>
      <c r="W59" s="907" t="s">
        <v>1086</v>
      </c>
      <c r="X59" s="907"/>
      <c r="Y59" s="852"/>
      <c r="Z59" s="907" t="s">
        <v>994</v>
      </c>
      <c r="AA59" s="907"/>
      <c r="AB59" s="852"/>
      <c r="AC59" s="909" t="s">
        <v>994</v>
      </c>
      <c r="AD59" s="911">
        <v>1.35E-2</v>
      </c>
      <c r="AE59" s="911">
        <v>0.01</v>
      </c>
      <c r="AF59" s="911">
        <v>1.2500000000000001E-2</v>
      </c>
      <c r="AG59" s="911">
        <v>5.0000000000000001E-3</v>
      </c>
      <c r="AH59" s="911">
        <v>0.01</v>
      </c>
      <c r="AI59" s="911">
        <v>0.02</v>
      </c>
      <c r="AJ59" s="911"/>
      <c r="AK59" s="911"/>
      <c r="AL59" s="911">
        <v>0.02</v>
      </c>
      <c r="AM59" s="911"/>
      <c r="AN59" s="911"/>
      <c r="AO59" s="911">
        <v>0.02</v>
      </c>
      <c r="AP59" s="911"/>
      <c r="AQ59" s="911"/>
      <c r="AR59" s="911">
        <v>0.02</v>
      </c>
      <c r="AS59" s="911"/>
      <c r="AT59" s="911"/>
      <c r="AU59" s="911">
        <v>0.02</v>
      </c>
      <c r="AV59" s="911"/>
      <c r="AW59" s="911"/>
      <c r="AX59" s="911">
        <v>0.02</v>
      </c>
      <c r="AY59" s="911"/>
      <c r="AZ59" s="911"/>
      <c r="BA59" s="911">
        <v>0.02</v>
      </c>
      <c r="BB59" s="911"/>
      <c r="BC59" s="911"/>
      <c r="BD59" s="911">
        <v>0.02</v>
      </c>
      <c r="BE59" s="911"/>
      <c r="BF59" s="911"/>
      <c r="BG59" s="911">
        <v>0.02</v>
      </c>
      <c r="BH59" s="911"/>
      <c r="BI59" s="911"/>
      <c r="BJ59" s="911">
        <v>0.02</v>
      </c>
      <c r="BK59" s="906"/>
    </row>
    <row r="60" spans="1:64" s="912" customFormat="1" ht="12" hidden="1" customHeight="1" outlineLevel="1">
      <c r="B60" s="912" t="s">
        <v>763</v>
      </c>
      <c r="C60" s="913"/>
      <c r="D60" s="914"/>
      <c r="E60" s="913"/>
      <c r="F60" s="913"/>
      <c r="G60" s="913"/>
      <c r="H60" s="913"/>
      <c r="I60" s="913"/>
      <c r="J60" s="867"/>
      <c r="K60" s="915"/>
      <c r="L60" s="913"/>
      <c r="M60" s="867"/>
      <c r="N60" s="913">
        <f>(1+N57)*(1+N59)-1</f>
        <v>6.4408141918834927E-2</v>
      </c>
      <c r="O60" s="913">
        <f>(1+O57)*(1+O59)-1</f>
        <v>0.19272172323627634</v>
      </c>
      <c r="P60" s="913">
        <f>(1+P57)*(1+P59)-1</f>
        <v>0.12990250282125415</v>
      </c>
      <c r="Q60" s="913">
        <f>(1+Q57)*(1+Q59)-1</f>
        <v>0.16172443368048284</v>
      </c>
      <c r="R60" s="913">
        <f>R56/L56-1</f>
        <v>0.10511455486808363</v>
      </c>
      <c r="S60" s="913">
        <f>S56/M56-1</f>
        <v>0.2563604222447835</v>
      </c>
      <c r="T60" s="913">
        <f>T56/N56-1</f>
        <v>0.18380222707737492</v>
      </c>
      <c r="U60" s="913"/>
      <c r="V60" s="913">
        <f>V56/P56-1</f>
        <v>0.10060198657205821</v>
      </c>
      <c r="W60" s="913"/>
      <c r="X60" s="913"/>
      <c r="Y60" s="913">
        <f>Y56/S56-1</f>
        <v>-9.7854233998260209E-3</v>
      </c>
      <c r="Z60" s="913"/>
      <c r="AA60" s="913"/>
      <c r="AB60" s="913">
        <f>AB56/V56-1</f>
        <v>-2.0437941713649099E-3</v>
      </c>
      <c r="AC60" s="916"/>
      <c r="AD60" s="913"/>
      <c r="AE60" s="913">
        <f>AE56/Y56-1</f>
        <v>3.2581269408725966E-2</v>
      </c>
      <c r="AF60" s="913"/>
      <c r="AG60" s="913"/>
      <c r="AH60" s="913">
        <f>AH56/AB56-1</f>
        <v>8.0766883849504145E-2</v>
      </c>
      <c r="AI60" s="913"/>
      <c r="AJ60" s="913"/>
      <c r="AK60" s="913"/>
      <c r="AL60" s="913"/>
      <c r="AM60" s="913"/>
      <c r="AN60" s="913"/>
      <c r="AO60" s="913"/>
      <c r="AP60" s="913"/>
      <c r="AQ60" s="913"/>
      <c r="AR60" s="913"/>
      <c r="AS60" s="913"/>
      <c r="AT60" s="913"/>
      <c r="AU60" s="913"/>
      <c r="AV60" s="913"/>
      <c r="AW60" s="913"/>
      <c r="AX60" s="913"/>
      <c r="AY60" s="913"/>
      <c r="AZ60" s="913"/>
      <c r="BA60" s="913"/>
      <c r="BB60" s="913"/>
      <c r="BC60" s="913"/>
      <c r="BD60" s="913"/>
      <c r="BE60" s="913"/>
      <c r="BF60" s="913"/>
      <c r="BG60" s="913"/>
      <c r="BH60" s="913"/>
      <c r="BI60" s="913"/>
      <c r="BJ60" s="913"/>
      <c r="BK60" s="917"/>
      <c r="BL60" s="918"/>
    </row>
    <row r="61" spans="1:64" s="912" customFormat="1" ht="12" hidden="1" customHeight="1" outlineLevel="1">
      <c r="B61" s="912" t="s">
        <v>764</v>
      </c>
      <c r="C61" s="913"/>
      <c r="D61" s="914"/>
      <c r="E61" s="913"/>
      <c r="F61" s="913"/>
      <c r="G61" s="913"/>
      <c r="H61" s="913"/>
      <c r="I61" s="913"/>
      <c r="J61" s="867"/>
      <c r="K61" s="915"/>
      <c r="L61" s="913"/>
      <c r="M61" s="867"/>
      <c r="N61" s="913"/>
      <c r="O61" s="913"/>
      <c r="P61" s="913"/>
      <c r="Q61" s="913"/>
      <c r="R61" s="913">
        <f>R56/I56-1</f>
        <v>0.13592977466134881</v>
      </c>
      <c r="S61" s="913">
        <f>S56/J56-1</f>
        <v>0.38505773168093782</v>
      </c>
      <c r="T61" s="913">
        <f>T56/K56-1</f>
        <v>0.26004872892280728</v>
      </c>
      <c r="U61" s="913"/>
      <c r="V61" s="913">
        <f>V56/M56-1</f>
        <v>0.24357293923781298</v>
      </c>
      <c r="W61" s="913"/>
      <c r="X61" s="913"/>
      <c r="Y61" s="913">
        <f>Y56/P56-1</f>
        <v>0.10103871835315337</v>
      </c>
      <c r="Z61" s="913"/>
      <c r="AA61" s="913"/>
      <c r="AB61" s="913">
        <f>AB56/S56-1</f>
        <v>-1.2201188337708779E-2</v>
      </c>
      <c r="AC61" s="916"/>
      <c r="AD61" s="913"/>
      <c r="AE61" s="913">
        <f>AE56/V56-1</f>
        <v>3.2991009771197177E-2</v>
      </c>
      <c r="AF61" s="913"/>
      <c r="AG61" s="913"/>
      <c r="AH61" s="913">
        <f>AH56/Y56-1</f>
        <v>7.8130204077537346E-2</v>
      </c>
      <c r="AI61" s="913"/>
      <c r="AJ61" s="913"/>
      <c r="AK61" s="913"/>
      <c r="AL61" s="913"/>
      <c r="AM61" s="913"/>
      <c r="AN61" s="913"/>
      <c r="AO61" s="913"/>
      <c r="AP61" s="913"/>
      <c r="AQ61" s="913"/>
      <c r="AR61" s="913"/>
      <c r="AS61" s="913"/>
      <c r="AT61" s="913"/>
      <c r="AU61" s="913"/>
      <c r="AV61" s="913"/>
      <c r="AW61" s="913"/>
      <c r="AX61" s="913"/>
      <c r="AY61" s="913"/>
      <c r="AZ61" s="913"/>
      <c r="BA61" s="913"/>
      <c r="BB61" s="913"/>
      <c r="BC61" s="913"/>
      <c r="BD61" s="913"/>
      <c r="BE61" s="913"/>
      <c r="BF61" s="913"/>
      <c r="BG61" s="913"/>
      <c r="BH61" s="913"/>
      <c r="BI61" s="913"/>
      <c r="BJ61" s="913"/>
      <c r="BK61" s="917"/>
      <c r="BL61" s="918"/>
    </row>
    <row r="62" spans="1:64" s="912" customFormat="1" ht="12" customHeight="1" collapsed="1">
      <c r="B62" s="919"/>
      <c r="C62" s="913"/>
      <c r="D62" s="914"/>
      <c r="E62" s="913"/>
      <c r="F62" s="913"/>
      <c r="G62" s="913"/>
      <c r="H62" s="913"/>
      <c r="I62" s="913"/>
      <c r="J62" s="867"/>
      <c r="K62" s="915"/>
      <c r="L62" s="913"/>
      <c r="M62" s="867"/>
      <c r="N62" s="913"/>
      <c r="O62" s="913"/>
      <c r="P62" s="913"/>
      <c r="Q62" s="913"/>
      <c r="R62" s="913"/>
      <c r="S62" s="913"/>
      <c r="T62" s="913"/>
      <c r="U62" s="913"/>
      <c r="V62" s="913"/>
      <c r="W62" s="913"/>
      <c r="X62" s="913"/>
      <c r="Y62" s="913"/>
      <c r="Z62" s="913"/>
      <c r="AA62" s="913"/>
      <c r="AB62" s="913"/>
      <c r="AC62" s="916"/>
      <c r="AD62" s="913"/>
      <c r="AE62" s="913"/>
      <c r="AF62" s="913"/>
      <c r="AG62" s="913"/>
      <c r="AH62" s="913"/>
      <c r="AI62" s="913">
        <f>(AI56/AC56)^(1/2)-1</f>
        <v>2.8942983114224718E-2</v>
      </c>
      <c r="AJ62" s="913"/>
      <c r="AK62" s="913"/>
      <c r="AL62" s="913"/>
      <c r="AM62" s="913"/>
      <c r="AN62" s="913"/>
      <c r="AO62" s="913"/>
      <c r="AP62" s="913"/>
      <c r="AQ62" s="913"/>
      <c r="AR62" s="913"/>
      <c r="AS62" s="913"/>
      <c r="AT62" s="913"/>
      <c r="AU62" s="913"/>
      <c r="AV62" s="913"/>
      <c r="AW62" s="913"/>
      <c r="AX62" s="913"/>
      <c r="AY62" s="913"/>
      <c r="AZ62" s="913"/>
      <c r="BA62" s="913"/>
      <c r="BB62" s="913"/>
      <c r="BC62" s="913"/>
      <c r="BD62" s="913"/>
      <c r="BE62" s="913"/>
      <c r="BF62" s="913"/>
      <c r="BG62" s="913"/>
      <c r="BH62" s="913"/>
      <c r="BI62" s="913"/>
      <c r="BJ62" s="913"/>
      <c r="BK62" s="917"/>
      <c r="BL62" s="918"/>
    </row>
    <row r="63" spans="1:64" s="848" customFormat="1">
      <c r="B63" s="920" t="s">
        <v>38</v>
      </c>
      <c r="C63" s="921">
        <v>489.2</v>
      </c>
      <c r="D63" s="922">
        <f>E63-C63</f>
        <v>466.7</v>
      </c>
      <c r="E63" s="923">
        <v>955.9</v>
      </c>
      <c r="F63" s="923">
        <v>516.70000000000005</v>
      </c>
      <c r="G63" s="923">
        <f>H63-F63</f>
        <v>489.69999999999993</v>
      </c>
      <c r="H63" s="923">
        <v>1006.4</v>
      </c>
      <c r="I63" s="923">
        <v>530.79999999999995</v>
      </c>
      <c r="J63" s="924">
        <f>K63-I63</f>
        <v>509.79999999999995</v>
      </c>
      <c r="K63" s="925">
        <v>1040.5999999999999</v>
      </c>
      <c r="L63" s="923">
        <v>550.70000000000005</v>
      </c>
      <c r="M63" s="924">
        <f>N63-L63</f>
        <v>569</v>
      </c>
      <c r="N63" s="923">
        <v>1119.7</v>
      </c>
      <c r="O63" s="923">
        <v>661.9</v>
      </c>
      <c r="P63" s="923">
        <f>Q63-O63</f>
        <v>646.9</v>
      </c>
      <c r="Q63" s="923">
        <v>1308.8</v>
      </c>
      <c r="R63" s="923">
        <v>616.1</v>
      </c>
      <c r="S63" s="923">
        <f>T63-R63</f>
        <v>723.69999999999993</v>
      </c>
      <c r="T63" s="923">
        <v>1339.8</v>
      </c>
      <c r="U63" s="923">
        <v>728.6</v>
      </c>
      <c r="V63" s="924">
        <f>W63-U63</f>
        <v>719.6</v>
      </c>
      <c r="W63" s="923">
        <v>1448.2</v>
      </c>
      <c r="X63" s="923">
        <v>760</v>
      </c>
      <c r="Y63" s="924">
        <f>Z63-X63</f>
        <v>738.40000000000009</v>
      </c>
      <c r="Z63" s="923">
        <v>1498.4</v>
      </c>
      <c r="AA63" s="923">
        <v>773.8</v>
      </c>
      <c r="AB63" s="924">
        <f>AC63-AA63</f>
        <v>760.5</v>
      </c>
      <c r="AC63" s="926">
        <v>1534.3</v>
      </c>
      <c r="AD63" s="924">
        <f>AD56*AD55</f>
        <v>814.79377471153862</v>
      </c>
      <c r="AE63" s="924">
        <f>AF63-AD63</f>
        <v>802.94250540209737</v>
      </c>
      <c r="AF63" s="924">
        <f t="shared" ref="AF63:AU63" si="227">AF56*AF55</f>
        <v>1617.736280113636</v>
      </c>
      <c r="AG63" s="924">
        <f>AG56*AG55</f>
        <v>844.60358695491368</v>
      </c>
      <c r="AH63" s="924">
        <f>AI63-AG63</f>
        <v>857.14849581758585</v>
      </c>
      <c r="AI63" s="924">
        <f t="shared" si="227"/>
        <v>1701.7520827724995</v>
      </c>
      <c r="AJ63" s="924"/>
      <c r="AK63" s="924"/>
      <c r="AL63" s="924">
        <f t="shared" si="227"/>
        <v>1782.9115930539479</v>
      </c>
      <c r="AM63" s="924"/>
      <c r="AN63" s="924"/>
      <c r="AO63" s="924">
        <f t="shared" si="227"/>
        <v>1862.1468754365756</v>
      </c>
      <c r="AP63" s="924"/>
      <c r="AQ63" s="924"/>
      <c r="AR63" s="924">
        <f t="shared" si="227"/>
        <v>1934.1365869043459</v>
      </c>
      <c r="AS63" s="924"/>
      <c r="AT63" s="924"/>
      <c r="AU63" s="924">
        <f t="shared" si="227"/>
        <v>1995.6252129852246</v>
      </c>
      <c r="AV63" s="924"/>
      <c r="AW63" s="924"/>
      <c r="AX63" s="924">
        <f t="shared" ref="AX63:BA63" si="228">AX56*AX55</f>
        <v>2040.8179707267577</v>
      </c>
      <c r="AY63" s="924"/>
      <c r="AZ63" s="924"/>
      <c r="BA63" s="924">
        <f t="shared" si="228"/>
        <v>2087.0201886927584</v>
      </c>
      <c r="BB63" s="924"/>
      <c r="BC63" s="924"/>
      <c r="BD63" s="924">
        <f t="shared" ref="BD63:BG63" si="229">BD56*BD55</f>
        <v>2134.254168189108</v>
      </c>
      <c r="BE63" s="924"/>
      <c r="BF63" s="924"/>
      <c r="BG63" s="924">
        <f t="shared" si="229"/>
        <v>2182.5426987898345</v>
      </c>
      <c r="BH63" s="924"/>
      <c r="BI63" s="924"/>
      <c r="BJ63" s="924">
        <f t="shared" ref="BJ63" si="230">BJ56*BJ55</f>
        <v>2231.9090689473146</v>
      </c>
      <c r="BK63" s="873"/>
      <c r="BL63" s="865"/>
    </row>
    <row r="64" spans="1:64">
      <c r="B64" s="812" t="s">
        <v>251</v>
      </c>
      <c r="C64" s="927">
        <v>6.882237273323133E-2</v>
      </c>
      <c r="D64" s="927">
        <v>3.4401204042142641E-3</v>
      </c>
      <c r="E64" s="927">
        <v>3.5869094061551809E-2</v>
      </c>
      <c r="F64" s="927">
        <f t="shared" ref="F64:W64" si="231">F63/C63-1</f>
        <v>5.6214227309893783E-2</v>
      </c>
      <c r="G64" s="927">
        <f t="shared" si="231"/>
        <v>4.9282194128990708E-2</v>
      </c>
      <c r="H64" s="927">
        <f t="shared" si="231"/>
        <v>5.2829793911497003E-2</v>
      </c>
      <c r="I64" s="927">
        <f t="shared" si="231"/>
        <v>2.7288562028256136E-2</v>
      </c>
      <c r="J64" s="927">
        <f t="shared" si="231"/>
        <v>4.1045538084541588E-2</v>
      </c>
      <c r="K64" s="928">
        <f t="shared" si="231"/>
        <v>3.3982511923688286E-2</v>
      </c>
      <c r="L64" s="927">
        <f t="shared" si="231"/>
        <v>3.7490580256217099E-2</v>
      </c>
      <c r="M64" s="927">
        <f t="shared" si="231"/>
        <v>0.11612397018438614</v>
      </c>
      <c r="N64" s="927">
        <f t="shared" si="231"/>
        <v>7.6013838170286618E-2</v>
      </c>
      <c r="O64" s="927">
        <f t="shared" si="231"/>
        <v>0.20192482295260561</v>
      </c>
      <c r="P64" s="927">
        <f t="shared" si="231"/>
        <v>0.13690685413005266</v>
      </c>
      <c r="Q64" s="927">
        <f t="shared" si="231"/>
        <v>0.16888452263999287</v>
      </c>
      <c r="R64" s="927">
        <f t="shared" si="231"/>
        <v>-6.9194742408218657E-2</v>
      </c>
      <c r="S64" s="927">
        <f t="shared" si="231"/>
        <v>0.11872004946668713</v>
      </c>
      <c r="T64" s="927">
        <f t="shared" si="231"/>
        <v>2.3685819070904612E-2</v>
      </c>
      <c r="U64" s="927">
        <f>U63/R63-1</f>
        <v>0.18260022723583824</v>
      </c>
      <c r="V64" s="927">
        <f>V63/S63-1</f>
        <v>-5.6653309382339589E-3</v>
      </c>
      <c r="W64" s="927">
        <f t="shared" si="231"/>
        <v>8.0907598148977522E-2</v>
      </c>
      <c r="X64" s="927">
        <f>X63/U63-1</f>
        <v>4.3096349162777825E-2</v>
      </c>
      <c r="Y64" s="927">
        <f>Y63/V63-1</f>
        <v>2.612562534741536E-2</v>
      </c>
      <c r="Z64" s="927">
        <f t="shared" ref="Z64" si="232">Z63/W63-1</f>
        <v>3.4663720480596627E-2</v>
      </c>
      <c r="AA64" s="927">
        <f t="shared" ref="AA64" si="233">AA63/X63-1</f>
        <v>1.8157894736842151E-2</v>
      </c>
      <c r="AB64" s="927">
        <f>AB63/Y63-1</f>
        <v>2.9929577464788526E-2</v>
      </c>
      <c r="AC64" s="929">
        <f>AC63/Z63-1</f>
        <v>2.395888948211411E-2</v>
      </c>
      <c r="AD64" s="927">
        <f t="shared" ref="AD64" si="234">AD63/AA63-1</f>
        <v>5.2977222423802983E-2</v>
      </c>
      <c r="AE64" s="927">
        <f t="shared" ref="AE64" si="235">AE63/AB63-1</f>
        <v>5.5808685604335828E-2</v>
      </c>
      <c r="AF64" s="927">
        <f>AF63/AC63-1</f>
        <v>5.4380681818181564E-2</v>
      </c>
      <c r="AG64" s="927">
        <f t="shared" ref="AG64" si="236">AG63/AD63-1</f>
        <v>3.6585714285714444E-2</v>
      </c>
      <c r="AH64" s="927">
        <f t="shared" ref="AH64" si="237">AH63/AE63-1</f>
        <v>6.7509180359486942E-2</v>
      </c>
      <c r="AI64" s="927">
        <f>AI63/AF63-1</f>
        <v>5.1934177215189781E-2</v>
      </c>
      <c r="AJ64" s="927"/>
      <c r="AK64" s="927"/>
      <c r="AL64" s="927">
        <f>AL63/AI63-1</f>
        <v>4.7691735537189972E-2</v>
      </c>
      <c r="AM64" s="927"/>
      <c r="AN64" s="927"/>
      <c r="AO64" s="927">
        <f>AO63/AL63-1</f>
        <v>4.4441509433962301E-2</v>
      </c>
      <c r="AP64" s="927"/>
      <c r="AQ64" s="927"/>
      <c r="AR64" s="927">
        <f>AR63/AO63-1</f>
        <v>3.8659523809523533E-2</v>
      </c>
      <c r="AS64" s="927"/>
      <c r="AT64" s="927"/>
      <c r="AU64" s="927">
        <f>AU63/AR63-1</f>
        <v>3.1791253263707464E-2</v>
      </c>
      <c r="AV64" s="927"/>
      <c r="AW64" s="927"/>
      <c r="AX64" s="927">
        <f>AX63/AU63-1</f>
        <v>2.2645914396887123E-2</v>
      </c>
      <c r="AY64" s="927"/>
      <c r="AZ64" s="927"/>
      <c r="BA64" s="927">
        <f>BA63/AX63-1</f>
        <v>2.2639068564036302E-2</v>
      </c>
      <c r="BB64" s="927"/>
      <c r="BC64" s="927"/>
      <c r="BD64" s="927">
        <f>BD63/BA63-1</f>
        <v>2.2632258064516186E-2</v>
      </c>
      <c r="BE64" s="927"/>
      <c r="BF64" s="927"/>
      <c r="BG64" s="927">
        <f>BG63/BD63-1</f>
        <v>2.2625482625482585E-2</v>
      </c>
      <c r="BH64" s="927"/>
      <c r="BI64" s="927"/>
      <c r="BJ64" s="927">
        <f t="shared" ref="BJ64" si="238">BJ63/BG63-1</f>
        <v>2.2618741976893508E-2</v>
      </c>
      <c r="BK64" s="873"/>
    </row>
    <row r="65" spans="2:64">
      <c r="B65" s="812" t="s">
        <v>252</v>
      </c>
      <c r="C65" s="899">
        <v>307</v>
      </c>
      <c r="D65" s="899">
        <v>312</v>
      </c>
      <c r="E65" s="899">
        <v>307</v>
      </c>
      <c r="F65" s="899">
        <f>E67</f>
        <v>316</v>
      </c>
      <c r="G65" s="899">
        <f>F67</f>
        <v>321</v>
      </c>
      <c r="H65" s="899">
        <f>E67</f>
        <v>316</v>
      </c>
      <c r="I65" s="899">
        <f>H67</f>
        <v>319</v>
      </c>
      <c r="J65" s="899">
        <f>I67</f>
        <v>323</v>
      </c>
      <c r="K65" s="900">
        <f>H67</f>
        <v>319</v>
      </c>
      <c r="L65" s="899">
        <f>K67</f>
        <v>323</v>
      </c>
      <c r="M65" s="899">
        <f>L67</f>
        <v>325</v>
      </c>
      <c r="N65" s="899">
        <f>K67</f>
        <v>323</v>
      </c>
      <c r="O65" s="899">
        <f>N67</f>
        <v>326</v>
      </c>
      <c r="P65" s="899">
        <f>O67</f>
        <v>327</v>
      </c>
      <c r="Q65" s="899">
        <f>N67</f>
        <v>326</v>
      </c>
      <c r="R65" s="899">
        <f>Q67</f>
        <v>327</v>
      </c>
      <c r="S65" s="899">
        <f>R67</f>
        <v>329</v>
      </c>
      <c r="T65" s="899">
        <f>Q67</f>
        <v>327</v>
      </c>
      <c r="U65" s="899">
        <f>T67</f>
        <v>329</v>
      </c>
      <c r="V65" s="899">
        <f>U67</f>
        <v>330</v>
      </c>
      <c r="W65" s="899">
        <f>T67</f>
        <v>329</v>
      </c>
      <c r="X65" s="899">
        <f>W67</f>
        <v>331</v>
      </c>
      <c r="Y65" s="899">
        <f>X67</f>
        <v>337</v>
      </c>
      <c r="Z65" s="899">
        <f>W67</f>
        <v>331</v>
      </c>
      <c r="AA65" s="899">
        <f>Z67</f>
        <v>341</v>
      </c>
      <c r="AB65" s="899">
        <f>AA67</f>
        <v>348</v>
      </c>
      <c r="AC65" s="901">
        <f>Z67</f>
        <v>341</v>
      </c>
      <c r="AD65" s="899">
        <f>AC67</f>
        <v>352</v>
      </c>
      <c r="AE65" s="899">
        <f>AD67</f>
        <v>355</v>
      </c>
      <c r="AF65" s="899">
        <f>AC67</f>
        <v>352</v>
      </c>
      <c r="AG65" s="899">
        <f>AF67</f>
        <v>359</v>
      </c>
      <c r="AH65" s="899">
        <f>AG67</f>
        <v>363</v>
      </c>
      <c r="AI65" s="899">
        <f>AF67</f>
        <v>359</v>
      </c>
      <c r="AJ65" s="899"/>
      <c r="AK65" s="899"/>
      <c r="AL65" s="899">
        <f>AI67</f>
        <v>367</v>
      </c>
      <c r="AM65" s="899"/>
      <c r="AN65" s="899"/>
      <c r="AO65" s="899">
        <f>AL67</f>
        <v>375</v>
      </c>
      <c r="AP65" s="899"/>
      <c r="AQ65" s="899"/>
      <c r="AR65" s="899">
        <f>AO67</f>
        <v>381</v>
      </c>
      <c r="AS65" s="899"/>
      <c r="AT65" s="899"/>
      <c r="AU65" s="899">
        <f>AR67</f>
        <v>385</v>
      </c>
      <c r="AV65" s="899"/>
      <c r="AW65" s="899"/>
      <c r="AX65" s="899">
        <f>AU67</f>
        <v>386</v>
      </c>
      <c r="AY65" s="899"/>
      <c r="AZ65" s="899"/>
      <c r="BA65" s="899">
        <f>AX67</f>
        <v>387</v>
      </c>
      <c r="BB65" s="899"/>
      <c r="BC65" s="899"/>
      <c r="BD65" s="899">
        <f>BA67</f>
        <v>388</v>
      </c>
      <c r="BE65" s="899"/>
      <c r="BF65" s="899"/>
      <c r="BG65" s="899">
        <f>BD67</f>
        <v>389</v>
      </c>
      <c r="BH65" s="899"/>
      <c r="BI65" s="899"/>
      <c r="BJ65" s="899">
        <f t="shared" ref="BJ65" si="239">BG67</f>
        <v>390</v>
      </c>
      <c r="BK65" s="930"/>
    </row>
    <row r="66" spans="2:64">
      <c r="B66" s="812" t="s">
        <v>253</v>
      </c>
      <c r="C66" s="899">
        <v>5</v>
      </c>
      <c r="D66" s="899">
        <v>4</v>
      </c>
      <c r="E66" s="931">
        <v>9</v>
      </c>
      <c r="F66" s="932">
        <v>5</v>
      </c>
      <c r="G66" s="933">
        <f>H66-F66</f>
        <v>-2</v>
      </c>
      <c r="H66" s="899">
        <f>+H67-E67</f>
        <v>3</v>
      </c>
      <c r="I66" s="931">
        <v>4</v>
      </c>
      <c r="J66" s="933">
        <f>K66-I66</f>
        <v>0</v>
      </c>
      <c r="K66" s="934">
        <f>5-1</f>
        <v>4</v>
      </c>
      <c r="L66" s="931">
        <f>3-1</f>
        <v>2</v>
      </c>
      <c r="M66" s="933">
        <f>N66-L66</f>
        <v>1</v>
      </c>
      <c r="N66" s="933">
        <f>4-1</f>
        <v>3</v>
      </c>
      <c r="O66" s="933">
        <v>1</v>
      </c>
      <c r="P66" s="933">
        <f>Q66-O66</f>
        <v>0</v>
      </c>
      <c r="Q66" s="933">
        <v>1</v>
      </c>
      <c r="R66" s="933">
        <v>2</v>
      </c>
      <c r="S66" s="933">
        <f>T66-R66</f>
        <v>0</v>
      </c>
      <c r="T66" s="933">
        <f>3-1</f>
        <v>2</v>
      </c>
      <c r="U66" s="931">
        <v>1</v>
      </c>
      <c r="V66" s="933">
        <f>W66-U66</f>
        <v>1</v>
      </c>
      <c r="W66" s="933">
        <v>2</v>
      </c>
      <c r="X66" s="931">
        <v>6</v>
      </c>
      <c r="Y66" s="933">
        <f>Z66-X66</f>
        <v>4</v>
      </c>
      <c r="Z66" s="933">
        <v>10</v>
      </c>
      <c r="AA66" s="931">
        <v>7</v>
      </c>
      <c r="AB66" s="933">
        <f>AC66-AA66</f>
        <v>4</v>
      </c>
      <c r="AC66" s="1358">
        <v>11</v>
      </c>
      <c r="AD66" s="937">
        <v>3</v>
      </c>
      <c r="AE66" s="933">
        <f>AF66-AD66</f>
        <v>4</v>
      </c>
      <c r="AF66" s="936">
        <v>7</v>
      </c>
      <c r="AG66" s="937">
        <v>4</v>
      </c>
      <c r="AH66" s="933">
        <f>AI66-AG66</f>
        <v>4</v>
      </c>
      <c r="AI66" s="936">
        <v>8</v>
      </c>
      <c r="AJ66" s="936"/>
      <c r="AK66" s="936"/>
      <c r="AL66" s="936">
        <v>8</v>
      </c>
      <c r="AM66" s="936"/>
      <c r="AN66" s="936"/>
      <c r="AO66" s="936">
        <v>6</v>
      </c>
      <c r="AP66" s="936"/>
      <c r="AQ66" s="936"/>
      <c r="AR66" s="936">
        <v>4</v>
      </c>
      <c r="AS66" s="936"/>
      <c r="AT66" s="936"/>
      <c r="AU66" s="936">
        <v>1</v>
      </c>
      <c r="AV66" s="936"/>
      <c r="AW66" s="936"/>
      <c r="AX66" s="936">
        <f>+AU66</f>
        <v>1</v>
      </c>
      <c r="AY66" s="936"/>
      <c r="AZ66" s="936"/>
      <c r="BA66" s="936">
        <f>+AX66</f>
        <v>1</v>
      </c>
      <c r="BB66" s="936"/>
      <c r="BC66" s="936"/>
      <c r="BD66" s="936">
        <f>+BA66</f>
        <v>1</v>
      </c>
      <c r="BE66" s="936"/>
      <c r="BF66" s="936"/>
      <c r="BG66" s="936">
        <f>+BD66</f>
        <v>1</v>
      </c>
      <c r="BH66" s="936"/>
      <c r="BI66" s="936"/>
      <c r="BJ66" s="936">
        <f t="shared" ref="BJ66" si="240">+BG66</f>
        <v>1</v>
      </c>
      <c r="BK66" s="906"/>
    </row>
    <row r="67" spans="2:64" s="828" customFormat="1">
      <c r="B67" s="828" t="s">
        <v>180</v>
      </c>
      <c r="C67" s="932">
        <v>312</v>
      </c>
      <c r="D67" s="932">
        <v>316</v>
      </c>
      <c r="E67" s="938">
        <v>316</v>
      </c>
      <c r="F67" s="938">
        <f>+E67+F66</f>
        <v>321</v>
      </c>
      <c r="G67" s="938">
        <f>F67+G66</f>
        <v>319</v>
      </c>
      <c r="H67" s="938">
        <f>275+44</f>
        <v>319</v>
      </c>
      <c r="I67" s="887">
        <f>H67+I66</f>
        <v>323</v>
      </c>
      <c r="J67" s="887">
        <f>I67+J66</f>
        <v>323</v>
      </c>
      <c r="K67" s="888">
        <f>H67+K66</f>
        <v>323</v>
      </c>
      <c r="L67" s="887">
        <f>K67+L66</f>
        <v>325</v>
      </c>
      <c r="M67" s="887">
        <f>L67+M66</f>
        <v>326</v>
      </c>
      <c r="N67" s="887">
        <f>K67+N66</f>
        <v>326</v>
      </c>
      <c r="O67" s="887">
        <f>N67+O66</f>
        <v>327</v>
      </c>
      <c r="P67" s="887">
        <f>O67+P66</f>
        <v>327</v>
      </c>
      <c r="Q67" s="887">
        <f>N67+Q66</f>
        <v>327</v>
      </c>
      <c r="R67" s="887">
        <f>Q67+R66</f>
        <v>329</v>
      </c>
      <c r="S67" s="887">
        <f>R67+S66</f>
        <v>329</v>
      </c>
      <c r="T67" s="887">
        <f>Q67+T66</f>
        <v>329</v>
      </c>
      <c r="U67" s="887">
        <f>T67+U66</f>
        <v>330</v>
      </c>
      <c r="V67" s="887">
        <f>U67+V66</f>
        <v>331</v>
      </c>
      <c r="W67" s="887">
        <f>T67+W66</f>
        <v>331</v>
      </c>
      <c r="X67" s="887">
        <f>W67+X66</f>
        <v>337</v>
      </c>
      <c r="Y67" s="887">
        <f>X67+Y66</f>
        <v>341</v>
      </c>
      <c r="Z67" s="887">
        <f>W67+Z66</f>
        <v>341</v>
      </c>
      <c r="AA67" s="887">
        <f>Z67+AA66</f>
        <v>348</v>
      </c>
      <c r="AB67" s="887">
        <f>AA67+AB66</f>
        <v>352</v>
      </c>
      <c r="AC67" s="889">
        <f>Z67+AC66</f>
        <v>352</v>
      </c>
      <c r="AD67" s="887">
        <f>AC67+AD66</f>
        <v>355</v>
      </c>
      <c r="AE67" s="887">
        <f>AD67+AE66</f>
        <v>359</v>
      </c>
      <c r="AF67" s="887">
        <f>AC67+AF66</f>
        <v>359</v>
      </c>
      <c r="AG67" s="887">
        <f>AF67+AG66</f>
        <v>363</v>
      </c>
      <c r="AH67" s="887">
        <f>AG67+AH66</f>
        <v>367</v>
      </c>
      <c r="AI67" s="887">
        <f>AF67+AI66</f>
        <v>367</v>
      </c>
      <c r="AJ67" s="887"/>
      <c r="AK67" s="887"/>
      <c r="AL67" s="887">
        <f>AI67+AL66</f>
        <v>375</v>
      </c>
      <c r="AM67" s="887"/>
      <c r="AN67" s="887"/>
      <c r="AO67" s="887">
        <f>AL67+AO66</f>
        <v>381</v>
      </c>
      <c r="AP67" s="887"/>
      <c r="AQ67" s="887"/>
      <c r="AR67" s="887">
        <f>AO67+AR66</f>
        <v>385</v>
      </c>
      <c r="AS67" s="887"/>
      <c r="AT67" s="887"/>
      <c r="AU67" s="887">
        <f>AR67+AU66</f>
        <v>386</v>
      </c>
      <c r="AV67" s="887"/>
      <c r="AW67" s="887"/>
      <c r="AX67" s="887">
        <f>AU67+AX66</f>
        <v>387</v>
      </c>
      <c r="AY67" s="887"/>
      <c r="AZ67" s="887"/>
      <c r="BA67" s="887">
        <f>AX67+BA66</f>
        <v>388</v>
      </c>
      <c r="BB67" s="887"/>
      <c r="BC67" s="887"/>
      <c r="BD67" s="887">
        <f>BA67+BD66</f>
        <v>389</v>
      </c>
      <c r="BE67" s="887"/>
      <c r="BF67" s="887"/>
      <c r="BG67" s="887">
        <f>BD67+BG66</f>
        <v>390</v>
      </c>
      <c r="BH67" s="887"/>
      <c r="BI67" s="887"/>
      <c r="BJ67" s="887">
        <f t="shared" ref="BJ67" si="241">BG67+BJ66</f>
        <v>391</v>
      </c>
      <c r="BK67" s="939"/>
      <c r="BL67" s="811"/>
    </row>
    <row r="68" spans="2:64">
      <c r="B68" s="812" t="s">
        <v>216</v>
      </c>
      <c r="C68" s="927">
        <v>1.9607843137254832E-2</v>
      </c>
      <c r="D68" s="927">
        <v>2.931596091205213E-2</v>
      </c>
      <c r="E68" s="927">
        <v>2.931596091205213E-2</v>
      </c>
      <c r="F68" s="927">
        <f t="shared" ref="F68:W68" si="242">+F67/C67-1</f>
        <v>2.8846153846153744E-2</v>
      </c>
      <c r="G68" s="927">
        <f t="shared" si="242"/>
        <v>9.493670886076E-3</v>
      </c>
      <c r="H68" s="927">
        <f t="shared" si="242"/>
        <v>9.493670886076E-3</v>
      </c>
      <c r="I68" s="927">
        <f t="shared" si="242"/>
        <v>6.230529595015577E-3</v>
      </c>
      <c r="J68" s="927">
        <f t="shared" si="242"/>
        <v>1.2539184952978122E-2</v>
      </c>
      <c r="K68" s="928">
        <f t="shared" si="242"/>
        <v>1.2539184952978122E-2</v>
      </c>
      <c r="L68" s="927">
        <f t="shared" si="242"/>
        <v>6.1919504643963563E-3</v>
      </c>
      <c r="M68" s="927">
        <f t="shared" si="242"/>
        <v>9.2879256965945345E-3</v>
      </c>
      <c r="N68" s="927">
        <f t="shared" si="242"/>
        <v>9.2879256965945345E-3</v>
      </c>
      <c r="O68" s="927">
        <f t="shared" si="242"/>
        <v>6.1538461538461764E-3</v>
      </c>
      <c r="P68" s="927">
        <f t="shared" si="242"/>
        <v>3.0674846625766694E-3</v>
      </c>
      <c r="Q68" s="927">
        <f t="shared" si="242"/>
        <v>3.0674846625766694E-3</v>
      </c>
      <c r="R68" s="927">
        <f t="shared" si="242"/>
        <v>6.1162079510703737E-3</v>
      </c>
      <c r="S68" s="927">
        <f t="shared" si="242"/>
        <v>6.1162079510703737E-3</v>
      </c>
      <c r="T68" s="927">
        <f t="shared" si="242"/>
        <v>6.1162079510703737E-3</v>
      </c>
      <c r="U68" s="927">
        <f t="shared" si="242"/>
        <v>3.0395136778116338E-3</v>
      </c>
      <c r="V68" s="927">
        <f t="shared" si="242"/>
        <v>6.0790273556230456E-3</v>
      </c>
      <c r="W68" s="927">
        <f t="shared" si="242"/>
        <v>6.0790273556230456E-3</v>
      </c>
      <c r="X68" s="927">
        <f t="shared" ref="X68" si="243">+X67/U67-1</f>
        <v>2.1212121212121238E-2</v>
      </c>
      <c r="Y68" s="927">
        <f t="shared" ref="Y68" si="244">+Y67/V67-1</f>
        <v>3.0211480362537735E-2</v>
      </c>
      <c r="Z68" s="927">
        <f>+Z67/W67-1</f>
        <v>3.0211480362537735E-2</v>
      </c>
      <c r="AA68" s="927">
        <f t="shared" ref="AA68:AB68" si="245">+AA67/X67-1</f>
        <v>3.2640949554896048E-2</v>
      </c>
      <c r="AB68" s="927">
        <f t="shared" si="245"/>
        <v>3.2258064516129004E-2</v>
      </c>
      <c r="AC68" s="929">
        <f>+AC67/Z67-1</f>
        <v>3.2258064516129004E-2</v>
      </c>
      <c r="AD68" s="927">
        <f t="shared" ref="AD68" si="246">+AD67/AA67-1</f>
        <v>2.0114942528735691E-2</v>
      </c>
      <c r="AE68" s="927">
        <f t="shared" ref="AE68" si="247">+AE67/AB67-1</f>
        <v>1.9886363636363535E-2</v>
      </c>
      <c r="AF68" s="927">
        <f>+AF67/AC67-1</f>
        <v>1.9886363636363535E-2</v>
      </c>
      <c r="AG68" s="927">
        <f t="shared" ref="AG68" si="248">+AG67/AD67-1</f>
        <v>2.2535211267605604E-2</v>
      </c>
      <c r="AH68" s="927">
        <f t="shared" ref="AH68" si="249">+AH67/AE67-1</f>
        <v>2.2284122562674202E-2</v>
      </c>
      <c r="AI68" s="927">
        <f>+AI67/AF67-1</f>
        <v>2.2284122562674202E-2</v>
      </c>
      <c r="AJ68" s="927"/>
      <c r="AK68" s="927"/>
      <c r="AL68" s="927">
        <f>+AL67/AI67-1</f>
        <v>2.1798365122615904E-2</v>
      </c>
      <c r="AM68" s="927"/>
      <c r="AN68" s="927"/>
      <c r="AO68" s="927">
        <f>+AO67/AL67-1</f>
        <v>1.6000000000000014E-2</v>
      </c>
      <c r="AP68" s="927"/>
      <c r="AQ68" s="927"/>
      <c r="AR68" s="927">
        <f>+AR67/AO67-1</f>
        <v>1.049868766404205E-2</v>
      </c>
      <c r="AS68" s="927"/>
      <c r="AT68" s="927"/>
      <c r="AU68" s="927">
        <f>+AU67/AR67-1</f>
        <v>2.5974025974024872E-3</v>
      </c>
      <c r="AV68" s="927"/>
      <c r="AW68" s="927"/>
      <c r="AX68" s="927">
        <f>+AX67/AU67-1</f>
        <v>2.5906735751295429E-3</v>
      </c>
      <c r="AY68" s="927"/>
      <c r="AZ68" s="927"/>
      <c r="BA68" s="927">
        <f>+BA67/AX67-1</f>
        <v>2.5839793281654533E-3</v>
      </c>
      <c r="BB68" s="927"/>
      <c r="BC68" s="927"/>
      <c r="BD68" s="927">
        <f>+BD67/BA67-1</f>
        <v>2.5773195876288568E-3</v>
      </c>
      <c r="BE68" s="927"/>
      <c r="BF68" s="927"/>
      <c r="BG68" s="927">
        <f>+BG67/BD67-1</f>
        <v>2.5706940874035134E-3</v>
      </c>
      <c r="BH68" s="927"/>
      <c r="BI68" s="927"/>
      <c r="BJ68" s="927">
        <f t="shared" ref="BJ68" si="250">+BJ67/BG67-1</f>
        <v>2.564102564102555E-3</v>
      </c>
      <c r="BK68" s="873"/>
    </row>
    <row r="69" spans="2:64">
      <c r="B69" s="828"/>
      <c r="C69" s="834"/>
      <c r="D69" s="834"/>
      <c r="F69" s="834"/>
      <c r="G69" s="834"/>
      <c r="I69" s="834"/>
      <c r="J69" s="834"/>
      <c r="L69" s="834"/>
      <c r="M69" s="834"/>
      <c r="U69" s="834"/>
      <c r="V69" s="941"/>
      <c r="X69" s="834"/>
      <c r="Y69" s="834"/>
      <c r="AA69" s="834"/>
      <c r="AB69" s="834"/>
      <c r="AD69" s="834"/>
      <c r="AE69" s="834"/>
      <c r="AG69" s="834"/>
      <c r="AH69" s="834"/>
    </row>
    <row r="70" spans="2:64">
      <c r="B70" s="942" t="s">
        <v>153</v>
      </c>
      <c r="C70" s="943">
        <v>3.6999999999999998E-2</v>
      </c>
      <c r="D70" s="902">
        <v>3.3031821113738986E-2</v>
      </c>
      <c r="E70" s="907">
        <v>3.5000000000000003E-2</v>
      </c>
      <c r="F70" s="907">
        <v>3.5000000000000003E-2</v>
      </c>
      <c r="G70" s="907">
        <f>(E63*H70-C63*F70)/D63</f>
        <v>4.3192843368330826E-2</v>
      </c>
      <c r="H70" s="907">
        <v>3.9E-2</v>
      </c>
      <c r="I70" s="907">
        <v>1.7999999999999999E-2</v>
      </c>
      <c r="J70" s="944">
        <f>(K70*H63-I70*F63)/G63</f>
        <v>2.8275678987134983E-2</v>
      </c>
      <c r="K70" s="945">
        <v>2.3E-2</v>
      </c>
      <c r="L70" s="907">
        <v>2.4E-2</v>
      </c>
      <c r="M70" s="944">
        <f>((1+M73)/(1+M71))-1</f>
        <v>0.10755158946100374</v>
      </c>
      <c r="N70" s="907">
        <v>6.3E-2</v>
      </c>
      <c r="O70" s="907">
        <v>0.19600000000000001</v>
      </c>
      <c r="P70" s="907">
        <f>((1+P73)/(1+P71))-1</f>
        <v>0.13169168507441009</v>
      </c>
      <c r="Q70" s="907">
        <v>0.16400000000000001</v>
      </c>
      <c r="R70" s="907">
        <v>-7.6999999999999999E-2</v>
      </c>
      <c r="S70" s="907">
        <v>7.6999999999999999E-2</v>
      </c>
      <c r="T70" s="907">
        <v>-1E-3</v>
      </c>
      <c r="U70" s="946">
        <v>0.15</v>
      </c>
      <c r="V70" s="852">
        <v>0.06</v>
      </c>
      <c r="W70" s="907">
        <v>0.1</v>
      </c>
      <c r="X70" s="946">
        <v>0.03</v>
      </c>
      <c r="Y70" s="944">
        <f t="shared" ref="Y70" si="251">((1+Y73)/(1+Y71)*(1+Y72))-1</f>
        <v>3.9681173250971646E-4</v>
      </c>
      <c r="Z70" s="947">
        <v>2.3E-2</v>
      </c>
      <c r="AA70" s="946">
        <v>-1E-3</v>
      </c>
      <c r="AB70" s="947">
        <v>7.0000000000000001E-3</v>
      </c>
      <c r="AC70" s="1090">
        <v>3.0000000000000001E-3</v>
      </c>
      <c r="AD70" s="944">
        <f>((1+AD73)/((1+AD71)*(1+AD72)))-1</f>
        <v>3.1325376884422607E-2</v>
      </c>
      <c r="AE70" s="944">
        <f t="shared" ref="AE70:BJ70" si="252">((1+AE73)/((1+AE71)*(1+AE72)))-1</f>
        <v>4.0308094988999787E-2</v>
      </c>
      <c r="AF70" s="944">
        <f t="shared" si="252"/>
        <v>3.4404411764705767E-2</v>
      </c>
      <c r="AG70" s="944">
        <f t="shared" si="252"/>
        <v>2.0462637753288604E-2</v>
      </c>
      <c r="AH70" s="944">
        <f t="shared" si="252"/>
        <v>4.9994038415097419E-2</v>
      </c>
      <c r="AI70" s="944">
        <f t="shared" si="252"/>
        <v>3.5662354188759071E-2</v>
      </c>
      <c r="AJ70" s="944">
        <f t="shared" si="252"/>
        <v>0</v>
      </c>
      <c r="AK70" s="944">
        <f t="shared" si="252"/>
        <v>0</v>
      </c>
      <c r="AL70" s="944">
        <f t="shared" si="252"/>
        <v>3.0779224376731307E-2</v>
      </c>
      <c r="AM70" s="944">
        <f t="shared" si="252"/>
        <v>0</v>
      </c>
      <c r="AN70" s="944">
        <f t="shared" si="252"/>
        <v>0</v>
      </c>
      <c r="AO70" s="944">
        <f t="shared" si="252"/>
        <v>2.9958293838862726E-2</v>
      </c>
      <c r="AP70" s="944">
        <f t="shared" si="252"/>
        <v>0</v>
      </c>
      <c r="AQ70" s="944">
        <f t="shared" si="252"/>
        <v>0</v>
      </c>
      <c r="AR70" s="944">
        <f t="shared" si="252"/>
        <v>2.8501128069011061E-2</v>
      </c>
      <c r="AS70" s="944">
        <f t="shared" si="252"/>
        <v>0</v>
      </c>
      <c r="AT70" s="944">
        <f t="shared" si="252"/>
        <v>0</v>
      </c>
      <c r="AU70" s="944">
        <f t="shared" si="252"/>
        <v>2.677554756456324E-2</v>
      </c>
      <c r="AV70" s="944">
        <f t="shared" si="252"/>
        <v>0</v>
      </c>
      <c r="AW70" s="944">
        <f t="shared" si="252"/>
        <v>0</v>
      </c>
      <c r="AX70" s="944">
        <f t="shared" si="252"/>
        <v>2.0661907852044026E-2</v>
      </c>
      <c r="AY70" s="944">
        <f t="shared" si="252"/>
        <v>0</v>
      </c>
      <c r="AZ70" s="944">
        <f t="shared" si="252"/>
        <v>0</v>
      </c>
      <c r="BA70" s="944">
        <f t="shared" si="252"/>
        <v>2.0660194174757507E-2</v>
      </c>
      <c r="BB70" s="944">
        <f t="shared" si="252"/>
        <v>0</v>
      </c>
      <c r="BC70" s="944">
        <f t="shared" si="252"/>
        <v>0</v>
      </c>
      <c r="BD70" s="944">
        <f t="shared" si="252"/>
        <v>2.0658489347966658E-2</v>
      </c>
      <c r="BE70" s="944">
        <f t="shared" si="252"/>
        <v>0</v>
      </c>
      <c r="BF70" s="944">
        <f t="shared" si="252"/>
        <v>0</v>
      </c>
      <c r="BG70" s="944">
        <f t="shared" si="252"/>
        <v>2.0656793303283738E-2</v>
      </c>
      <c r="BH70" s="944">
        <f t="shared" si="252"/>
        <v>0</v>
      </c>
      <c r="BI70" s="944">
        <f t="shared" si="252"/>
        <v>0</v>
      </c>
      <c r="BJ70" s="944">
        <f t="shared" si="252"/>
        <v>2.0655105973025334E-2</v>
      </c>
      <c r="BK70" s="949"/>
    </row>
    <row r="71" spans="2:64" outlineLevel="1">
      <c r="B71" s="950" t="s">
        <v>148</v>
      </c>
      <c r="C71" s="830">
        <v>3.1822372733231331E-2</v>
      </c>
      <c r="D71" s="902">
        <v>-2.9591700709524722E-2</v>
      </c>
      <c r="E71" s="902">
        <v>8.6909406155180613E-4</v>
      </c>
      <c r="F71" s="902">
        <f t="shared" ref="F71:L71" si="253">F73-F70</f>
        <v>2.1214227309893779E-2</v>
      </c>
      <c r="G71" s="902">
        <f t="shared" si="253"/>
        <v>6.0893507606598826E-3</v>
      </c>
      <c r="H71" s="902">
        <f t="shared" si="253"/>
        <v>1.3829793911497003E-2</v>
      </c>
      <c r="I71" s="902">
        <f t="shared" si="253"/>
        <v>9.2885620282561372E-3</v>
      </c>
      <c r="J71" s="902">
        <f t="shared" si="253"/>
        <v>1.2769859097406605E-2</v>
      </c>
      <c r="K71" s="904">
        <f t="shared" si="253"/>
        <v>1.0982511923688286E-2</v>
      </c>
      <c r="L71" s="902">
        <f t="shared" si="253"/>
        <v>1.3490580256217098E-2</v>
      </c>
      <c r="M71" s="902">
        <f>M55/J55-1</f>
        <v>7.7399380804954454E-3</v>
      </c>
      <c r="N71" s="902">
        <f>N55/K55-1</f>
        <v>1.0903426791277315E-2</v>
      </c>
      <c r="O71" s="902">
        <f>O73-O70</f>
        <v>5.9248229526056018E-3</v>
      </c>
      <c r="P71" s="902">
        <f t="shared" ref="P71:AB71" si="254">P55/M55-1</f>
        <v>4.6082949308756671E-3</v>
      </c>
      <c r="Q71" s="902">
        <f t="shared" si="254"/>
        <v>6.1633281972264253E-3</v>
      </c>
      <c r="R71" s="902">
        <f t="shared" si="254"/>
        <v>4.5941807044409533E-3</v>
      </c>
      <c r="S71" s="902">
        <f t="shared" si="254"/>
        <v>6.1162079510703737E-3</v>
      </c>
      <c r="T71" s="902">
        <f t="shared" si="254"/>
        <v>4.5941807044409533E-3</v>
      </c>
      <c r="U71" s="902">
        <f t="shared" si="254"/>
        <v>4.5731707317073766E-3</v>
      </c>
      <c r="V71" s="902">
        <f t="shared" si="254"/>
        <v>4.5592705167172287E-3</v>
      </c>
      <c r="W71" s="902">
        <f t="shared" si="254"/>
        <v>6.0975609756097615E-3</v>
      </c>
      <c r="X71" s="902">
        <f t="shared" si="254"/>
        <v>1.365705614567525E-2</v>
      </c>
      <c r="Y71" s="902">
        <f t="shared" ref="Y71" si="255">Y55/V55-1</f>
        <v>2.5718608169440271E-2</v>
      </c>
      <c r="Z71" s="902">
        <f t="shared" si="254"/>
        <v>1.8181818181818077E-2</v>
      </c>
      <c r="AA71" s="902">
        <f t="shared" si="254"/>
        <v>3.1437125748503103E-2</v>
      </c>
      <c r="AB71" s="902">
        <f t="shared" si="254"/>
        <v>3.2448377581120846E-2</v>
      </c>
      <c r="AC71" s="905">
        <f>AC55/Z55-1</f>
        <v>3.125E-2</v>
      </c>
      <c r="AD71" s="902">
        <f t="shared" ref="AD71" si="256">AD55/AA55-1</f>
        <v>2.6124818577648812E-2</v>
      </c>
      <c r="AE71" s="902">
        <f t="shared" ref="AE71" si="257">AE55/AB55-1</f>
        <v>2.0000000000000018E-2</v>
      </c>
      <c r="AF71" s="902">
        <f>AF55/AC55-1</f>
        <v>2.5974025974025983E-2</v>
      </c>
      <c r="AG71" s="902">
        <f t="shared" ref="AG71" si="258">AG55/AD55-1</f>
        <v>2.1216407355021172E-2</v>
      </c>
      <c r="AH71" s="902">
        <f t="shared" ref="AH71" si="259">AH55/AE55-1</f>
        <v>2.2408963585434094E-2</v>
      </c>
      <c r="AI71" s="902">
        <f>AI55/AF55-1</f>
        <v>2.1097046413502074E-2</v>
      </c>
      <c r="AJ71" s="902"/>
      <c r="AK71" s="902"/>
      <c r="AL71" s="902">
        <f>AL55/AI55-1</f>
        <v>2.2038567493112948E-2</v>
      </c>
      <c r="AM71" s="902"/>
      <c r="AN71" s="902"/>
      <c r="AO71" s="902">
        <f>AO55/AL55-1</f>
        <v>1.8867924528301883E-2</v>
      </c>
      <c r="AP71" s="902"/>
      <c r="AQ71" s="902"/>
      <c r="AR71" s="902">
        <f>AR55/AO55-1</f>
        <v>1.3227513227513255E-2</v>
      </c>
      <c r="AS71" s="902"/>
      <c r="AT71" s="902"/>
      <c r="AU71" s="902">
        <f>AU55/AR55-1</f>
        <v>6.5274151436032213E-3</v>
      </c>
      <c r="AV71" s="902"/>
      <c r="AW71" s="902"/>
      <c r="AX71" s="902">
        <f>AX55/AU55-1</f>
        <v>2.5940337224383825E-3</v>
      </c>
      <c r="AY71" s="902"/>
      <c r="AZ71" s="902"/>
      <c r="BA71" s="902">
        <f>BA55/AX55-1</f>
        <v>2.5873221216041742E-3</v>
      </c>
      <c r="BB71" s="902"/>
      <c r="BC71" s="902"/>
      <c r="BD71" s="902">
        <f>BD55/BA55-1</f>
        <v>2.580645161290418E-3</v>
      </c>
      <c r="BE71" s="902"/>
      <c r="BF71" s="902"/>
      <c r="BG71" s="902">
        <f>BG55/BD55-1</f>
        <v>2.5740025740026429E-3</v>
      </c>
      <c r="BH71" s="902"/>
      <c r="BI71" s="902"/>
      <c r="BJ71" s="902">
        <f t="shared" ref="BJ71" si="260">BJ55/BG55-1</f>
        <v>2.5673940949935137E-3</v>
      </c>
      <c r="BK71" s="873"/>
    </row>
    <row r="72" spans="2:64" outlineLevel="1">
      <c r="B72" s="950" t="s">
        <v>807</v>
      </c>
      <c r="C72" s="830"/>
      <c r="D72" s="902"/>
      <c r="E72" s="902">
        <f t="shared" ref="E72:T72" si="261">(1+E73)/((1+E70)*(1+E71))-1</f>
        <v>-2.9364134060738678E-5</v>
      </c>
      <c r="F72" s="902">
        <f t="shared" si="261"/>
        <v>-7.0248661851290972E-4</v>
      </c>
      <c r="G72" s="902">
        <f t="shared" si="261"/>
        <v>-2.5060032763524198E-4</v>
      </c>
      <c r="H72" s="902">
        <f t="shared" si="261"/>
        <v>-5.1203508242170237E-4</v>
      </c>
      <c r="I72" s="902">
        <f t="shared" si="261"/>
        <v>-1.6272634175118483E-4</v>
      </c>
      <c r="J72" s="902">
        <f t="shared" si="261"/>
        <v>-3.4671993774038068E-4</v>
      </c>
      <c r="K72" s="904">
        <f t="shared" si="261"/>
        <v>-2.4423631713554883E-4</v>
      </c>
      <c r="L72" s="902">
        <f t="shared" si="261"/>
        <v>-3.119767276723584E-4</v>
      </c>
      <c r="M72" s="902">
        <f t="shared" si="261"/>
        <v>0</v>
      </c>
      <c r="N72" s="902">
        <f t="shared" si="261"/>
        <v>1.3246866592993012E-3</v>
      </c>
      <c r="O72" s="902">
        <f t="shared" si="261"/>
        <v>-9.6523873898224366E-4</v>
      </c>
      <c r="P72" s="902">
        <f t="shared" si="261"/>
        <v>0</v>
      </c>
      <c r="Q72" s="902">
        <f t="shared" si="261"/>
        <v>-1.9549538827464685E-3</v>
      </c>
      <c r="R72" s="902">
        <f t="shared" si="261"/>
        <v>3.8445571298411085E-3</v>
      </c>
      <c r="S72" s="902">
        <f t="shared" si="261"/>
        <v>3.2422766650598955E-2</v>
      </c>
      <c r="T72" s="902">
        <f t="shared" si="261"/>
        <v>2.0024353398063743E-2</v>
      </c>
      <c r="U72" s="902">
        <f t="shared" ref="U72" si="262">(1+U73)/((1+U70)*(1+U71))-1</f>
        <v>2.3666621451091663E-2</v>
      </c>
      <c r="V72" s="902">
        <v>-5.0000000000000001E-3</v>
      </c>
      <c r="W72" s="902">
        <f t="shared" ref="W72:X72" si="263">(1+W73)/((1+W70)*(1+W71))-1</f>
        <v>-2.3312142719381423E-2</v>
      </c>
      <c r="X72" s="902">
        <f t="shared" si="263"/>
        <v>-9.2946035365581992E-4</v>
      </c>
      <c r="Y72" s="902">
        <v>0</v>
      </c>
      <c r="Z72" s="902">
        <f t="shared" ref="Z72:AC72" si="264">(1+Z73)/((1+Z70)*(1+Z71))-1</f>
        <v>-6.6592545309170914E-3</v>
      </c>
      <c r="AA72" s="902">
        <f t="shared" si="264"/>
        <v>-1.1886380307433053E-2</v>
      </c>
      <c r="AB72" s="902">
        <v>0</v>
      </c>
      <c r="AC72" s="905">
        <f t="shared" si="264"/>
        <v>-1.0040047632023485E-2</v>
      </c>
      <c r="AD72" s="911">
        <v>-5.0000000000000001E-3</v>
      </c>
      <c r="AE72" s="911">
        <f t="shared" ref="AE72:BG72" si="265">-AE71*0.25</f>
        <v>-5.0000000000000044E-3</v>
      </c>
      <c r="AF72" s="911">
        <f t="shared" si="265"/>
        <v>-6.4935064935064957E-3</v>
      </c>
      <c r="AG72" s="911">
        <f t="shared" ref="AG72:AH72" si="266">-AG71*0.25</f>
        <v>-5.304101838755293E-3</v>
      </c>
      <c r="AH72" s="911">
        <f t="shared" si="266"/>
        <v>-5.6022408963585235E-3</v>
      </c>
      <c r="AI72" s="911">
        <f t="shared" si="265"/>
        <v>-5.2742616033755185E-3</v>
      </c>
      <c r="AJ72" s="911"/>
      <c r="AK72" s="911"/>
      <c r="AL72" s="911">
        <f t="shared" si="265"/>
        <v>-5.5096418732782371E-3</v>
      </c>
      <c r="AM72" s="911"/>
      <c r="AN72" s="911"/>
      <c r="AO72" s="911">
        <f t="shared" si="265"/>
        <v>-4.7169811320754707E-3</v>
      </c>
      <c r="AP72" s="911"/>
      <c r="AQ72" s="911"/>
      <c r="AR72" s="911">
        <f t="shared" si="265"/>
        <v>-3.3068783068783136E-3</v>
      </c>
      <c r="AS72" s="911"/>
      <c r="AT72" s="911"/>
      <c r="AU72" s="911">
        <f t="shared" si="265"/>
        <v>-1.6318537859008053E-3</v>
      </c>
      <c r="AV72" s="911"/>
      <c r="AW72" s="911"/>
      <c r="AX72" s="911">
        <f t="shared" si="265"/>
        <v>-6.4850843060959562E-4</v>
      </c>
      <c r="AY72" s="911"/>
      <c r="AZ72" s="911"/>
      <c r="BA72" s="911">
        <f t="shared" si="265"/>
        <v>-6.4683053040104355E-4</v>
      </c>
      <c r="BB72" s="911"/>
      <c r="BC72" s="911"/>
      <c r="BD72" s="911">
        <f t="shared" si="265"/>
        <v>-6.451612903226045E-4</v>
      </c>
      <c r="BE72" s="911"/>
      <c r="BF72" s="911"/>
      <c r="BG72" s="911">
        <f t="shared" si="265"/>
        <v>-6.4350064350066072E-4</v>
      </c>
      <c r="BH72" s="911"/>
      <c r="BI72" s="911"/>
      <c r="BJ72" s="911">
        <f t="shared" ref="BJ72" si="267">-BJ71*0.25</f>
        <v>-6.4184852374837842E-4</v>
      </c>
      <c r="BK72" s="873"/>
    </row>
    <row r="73" spans="2:64" s="828" customFormat="1" outlineLevel="1">
      <c r="B73" s="942" t="s">
        <v>149</v>
      </c>
      <c r="C73" s="951">
        <f t="shared" ref="C73:AU73" si="268">C64</f>
        <v>6.882237273323133E-2</v>
      </c>
      <c r="D73" s="951">
        <f t="shared" si="268"/>
        <v>3.4401204042142641E-3</v>
      </c>
      <c r="E73" s="951">
        <f t="shared" si="268"/>
        <v>3.5869094061551809E-2</v>
      </c>
      <c r="F73" s="951">
        <f t="shared" si="268"/>
        <v>5.6214227309893783E-2</v>
      </c>
      <c r="G73" s="951">
        <f t="shared" si="268"/>
        <v>4.9282194128990708E-2</v>
      </c>
      <c r="H73" s="951">
        <f t="shared" si="268"/>
        <v>5.2829793911497003E-2</v>
      </c>
      <c r="I73" s="951">
        <f t="shared" si="268"/>
        <v>2.7288562028256136E-2</v>
      </c>
      <c r="J73" s="951">
        <f t="shared" si="268"/>
        <v>4.1045538084541588E-2</v>
      </c>
      <c r="K73" s="952">
        <f t="shared" si="268"/>
        <v>3.3982511923688286E-2</v>
      </c>
      <c r="L73" s="951">
        <f t="shared" si="268"/>
        <v>3.7490580256217099E-2</v>
      </c>
      <c r="M73" s="951">
        <f t="shared" si="268"/>
        <v>0.11612397018438614</v>
      </c>
      <c r="N73" s="951">
        <f t="shared" si="268"/>
        <v>7.6013838170286618E-2</v>
      </c>
      <c r="O73" s="951">
        <f t="shared" si="268"/>
        <v>0.20192482295260561</v>
      </c>
      <c r="P73" s="951">
        <f t="shared" si="268"/>
        <v>0.13690685413005266</v>
      </c>
      <c r="Q73" s="951">
        <f t="shared" si="268"/>
        <v>0.16888452263999287</v>
      </c>
      <c r="R73" s="951">
        <f t="shared" si="268"/>
        <v>-6.9194742408218657E-2</v>
      </c>
      <c r="S73" s="951">
        <f t="shared" si="268"/>
        <v>0.11872004946668713</v>
      </c>
      <c r="T73" s="951">
        <f t="shared" si="268"/>
        <v>2.3685819070904612E-2</v>
      </c>
      <c r="U73" s="951">
        <f t="shared" ref="U73" si="269">U64</f>
        <v>0.18260022723583824</v>
      </c>
      <c r="V73" s="951">
        <f t="shared" si="268"/>
        <v>-5.6653309382339589E-3</v>
      </c>
      <c r="W73" s="951">
        <f t="shared" ref="W73:X73" si="270">W64</f>
        <v>8.0907598148977522E-2</v>
      </c>
      <c r="X73" s="951">
        <f t="shared" si="270"/>
        <v>4.3096349162777825E-2</v>
      </c>
      <c r="Y73" s="951">
        <f t="shared" ref="Y73:AA73" si="271">Y64</f>
        <v>2.612562534741536E-2</v>
      </c>
      <c r="Z73" s="951">
        <f t="shared" si="271"/>
        <v>3.4663720480596627E-2</v>
      </c>
      <c r="AA73" s="951">
        <f t="shared" si="271"/>
        <v>1.8157894736842151E-2</v>
      </c>
      <c r="AB73" s="951">
        <f t="shared" ref="AB73" si="272">AB64</f>
        <v>2.9929577464788526E-2</v>
      </c>
      <c r="AC73" s="953">
        <f>AC64</f>
        <v>2.395888948211411E-2</v>
      </c>
      <c r="AD73" s="951">
        <f t="shared" ref="AD73:AE73" si="273">AD64</f>
        <v>5.2977222423802983E-2</v>
      </c>
      <c r="AE73" s="951">
        <f t="shared" si="273"/>
        <v>5.5808685604335828E-2</v>
      </c>
      <c r="AF73" s="951">
        <f t="shared" si="268"/>
        <v>5.4380681818181564E-2</v>
      </c>
      <c r="AG73" s="951">
        <f t="shared" si="268"/>
        <v>3.6585714285714444E-2</v>
      </c>
      <c r="AH73" s="951">
        <f t="shared" si="268"/>
        <v>6.7509180359486942E-2</v>
      </c>
      <c r="AI73" s="951">
        <f t="shared" si="268"/>
        <v>5.1934177215189781E-2</v>
      </c>
      <c r="AJ73" s="951"/>
      <c r="AK73" s="951"/>
      <c r="AL73" s="951">
        <f t="shared" si="268"/>
        <v>4.7691735537189972E-2</v>
      </c>
      <c r="AM73" s="951"/>
      <c r="AN73" s="951"/>
      <c r="AO73" s="951">
        <f t="shared" si="268"/>
        <v>4.4441509433962301E-2</v>
      </c>
      <c r="AP73" s="951"/>
      <c r="AQ73" s="951"/>
      <c r="AR73" s="951">
        <f t="shared" si="268"/>
        <v>3.8659523809523533E-2</v>
      </c>
      <c r="AS73" s="951"/>
      <c r="AT73" s="951"/>
      <c r="AU73" s="951">
        <f t="shared" si="268"/>
        <v>3.1791253263707464E-2</v>
      </c>
      <c r="AV73" s="951"/>
      <c r="AW73" s="951"/>
      <c r="AX73" s="951">
        <f t="shared" ref="AX73:BA73" si="274">AX64</f>
        <v>2.2645914396887123E-2</v>
      </c>
      <c r="AY73" s="951"/>
      <c r="AZ73" s="951"/>
      <c r="BA73" s="951">
        <f t="shared" si="274"/>
        <v>2.2639068564036302E-2</v>
      </c>
      <c r="BB73" s="951"/>
      <c r="BC73" s="951"/>
      <c r="BD73" s="951">
        <f t="shared" ref="BD73:BG73" si="275">BD64</f>
        <v>2.2632258064516186E-2</v>
      </c>
      <c r="BE73" s="951"/>
      <c r="BF73" s="951"/>
      <c r="BG73" s="951">
        <f t="shared" si="275"/>
        <v>2.2625482625482585E-2</v>
      </c>
      <c r="BH73" s="951"/>
      <c r="BI73" s="951"/>
      <c r="BJ73" s="951">
        <f t="shared" ref="BJ73" si="276">BJ64</f>
        <v>2.2618741976893508E-2</v>
      </c>
      <c r="BK73" s="873"/>
      <c r="BL73" s="811"/>
    </row>
    <row r="74" spans="2:64" outlineLevel="1">
      <c r="B74" s="828"/>
      <c r="D74" s="834"/>
      <c r="F74" s="834"/>
      <c r="G74" s="834"/>
      <c r="I74" s="834"/>
      <c r="J74" s="834"/>
      <c r="L74" s="834"/>
      <c r="M74" s="834"/>
      <c r="BK74" s="873"/>
    </row>
    <row r="75" spans="2:64" outlineLevel="1">
      <c r="B75" s="828" t="s">
        <v>155</v>
      </c>
      <c r="C75" s="834">
        <f>C63*C76</f>
        <v>218.67240000000001</v>
      </c>
      <c r="D75" s="834">
        <f>E75-C75</f>
        <v>284.79743999999937</v>
      </c>
      <c r="E75" s="834">
        <f t="shared" ref="E75:R75" si="277">E20</f>
        <v>503.46983999999941</v>
      </c>
      <c r="F75" s="834">
        <f t="shared" si="277"/>
        <v>232.6098049197771</v>
      </c>
      <c r="G75" s="834">
        <f t="shared" si="277"/>
        <v>294.77737576528023</v>
      </c>
      <c r="H75" s="834">
        <f t="shared" si="277"/>
        <v>530.96527989886238</v>
      </c>
      <c r="I75" s="834">
        <f t="shared" si="277"/>
        <v>239.43248758409777</v>
      </c>
      <c r="J75" s="834">
        <f t="shared" si="277"/>
        <v>308.87094338935339</v>
      </c>
      <c r="K75" s="835">
        <f t="shared" si="277"/>
        <v>548.3034309734511</v>
      </c>
      <c r="L75" s="834">
        <f t="shared" si="277"/>
        <v>254.01349999999991</v>
      </c>
      <c r="M75" s="834">
        <f t="shared" si="277"/>
        <v>288.39889999999986</v>
      </c>
      <c r="N75" s="834">
        <f t="shared" si="277"/>
        <v>542.41239999999982</v>
      </c>
      <c r="O75" s="834">
        <f t="shared" si="277"/>
        <v>328.20417901234572</v>
      </c>
      <c r="P75" s="834">
        <f t="shared" si="277"/>
        <v>360.60992098765411</v>
      </c>
      <c r="Q75" s="834">
        <f t="shared" si="277"/>
        <v>688.81409999999994</v>
      </c>
      <c r="R75" s="834">
        <f t="shared" si="277"/>
        <v>307.05526190476166</v>
      </c>
      <c r="S75" s="834">
        <f>T75-R75</f>
        <v>392.17593809523839</v>
      </c>
      <c r="T75" s="834">
        <f>T20</f>
        <v>699.23120000000006</v>
      </c>
      <c r="U75" s="834">
        <f>U20</f>
        <v>357.80861058201089</v>
      </c>
      <c r="V75" s="834">
        <f>W75-U75</f>
        <v>392.84618941798936</v>
      </c>
      <c r="W75" s="834">
        <f>W20</f>
        <v>750.65480000000025</v>
      </c>
      <c r="X75" s="834">
        <f>X20</f>
        <v>380.03311358024689</v>
      </c>
      <c r="Y75" s="834">
        <f>Z75-X75</f>
        <v>407.47064641975328</v>
      </c>
      <c r="Z75" s="834">
        <f>Z20</f>
        <v>787.50376000000017</v>
      </c>
      <c r="AA75" s="834">
        <f>AA20</f>
        <v>384.05394571428542</v>
      </c>
      <c r="AB75" s="834">
        <f>AC75-AA75</f>
        <v>426.039864285715</v>
      </c>
      <c r="AC75" s="836">
        <f>AC20</f>
        <v>810.09381000000042</v>
      </c>
      <c r="AD75" s="834">
        <f t="shared" ref="AD75:AX75" si="278">AD63*AD76</f>
        <v>406.02964456855329</v>
      </c>
      <c r="AE75" s="834">
        <f>AF75-AD75</f>
        <v>449.41180818002658</v>
      </c>
      <c r="AF75" s="834">
        <f t="shared" si="278"/>
        <v>855.44145274857988</v>
      </c>
      <c r="AG75" s="834">
        <f t="shared" ref="AG75" si="279">AG63*AG76</f>
        <v>421.72913272322347</v>
      </c>
      <c r="AH75" s="834">
        <f>AI75-AG75</f>
        <v>478.3091432378979</v>
      </c>
      <c r="AI75" s="834">
        <f t="shared" si="278"/>
        <v>900.03827596112137</v>
      </c>
      <c r="AJ75" s="834"/>
      <c r="AK75" s="834"/>
      <c r="AL75" s="834">
        <f t="shared" si="278"/>
        <v>943.14095455091297</v>
      </c>
      <c r="AM75" s="834"/>
      <c r="AN75" s="834"/>
      <c r="AO75" s="834">
        <f t="shared" si="278"/>
        <v>985.80042093031807</v>
      </c>
      <c r="AP75" s="834"/>
      <c r="AQ75" s="834"/>
      <c r="AR75" s="834">
        <f t="shared" si="278"/>
        <v>1024.6846504094738</v>
      </c>
      <c r="AS75" s="834"/>
      <c r="AT75" s="834"/>
      <c r="AU75" s="834">
        <f t="shared" si="278"/>
        <v>1058.0589097312688</v>
      </c>
      <c r="AV75" s="834"/>
      <c r="AW75" s="834"/>
      <c r="AX75" s="834">
        <f t="shared" si="278"/>
        <v>1082.8359484161974</v>
      </c>
      <c r="AY75" s="834"/>
      <c r="AZ75" s="834"/>
      <c r="BA75" s="834">
        <f t="shared" ref="BA75:BD75" si="280">BA63*BA76</f>
        <v>1108.1851537714722</v>
      </c>
      <c r="BB75" s="834"/>
      <c r="BC75" s="834"/>
      <c r="BD75" s="834">
        <f t="shared" si="280"/>
        <v>1134.1195878221693</v>
      </c>
      <c r="BE75" s="834"/>
      <c r="BF75" s="834"/>
      <c r="BG75" s="834">
        <f t="shared" ref="BG75:BJ75" si="281">BG63*BG76</f>
        <v>1160.652607931175</v>
      </c>
      <c r="BH75" s="834"/>
      <c r="BI75" s="834"/>
      <c r="BJ75" s="834">
        <f t="shared" si="281"/>
        <v>1187.7978734223577</v>
      </c>
      <c r="BK75" s="873"/>
    </row>
    <row r="76" spans="2:64" outlineLevel="1">
      <c r="B76" s="812" t="s">
        <v>158</v>
      </c>
      <c r="C76" s="943">
        <v>0.44700000000000001</v>
      </c>
      <c r="D76" s="902">
        <f t="shared" ref="D76:Y76" si="282">D75/D63</f>
        <v>0.61023664023998148</v>
      </c>
      <c r="E76" s="955">
        <f t="shared" si="282"/>
        <v>0.52669718589810588</v>
      </c>
      <c r="F76" s="955">
        <f t="shared" si="282"/>
        <v>0.45018348155559723</v>
      </c>
      <c r="G76" s="955">
        <f t="shared" si="282"/>
        <v>0.60195502504651888</v>
      </c>
      <c r="H76" s="955">
        <f t="shared" si="282"/>
        <v>0.52758871214115899</v>
      </c>
      <c r="I76" s="955">
        <f t="shared" si="282"/>
        <v>0.45107853727222641</v>
      </c>
      <c r="J76" s="955">
        <f>J75/J63</f>
        <v>0.60586689562446727</v>
      </c>
      <c r="K76" s="956">
        <f t="shared" si="282"/>
        <v>0.52691085044536912</v>
      </c>
      <c r="L76" s="955">
        <f t="shared" si="282"/>
        <v>0.46125567459596856</v>
      </c>
      <c r="M76" s="955">
        <f t="shared" si="282"/>
        <v>0.50685219683655514</v>
      </c>
      <c r="N76" s="955">
        <f>N75/N63</f>
        <v>0.48442654282397052</v>
      </c>
      <c r="O76" s="955">
        <f t="shared" si="282"/>
        <v>0.49585160751223106</v>
      </c>
      <c r="P76" s="955">
        <f t="shared" si="282"/>
        <v>0.55744306846136049</v>
      </c>
      <c r="Q76" s="955">
        <f>Q75/Q63</f>
        <v>0.52629439180929094</v>
      </c>
      <c r="R76" s="955">
        <f>R75/R63</f>
        <v>0.4983854275357274</v>
      </c>
      <c r="S76" s="955">
        <f t="shared" si="282"/>
        <v>0.54190401837120139</v>
      </c>
      <c r="T76" s="955">
        <f>T75/T63</f>
        <v>0.52189222271980895</v>
      </c>
      <c r="U76" s="955">
        <f>U75/U63</f>
        <v>0.49109059920671272</v>
      </c>
      <c r="V76" s="955">
        <f t="shared" si="282"/>
        <v>0.54592299807947375</v>
      </c>
      <c r="W76" s="955">
        <f>W75/W63</f>
        <v>0.51833641762187554</v>
      </c>
      <c r="X76" s="955">
        <f>X75/X63</f>
        <v>0.50004357050032489</v>
      </c>
      <c r="Y76" s="955">
        <f t="shared" si="282"/>
        <v>0.55182915278948164</v>
      </c>
      <c r="Z76" s="955">
        <f>Z75/Z63</f>
        <v>0.52556310731446887</v>
      </c>
      <c r="AA76" s="955">
        <f>AA75/AA63</f>
        <v>0.49632197688586899</v>
      </c>
      <c r="AB76" s="955">
        <f t="shared" ref="AB76" si="283">AB75/AB63</f>
        <v>0.56021020944867195</v>
      </c>
      <c r="AC76" s="1113">
        <f>AC75/AC63</f>
        <v>0.52798918725151567</v>
      </c>
      <c r="AD76" s="957">
        <f>AA76+0.2%</f>
        <v>0.49832197688586899</v>
      </c>
      <c r="AE76" s="957">
        <f t="shared" ref="AE76" si="284">AE75/AE63</f>
        <v>0.5597060874924914</v>
      </c>
      <c r="AF76" s="957">
        <f>AC76+0.08%</f>
        <v>0.52878918725151569</v>
      </c>
      <c r="AG76" s="957">
        <f>AD76+0.1%</f>
        <v>0.49932197688586899</v>
      </c>
      <c r="AH76" s="957">
        <f t="shared" ref="AH76" si="285">AH75/AH63</f>
        <v>0.55802366284463423</v>
      </c>
      <c r="AI76" s="957">
        <f>AF76+0.01%</f>
        <v>0.52888918725151568</v>
      </c>
      <c r="AJ76" s="957"/>
      <c r="AK76" s="957"/>
      <c r="AL76" s="957">
        <f>AI76+0.01%</f>
        <v>0.52898918725151567</v>
      </c>
      <c r="AM76" s="957">
        <f t="shared" ref="AM76:AN76" si="286">AJ76+0.03%</f>
        <v>2.9999999999999997E-4</v>
      </c>
      <c r="AN76" s="957">
        <f t="shared" si="286"/>
        <v>2.9999999999999997E-4</v>
      </c>
      <c r="AO76" s="957">
        <f>AL76+0.04%</f>
        <v>0.52938918725151562</v>
      </c>
      <c r="AP76" s="957">
        <f t="shared" ref="AP76:BJ76" si="287">AM76+0.04%</f>
        <v>6.9999999999999999E-4</v>
      </c>
      <c r="AQ76" s="957">
        <f t="shared" si="287"/>
        <v>6.9999999999999999E-4</v>
      </c>
      <c r="AR76" s="957">
        <f t="shared" si="287"/>
        <v>0.52978918725151558</v>
      </c>
      <c r="AS76" s="957">
        <f t="shared" si="287"/>
        <v>1.1000000000000001E-3</v>
      </c>
      <c r="AT76" s="957">
        <f t="shared" si="287"/>
        <v>1.1000000000000001E-3</v>
      </c>
      <c r="AU76" s="957">
        <f t="shared" si="287"/>
        <v>0.53018918725151554</v>
      </c>
      <c r="AV76" s="957">
        <f t="shared" si="287"/>
        <v>1.5E-3</v>
      </c>
      <c r="AW76" s="957">
        <f t="shared" si="287"/>
        <v>1.5E-3</v>
      </c>
      <c r="AX76" s="957">
        <f t="shared" si="287"/>
        <v>0.53058918725151549</v>
      </c>
      <c r="AY76" s="957">
        <f t="shared" si="287"/>
        <v>1.9E-3</v>
      </c>
      <c r="AZ76" s="957">
        <f t="shared" si="287"/>
        <v>1.9E-3</v>
      </c>
      <c r="BA76" s="957">
        <f t="shared" si="287"/>
        <v>0.53098918725151545</v>
      </c>
      <c r="BB76" s="957">
        <f t="shared" si="287"/>
        <v>2.3E-3</v>
      </c>
      <c r="BC76" s="957">
        <f t="shared" si="287"/>
        <v>2.3E-3</v>
      </c>
      <c r="BD76" s="957">
        <f t="shared" si="287"/>
        <v>0.5313891872515154</v>
      </c>
      <c r="BE76" s="957">
        <f t="shared" si="287"/>
        <v>2.7000000000000001E-3</v>
      </c>
      <c r="BF76" s="957">
        <f t="shared" si="287"/>
        <v>2.7000000000000001E-3</v>
      </c>
      <c r="BG76" s="957">
        <f t="shared" si="287"/>
        <v>0.53178918725151536</v>
      </c>
      <c r="BH76" s="957">
        <f t="shared" si="287"/>
        <v>3.1000000000000003E-3</v>
      </c>
      <c r="BI76" s="957">
        <f t="shared" si="287"/>
        <v>3.1000000000000003E-3</v>
      </c>
      <c r="BJ76" s="957">
        <f t="shared" si="287"/>
        <v>0.53218918725151532</v>
      </c>
      <c r="BK76" s="906"/>
    </row>
    <row r="77" spans="2:64">
      <c r="B77" s="828"/>
      <c r="C77" s="958"/>
      <c r="D77" s="959"/>
      <c r="E77" s="958"/>
      <c r="F77" s="959"/>
      <c r="G77" s="959"/>
      <c r="H77" s="958"/>
      <c r="I77" s="959"/>
      <c r="J77" s="959"/>
      <c r="K77" s="960"/>
      <c r="L77" s="959"/>
      <c r="M77" s="961"/>
      <c r="N77" s="958"/>
      <c r="O77" s="958"/>
      <c r="P77" s="958"/>
      <c r="Q77" s="958"/>
      <c r="R77" s="958"/>
      <c r="S77" s="958"/>
      <c r="T77" s="958"/>
      <c r="U77" s="962"/>
      <c r="V77" s="959"/>
      <c r="W77" s="963"/>
      <c r="X77" s="959"/>
      <c r="Y77" s="959"/>
      <c r="Z77" s="964"/>
      <c r="AA77" s="959"/>
      <c r="AB77" s="959"/>
      <c r="AC77" s="1374"/>
      <c r="AD77" s="959"/>
      <c r="AE77" s="959"/>
      <c r="AF77" s="958"/>
      <c r="AG77" s="959"/>
      <c r="AH77" s="959"/>
      <c r="AI77" s="958"/>
      <c r="AJ77" s="958"/>
      <c r="AK77" s="958"/>
      <c r="AL77" s="958"/>
      <c r="AM77" s="958"/>
      <c r="AN77" s="958"/>
      <c r="AO77" s="958"/>
      <c r="AP77" s="958"/>
      <c r="AQ77" s="958"/>
      <c r="AR77" s="958"/>
      <c r="AS77" s="958"/>
      <c r="AT77" s="958"/>
      <c r="AU77" s="958"/>
      <c r="AV77" s="958"/>
      <c r="AW77" s="958"/>
      <c r="AX77" s="958"/>
      <c r="AY77" s="958"/>
      <c r="AZ77" s="958"/>
      <c r="BA77" s="958"/>
      <c r="BB77" s="958"/>
      <c r="BC77" s="958"/>
      <c r="BD77" s="958"/>
      <c r="BE77" s="958"/>
      <c r="BF77" s="958"/>
      <c r="BG77" s="958"/>
      <c r="BH77" s="958"/>
      <c r="BI77" s="958"/>
      <c r="BJ77" s="958"/>
      <c r="BK77" s="873"/>
    </row>
    <row r="78" spans="2:64">
      <c r="B78" s="828" t="s">
        <v>44</v>
      </c>
      <c r="C78" s="834">
        <f>+C75-C82</f>
        <v>150.7724</v>
      </c>
      <c r="D78" s="834">
        <f>+D75-D82</f>
        <v>213.29743999999937</v>
      </c>
      <c r="E78" s="966">
        <f t="shared" ref="E78:T78" si="288">(+E75-E82)*-1</f>
        <v>-364.06983999999943</v>
      </c>
      <c r="F78" s="966">
        <f t="shared" si="288"/>
        <v>-161.6098049197771</v>
      </c>
      <c r="G78" s="966">
        <f t="shared" si="288"/>
        <v>-217.57737576528024</v>
      </c>
      <c r="H78" s="966">
        <f t="shared" si="288"/>
        <v>-382.76527989886239</v>
      </c>
      <c r="I78" s="966">
        <f t="shared" si="288"/>
        <v>-165.13248758409776</v>
      </c>
      <c r="J78" s="966">
        <f t="shared" si="288"/>
        <v>-227.07094338935337</v>
      </c>
      <c r="K78" s="967">
        <f t="shared" si="288"/>
        <v>-392.20343097345108</v>
      </c>
      <c r="L78" s="966">
        <f t="shared" si="288"/>
        <v>-145.6134999999999</v>
      </c>
      <c r="M78" s="966">
        <f t="shared" si="288"/>
        <v>-154.79889999999986</v>
      </c>
      <c r="N78" s="966">
        <f t="shared" si="288"/>
        <v>-300.41239999999982</v>
      </c>
      <c r="O78" s="966">
        <f t="shared" si="288"/>
        <v>-163.70417901234572</v>
      </c>
      <c r="P78" s="966">
        <f t="shared" si="288"/>
        <v>-209.40992098765412</v>
      </c>
      <c r="Q78" s="966">
        <f t="shared" si="288"/>
        <v>-373.11409999999995</v>
      </c>
      <c r="R78" s="966">
        <f t="shared" si="288"/>
        <v>-170.25526190476165</v>
      </c>
      <c r="S78" s="966">
        <f>T78-R78</f>
        <v>-227.4759380952384</v>
      </c>
      <c r="T78" s="966">
        <f t="shared" si="288"/>
        <v>-397.73120000000006</v>
      </c>
      <c r="U78" s="966">
        <f>(+U75-U82)*-1</f>
        <v>-185.70861058201089</v>
      </c>
      <c r="V78" s="966">
        <f>W78-U78</f>
        <v>-230.64618941798935</v>
      </c>
      <c r="W78" s="966">
        <f t="shared" ref="W78" si="289">(+W75-W82)*-1</f>
        <v>-416.35480000000024</v>
      </c>
      <c r="X78" s="966">
        <f>(+X75-X82)*-1</f>
        <v>-206.3331135802469</v>
      </c>
      <c r="Y78" s="966">
        <f>Z78-X78</f>
        <v>-245.97064641975328</v>
      </c>
      <c r="Z78" s="966">
        <f t="shared" ref="Z78" si="290">(+Z75-Z82)*-1</f>
        <v>-452.30376000000018</v>
      </c>
      <c r="AA78" s="966">
        <f>(+AA75-AA82)*-1</f>
        <v>-216.35394571428543</v>
      </c>
      <c r="AB78" s="966">
        <f>AC78-AA78</f>
        <v>-254.63986428571496</v>
      </c>
      <c r="AC78" s="968">
        <f t="shared" ref="AC78" si="291">(+AC75-AC82)*-1</f>
        <v>-470.99381000000039</v>
      </c>
      <c r="AD78" s="966">
        <f>(AD63*AD80)</f>
        <v>-227.16394179888925</v>
      </c>
      <c r="AE78" s="966">
        <f>AF78-AD78</f>
        <v>-268.14864369696329</v>
      </c>
      <c r="AF78" s="966">
        <f t="shared" ref="AF78:AU78" si="292">(AF63*AF80)</f>
        <v>-495.31258549585255</v>
      </c>
      <c r="AG78" s="966">
        <f>(AG63*AG80)</f>
        <v>-234.63029328260515</v>
      </c>
      <c r="AH78" s="966">
        <f>AI78-AG78</f>
        <v>-283.85331568114407</v>
      </c>
      <c r="AI78" s="966">
        <f t="shared" si="292"/>
        <v>-518.48360896374925</v>
      </c>
      <c r="AJ78" s="966"/>
      <c r="AK78" s="966"/>
      <c r="AL78" s="966">
        <f t="shared" si="292"/>
        <v>-543.21099212281626</v>
      </c>
      <c r="AM78" s="966"/>
      <c r="AN78" s="966"/>
      <c r="AO78" s="966">
        <f t="shared" si="292"/>
        <v>-566.42103511615608</v>
      </c>
      <c r="AP78" s="966"/>
      <c r="AQ78" s="966"/>
      <c r="AR78" s="966">
        <f t="shared" si="292"/>
        <v>-588.31860260944416</v>
      </c>
      <c r="AS78" s="966"/>
      <c r="AT78" s="966"/>
      <c r="AU78" s="966">
        <f t="shared" si="292"/>
        <v>-607.0219883047514</v>
      </c>
      <c r="AV78" s="966"/>
      <c r="AW78" s="966"/>
      <c r="AX78" s="966">
        <f t="shared" ref="AX78:BA78" si="293">(AX63*AX80)</f>
        <v>-620.76855628892906</v>
      </c>
      <c r="AY78" s="966"/>
      <c r="AZ78" s="966"/>
      <c r="BA78" s="966">
        <f t="shared" si="293"/>
        <v>-634.82217819715208</v>
      </c>
      <c r="BB78" s="966"/>
      <c r="BC78" s="966"/>
      <c r="BD78" s="966">
        <f t="shared" ref="BD78:BG78" si="294">(BD63*BD80)</f>
        <v>-649.18963755918821</v>
      </c>
      <c r="BE78" s="966"/>
      <c r="BF78" s="966"/>
      <c r="BG78" s="966">
        <f t="shared" si="294"/>
        <v>-663.877866424427</v>
      </c>
      <c r="BH78" s="966"/>
      <c r="BI78" s="966"/>
      <c r="BJ78" s="966">
        <f t="shared" ref="BJ78" si="295">(BJ63*BJ80)</f>
        <v>-678.89394858925164</v>
      </c>
      <c r="BK78" s="873"/>
    </row>
    <row r="79" spans="2:64">
      <c r="B79" s="812" t="s">
        <v>42</v>
      </c>
      <c r="C79" s="969">
        <v>6.2279374684820921E-2</v>
      </c>
      <c r="D79" s="969">
        <v>5.5979643765902143E-3</v>
      </c>
      <c r="E79" s="902">
        <v>3.4067882472137878E-2</v>
      </c>
      <c r="F79" s="902">
        <f t="shared" ref="F79:AC79" si="296">F78/C78-1</f>
        <v>-2.0718792359860103</v>
      </c>
      <c r="G79" s="902">
        <f t="shared" si="296"/>
        <v>-2.0200655749327368</v>
      </c>
      <c r="H79" s="902">
        <f t="shared" si="296"/>
        <v>5.1351245955619351E-2</v>
      </c>
      <c r="I79" s="902">
        <f t="shared" si="296"/>
        <v>2.1797456324319509E-2</v>
      </c>
      <c r="J79" s="902">
        <f t="shared" si="296"/>
        <v>4.3633064286585865E-2</v>
      </c>
      <c r="K79" s="904">
        <f t="shared" si="296"/>
        <v>2.46578035423759E-2</v>
      </c>
      <c r="L79" s="902">
        <f t="shared" si="296"/>
        <v>-0.11820198356884404</v>
      </c>
      <c r="M79" s="902">
        <f t="shared" si="296"/>
        <v>-0.31827957514330796</v>
      </c>
      <c r="N79" s="902">
        <f t="shared" si="296"/>
        <v>-0.23403933704920787</v>
      </c>
      <c r="O79" s="902">
        <f t="shared" si="296"/>
        <v>0.12423764975325668</v>
      </c>
      <c r="P79" s="902">
        <f t="shared" si="296"/>
        <v>0.35278688018877591</v>
      </c>
      <c r="Q79" s="902">
        <f t="shared" si="296"/>
        <v>0.24200632197605754</v>
      </c>
      <c r="R79" s="902">
        <f t="shared" si="296"/>
        <v>4.0017810980389701E-2</v>
      </c>
      <c r="S79" s="902">
        <f t="shared" si="296"/>
        <v>8.6271065966589955E-2</v>
      </c>
      <c r="T79" s="902">
        <f t="shared" si="296"/>
        <v>6.5977404767067593E-2</v>
      </c>
      <c r="U79" s="902">
        <f t="shared" si="296"/>
        <v>9.0765762563588925E-2</v>
      </c>
      <c r="V79" s="902">
        <f t="shared" si="296"/>
        <v>1.3936644681177945E-2</v>
      </c>
      <c r="W79" s="902">
        <f t="shared" si="296"/>
        <v>4.682458906920095E-2</v>
      </c>
      <c r="X79" s="902">
        <f t="shared" si="296"/>
        <v>0.1110584099121672</v>
      </c>
      <c r="Y79" s="902">
        <f t="shared" ref="Y79" si="297">Y78/V78-1</f>
        <v>6.6441405515666796E-2</v>
      </c>
      <c r="Z79" s="902">
        <f t="shared" si="296"/>
        <v>8.6342129356980823E-2</v>
      </c>
      <c r="AA79" s="902">
        <f t="shared" si="296"/>
        <v>4.8566281776876385E-2</v>
      </c>
      <c r="AB79" s="902">
        <f t="shared" si="296"/>
        <v>3.5244928580492108E-2</v>
      </c>
      <c r="AC79" s="905">
        <f t="shared" si="296"/>
        <v>4.132189836317135E-2</v>
      </c>
      <c r="AD79" s="902">
        <f t="shared" ref="AD79" si="298">AD78/AA78-1</f>
        <v>4.9964404619083691E-2</v>
      </c>
      <c r="AE79" s="902">
        <f t="shared" ref="AE79" si="299">AE78/AB78-1</f>
        <v>5.3050528632433647E-2</v>
      </c>
      <c r="AF79" s="902">
        <f>AF78/AC78-1</f>
        <v>5.1632898308901609E-2</v>
      </c>
      <c r="AG79" s="902">
        <f t="shared" ref="AG79" si="300">AG78/AD78-1</f>
        <v>3.2867678842824155E-2</v>
      </c>
      <c r="AH79" s="902">
        <f t="shared" ref="AH79" si="301">AH78/AE78-1</f>
        <v>5.8567038668033478E-2</v>
      </c>
      <c r="AI79" s="902">
        <f>AI78/AF78-1</f>
        <v>4.6780607128527496E-2</v>
      </c>
      <c r="AJ79" s="902"/>
      <c r="AK79" s="902"/>
      <c r="AL79" s="902">
        <f>AL78/AI78-1</f>
        <v>4.7691735537190194E-2</v>
      </c>
      <c r="AM79" s="902"/>
      <c r="AN79" s="902"/>
      <c r="AO79" s="902">
        <f>AO78/AL78-1</f>
        <v>4.2727491398208306E-2</v>
      </c>
      <c r="AP79" s="902"/>
      <c r="AQ79" s="902"/>
      <c r="AR79" s="902">
        <f>AR78/AO78-1</f>
        <v>3.8659523809523755E-2</v>
      </c>
      <c r="AS79" s="902"/>
      <c r="AT79" s="902"/>
      <c r="AU79" s="902">
        <f>AU78/AR78-1</f>
        <v>3.1791253263707464E-2</v>
      </c>
      <c r="AV79" s="902"/>
      <c r="AW79" s="902"/>
      <c r="AX79" s="902">
        <f>AX78/AU78-1</f>
        <v>2.2645914396887123E-2</v>
      </c>
      <c r="AY79" s="902"/>
      <c r="AZ79" s="902"/>
      <c r="BA79" s="902">
        <f>BA78/AX78-1</f>
        <v>2.2639068564036524E-2</v>
      </c>
      <c r="BB79" s="902"/>
      <c r="BC79" s="902"/>
      <c r="BD79" s="902">
        <f>BD78/BA78-1</f>
        <v>2.2632258064515964E-2</v>
      </c>
      <c r="BE79" s="902"/>
      <c r="BF79" s="902"/>
      <c r="BG79" s="902">
        <f>BG78/BD78-1</f>
        <v>2.2625482625482585E-2</v>
      </c>
      <c r="BH79" s="902"/>
      <c r="BI79" s="902"/>
      <c r="BJ79" s="902">
        <f t="shared" ref="BJ79" si="302">BJ78/BG78-1</f>
        <v>2.2618741976893508E-2</v>
      </c>
      <c r="BK79" s="873"/>
    </row>
    <row r="80" spans="2:64">
      <c r="B80" s="812" t="s">
        <v>250</v>
      </c>
      <c r="C80" s="902">
        <f t="shared" ref="C80:W80" si="303">C78/C63</f>
        <v>0.30820196238757158</v>
      </c>
      <c r="D80" s="902">
        <f t="shared" si="303"/>
        <v>0.45703329762159711</v>
      </c>
      <c r="E80" s="902">
        <f t="shared" si="303"/>
        <v>-0.38086603201171609</v>
      </c>
      <c r="F80" s="902">
        <f t="shared" si="303"/>
        <v>-0.31277299190976793</v>
      </c>
      <c r="G80" s="902">
        <f t="shared" si="303"/>
        <v>-0.44430748573673734</v>
      </c>
      <c r="H80" s="902">
        <f t="shared" si="303"/>
        <v>-0.38033116047184262</v>
      </c>
      <c r="I80" s="902">
        <f t="shared" si="303"/>
        <v>-0.31110114465730554</v>
      </c>
      <c r="J80" s="902">
        <f t="shared" si="303"/>
        <v>-0.44541181520077167</v>
      </c>
      <c r="K80" s="904">
        <f t="shared" si="303"/>
        <v>-0.3769012406048925</v>
      </c>
      <c r="L80" s="902">
        <f t="shared" si="303"/>
        <v>-0.26441528963137806</v>
      </c>
      <c r="M80" s="902">
        <f t="shared" si="303"/>
        <v>-0.27205430579964829</v>
      </c>
      <c r="N80" s="902">
        <f t="shared" si="303"/>
        <v>-0.26829722247030435</v>
      </c>
      <c r="O80" s="902">
        <f t="shared" si="303"/>
        <v>-0.24732463969231866</v>
      </c>
      <c r="P80" s="902">
        <f t="shared" si="303"/>
        <v>-0.32371297107381997</v>
      </c>
      <c r="Q80" s="902">
        <f t="shared" si="303"/>
        <v>-0.28508106662591687</v>
      </c>
      <c r="R80" s="902">
        <f t="shared" si="303"/>
        <v>-0.27634355121694798</v>
      </c>
      <c r="S80" s="902">
        <f t="shared" si="303"/>
        <v>-0.31432352921823742</v>
      </c>
      <c r="T80" s="902">
        <f t="shared" si="303"/>
        <v>-0.29685863561725634</v>
      </c>
      <c r="U80" s="902">
        <f t="shared" si="303"/>
        <v>-0.25488417592919421</v>
      </c>
      <c r="V80" s="902">
        <f>V78/V63</f>
        <v>-0.32051999641188067</v>
      </c>
      <c r="W80" s="902">
        <f t="shared" si="303"/>
        <v>-0.28749813561662768</v>
      </c>
      <c r="X80" s="902">
        <f t="shared" ref="X80" si="304">X78/X63</f>
        <v>-0.27149093892137749</v>
      </c>
      <c r="Y80" s="902">
        <f>Y78/Y63</f>
        <v>-0.33311300977756397</v>
      </c>
      <c r="Z80" s="970">
        <f t="shared" ref="Z80:AC80" si="305">Z78/Z63</f>
        <v>-0.30185782167645497</v>
      </c>
      <c r="AA80" s="902">
        <f t="shared" si="305"/>
        <v>-0.27959930952996309</v>
      </c>
      <c r="AB80" s="902">
        <f>AB78/AB63</f>
        <v>-0.33483216868601573</v>
      </c>
      <c r="AC80" s="1375">
        <f t="shared" si="305"/>
        <v>-0.30697634752004199</v>
      </c>
      <c r="AD80" s="957">
        <f>AA80+0.08%</f>
        <v>-0.27879930952996307</v>
      </c>
      <c r="AE80" s="911">
        <f>AE78/AE63</f>
        <v>-0.33395746506492374</v>
      </c>
      <c r="AF80" s="957">
        <f>AC80+0.08%</f>
        <v>-0.30617634752004197</v>
      </c>
      <c r="AG80" s="911">
        <f>AD80+0.1%</f>
        <v>-0.27779930952996307</v>
      </c>
      <c r="AH80" s="911">
        <f>AH78/AH63</f>
        <v>-0.33116002310707238</v>
      </c>
      <c r="AI80" s="957">
        <f>AF80+0.15%</f>
        <v>-0.30467634752004197</v>
      </c>
      <c r="AJ80" s="957"/>
      <c r="AK80" s="957"/>
      <c r="AL80" s="957">
        <f>AI80</f>
        <v>-0.30467634752004197</v>
      </c>
      <c r="AM80" s="957"/>
      <c r="AN80" s="957"/>
      <c r="AO80" s="957">
        <f>AL80+0.05%</f>
        <v>-0.30417634752004197</v>
      </c>
      <c r="AP80" s="957"/>
      <c r="AQ80" s="957"/>
      <c r="AR80" s="957">
        <f>AO80</f>
        <v>-0.30417634752004197</v>
      </c>
      <c r="AS80" s="957"/>
      <c r="AT80" s="957"/>
      <c r="AU80" s="957">
        <f>AR80</f>
        <v>-0.30417634752004197</v>
      </c>
      <c r="AV80" s="957"/>
      <c r="AW80" s="957"/>
      <c r="AX80" s="957">
        <f>AU80</f>
        <v>-0.30417634752004197</v>
      </c>
      <c r="AY80" s="957"/>
      <c r="AZ80" s="957"/>
      <c r="BA80" s="957">
        <f>AX80</f>
        <v>-0.30417634752004197</v>
      </c>
      <c r="BB80" s="957"/>
      <c r="BC80" s="957"/>
      <c r="BD80" s="957">
        <f>BA80</f>
        <v>-0.30417634752004197</v>
      </c>
      <c r="BE80" s="957"/>
      <c r="BF80" s="957"/>
      <c r="BG80" s="957">
        <f>BD80</f>
        <v>-0.30417634752004197</v>
      </c>
      <c r="BH80" s="957"/>
      <c r="BI80" s="957"/>
      <c r="BJ80" s="957">
        <f t="shared" ref="BJ80" si="306">BG80</f>
        <v>-0.30417634752004197</v>
      </c>
      <c r="BK80" s="906"/>
    </row>
    <row r="81" spans="2:64">
      <c r="C81" s="902"/>
      <c r="D81" s="902"/>
      <c r="E81" s="971"/>
      <c r="F81" s="902"/>
      <c r="G81" s="902"/>
      <c r="H81" s="902"/>
      <c r="I81" s="902"/>
      <c r="J81" s="902"/>
      <c r="K81" s="904"/>
      <c r="L81" s="902"/>
      <c r="M81" s="902"/>
      <c r="N81" s="902"/>
      <c r="O81" s="902"/>
      <c r="P81" s="902"/>
      <c r="Q81" s="902"/>
      <c r="R81" s="902"/>
      <c r="S81" s="902"/>
      <c r="T81" s="902"/>
      <c r="U81" s="834"/>
      <c r="V81" s="834"/>
      <c r="W81" s="902"/>
      <c r="X81" s="834"/>
      <c r="Y81" s="944"/>
      <c r="Z81" s="944"/>
      <c r="AA81" s="834"/>
      <c r="AB81" s="944"/>
      <c r="AC81" s="989"/>
      <c r="AD81" s="944"/>
      <c r="AE81" s="944"/>
      <c r="AF81" s="902"/>
      <c r="AG81" s="944"/>
      <c r="AH81" s="944"/>
      <c r="AI81" s="902"/>
      <c r="AJ81" s="902"/>
      <c r="AK81" s="902"/>
      <c r="AL81" s="902"/>
      <c r="AM81" s="902"/>
      <c r="AN81" s="902"/>
      <c r="AO81" s="902"/>
      <c r="AP81" s="902"/>
      <c r="AQ81" s="902"/>
      <c r="AR81" s="902"/>
      <c r="AS81" s="902"/>
      <c r="AT81" s="902"/>
      <c r="AU81" s="902"/>
      <c r="AV81" s="902"/>
      <c r="AW81" s="902"/>
      <c r="AX81" s="902"/>
      <c r="AY81" s="902"/>
      <c r="AZ81" s="902"/>
      <c r="BA81" s="902"/>
      <c r="BB81" s="902"/>
      <c r="BC81" s="902"/>
      <c r="BD81" s="902"/>
      <c r="BE81" s="902"/>
      <c r="BF81" s="902"/>
      <c r="BG81" s="902"/>
      <c r="BH81" s="902"/>
      <c r="BI81" s="902"/>
      <c r="BJ81" s="902"/>
      <c r="BK81" s="873"/>
    </row>
    <row r="82" spans="2:64">
      <c r="B82" s="828" t="s">
        <v>66</v>
      </c>
      <c r="C82" s="972">
        <v>67.900000000000006</v>
      </c>
      <c r="D82" s="973">
        <f>+E82-C82</f>
        <v>71.5</v>
      </c>
      <c r="E82" s="974">
        <v>139.4</v>
      </c>
      <c r="F82" s="972">
        <v>71</v>
      </c>
      <c r="G82" s="973">
        <f>+H82-F82</f>
        <v>77.199999999999989</v>
      </c>
      <c r="H82" s="974">
        <v>148.19999999999999</v>
      </c>
      <c r="I82" s="975">
        <v>74.3</v>
      </c>
      <c r="J82" s="976">
        <f>K82-I82</f>
        <v>81.8</v>
      </c>
      <c r="K82" s="977">
        <v>156.1</v>
      </c>
      <c r="L82" s="975">
        <v>108.4</v>
      </c>
      <c r="M82" s="976">
        <f>+N82-L82</f>
        <v>133.6</v>
      </c>
      <c r="N82" s="975">
        <v>242</v>
      </c>
      <c r="O82" s="975">
        <v>164.5</v>
      </c>
      <c r="P82" s="975">
        <f>+Q82-O82</f>
        <v>151.19999999999999</v>
      </c>
      <c r="Q82" s="975">
        <v>315.7</v>
      </c>
      <c r="R82" s="975">
        <v>136.80000000000001</v>
      </c>
      <c r="S82" s="975">
        <f>+T82-R82</f>
        <v>164.7</v>
      </c>
      <c r="T82" s="975">
        <v>301.5</v>
      </c>
      <c r="U82" s="975">
        <v>172.1</v>
      </c>
      <c r="V82" s="976">
        <f t="shared" ref="V82:AU82" si="307">V75+V78</f>
        <v>162.20000000000002</v>
      </c>
      <c r="W82" s="975">
        <v>334.3</v>
      </c>
      <c r="X82" s="975">
        <v>173.7</v>
      </c>
      <c r="Y82" s="976">
        <f>Y75+Y78</f>
        <v>161.5</v>
      </c>
      <c r="Z82" s="975">
        <v>335.2</v>
      </c>
      <c r="AA82" s="975">
        <v>167.7</v>
      </c>
      <c r="AB82" s="976">
        <f>AB75+AB78</f>
        <v>171.40000000000003</v>
      </c>
      <c r="AC82" s="978">
        <v>339.1</v>
      </c>
      <c r="AD82" s="979">
        <f t="shared" ref="AD82" si="308">AD75+AD78</f>
        <v>178.86570276966404</v>
      </c>
      <c r="AE82" s="976">
        <f>AE75+AE78</f>
        <v>181.26316448306329</v>
      </c>
      <c r="AF82" s="979">
        <f>AF75+AF78</f>
        <v>360.12886725272733</v>
      </c>
      <c r="AG82" s="979">
        <f t="shared" ref="AG82" si="309">AG75+AG78</f>
        <v>187.09883944061832</v>
      </c>
      <c r="AH82" s="976">
        <f>AH75+AH78</f>
        <v>194.45582755675383</v>
      </c>
      <c r="AI82" s="979">
        <f t="shared" si="307"/>
        <v>381.55466699737212</v>
      </c>
      <c r="AJ82" s="979"/>
      <c r="AK82" s="979"/>
      <c r="AL82" s="979">
        <f t="shared" si="307"/>
        <v>399.9299624280967</v>
      </c>
      <c r="AM82" s="979"/>
      <c r="AN82" s="979"/>
      <c r="AO82" s="979">
        <f t="shared" si="307"/>
        <v>419.37938581416199</v>
      </c>
      <c r="AP82" s="979"/>
      <c r="AQ82" s="979"/>
      <c r="AR82" s="979">
        <f t="shared" si="307"/>
        <v>436.36604780002961</v>
      </c>
      <c r="AS82" s="979"/>
      <c r="AT82" s="979"/>
      <c r="AU82" s="979">
        <f t="shared" si="307"/>
        <v>451.03692142651744</v>
      </c>
      <c r="AV82" s="979"/>
      <c r="AW82" s="979"/>
      <c r="AX82" s="979">
        <f t="shared" ref="AX82:BA82" si="310">AX75+AX78</f>
        <v>462.06739212726836</v>
      </c>
      <c r="AY82" s="979"/>
      <c r="AZ82" s="979"/>
      <c r="BA82" s="979">
        <f t="shared" si="310"/>
        <v>473.3629755743201</v>
      </c>
      <c r="BB82" s="979"/>
      <c r="BC82" s="979"/>
      <c r="BD82" s="979">
        <f t="shared" ref="BD82:BG82" si="311">BD75+BD78</f>
        <v>484.92995026298104</v>
      </c>
      <c r="BE82" s="979"/>
      <c r="BF82" s="979"/>
      <c r="BG82" s="979">
        <f t="shared" si="311"/>
        <v>496.774741506748</v>
      </c>
      <c r="BH82" s="979"/>
      <c r="BI82" s="979"/>
      <c r="BJ82" s="979">
        <f t="shared" ref="BJ82" si="312">BJ75+BJ78</f>
        <v>508.90392483310609</v>
      </c>
      <c r="BK82" s="873"/>
    </row>
    <row r="83" spans="2:64">
      <c r="B83" s="812" t="s">
        <v>42</v>
      </c>
      <c r="C83" s="907">
        <v>0.1112929623567922</v>
      </c>
      <c r="D83" s="908">
        <v>-8.3217753120664595E-3</v>
      </c>
      <c r="E83" s="902">
        <v>4.6546546546546663E-2</v>
      </c>
      <c r="F83" s="902">
        <f t="shared" ref="F83:M83" si="313">+F82/C82-1</f>
        <v>4.5655375552282607E-2</v>
      </c>
      <c r="G83" s="902">
        <f t="shared" si="313"/>
        <v>7.9720279720279619E-2</v>
      </c>
      <c r="H83" s="902">
        <f t="shared" si="313"/>
        <v>6.3127690100430289E-2</v>
      </c>
      <c r="I83" s="902">
        <f t="shared" si="313"/>
        <v>4.6478873239436558E-2</v>
      </c>
      <c r="J83" s="902">
        <f t="shared" si="313"/>
        <v>5.9585492227979486E-2</v>
      </c>
      <c r="K83" s="904">
        <f t="shared" si="313"/>
        <v>5.3306342780027105E-2</v>
      </c>
      <c r="L83" s="902">
        <f t="shared" si="313"/>
        <v>0.45895020188425306</v>
      </c>
      <c r="M83" s="902">
        <f t="shared" si="313"/>
        <v>0.63325183374083127</v>
      </c>
      <c r="N83" s="902">
        <f>N82/K82-1</f>
        <v>0.55028827674567582</v>
      </c>
      <c r="O83" s="902">
        <f>+O82/L82-1</f>
        <v>0.51752767527675259</v>
      </c>
      <c r="P83" s="902">
        <f>+P82/M82-1</f>
        <v>0.13173652694610771</v>
      </c>
      <c r="Q83" s="902">
        <f>Q82/N82-1</f>
        <v>0.30454545454545445</v>
      </c>
      <c r="R83" s="902">
        <f>+R82/O82-1</f>
        <v>-0.16838905775075985</v>
      </c>
      <c r="S83" s="902">
        <f>+S82/P82-1</f>
        <v>8.9285714285714191E-2</v>
      </c>
      <c r="T83" s="902">
        <f>T82/Q82-1</f>
        <v>-4.4979410833069333E-2</v>
      </c>
      <c r="U83" s="902">
        <f>+U82/R82-1</f>
        <v>0.2580409356725144</v>
      </c>
      <c r="V83" s="902">
        <f>+V82/S82-1</f>
        <v>-1.5179113539769085E-2</v>
      </c>
      <c r="W83" s="902">
        <f>W82/T82-1</f>
        <v>0.10878938640132674</v>
      </c>
      <c r="X83" s="902">
        <f>+X82/U82-1</f>
        <v>9.2969203951189794E-3</v>
      </c>
      <c r="Y83" s="902">
        <f>+Y82/V82-1</f>
        <v>-4.3156596794082791E-3</v>
      </c>
      <c r="Z83" s="902">
        <f>Z82/W82-1</f>
        <v>2.6921926413401298E-3</v>
      </c>
      <c r="AA83" s="902">
        <f>+AA82/X82-1</f>
        <v>-3.4542314335060498E-2</v>
      </c>
      <c r="AB83" s="902">
        <f>+AB82/Y82-1</f>
        <v>6.1300309597523528E-2</v>
      </c>
      <c r="AC83" s="905">
        <f>AC82/Z82-1</f>
        <v>1.1634844868735117E-2</v>
      </c>
      <c r="AD83" s="902">
        <f>+AD82/AA82-1</f>
        <v>6.6581411864424789E-2</v>
      </c>
      <c r="AE83" s="902">
        <f>+AE82/AB82-1</f>
        <v>5.7544716937358631E-2</v>
      </c>
      <c r="AF83" s="902">
        <f>AF82/AC82-1</f>
        <v>6.2013763647087217E-2</v>
      </c>
      <c r="AG83" s="902">
        <f>+AG82/AD82-1</f>
        <v>4.6029711361470937E-2</v>
      </c>
      <c r="AH83" s="902">
        <f>+AH82/AE82-1</f>
        <v>7.2781820351168092E-2</v>
      </c>
      <c r="AI83" s="902">
        <f>AI82/AF82-1</f>
        <v>5.9494813365263521E-2</v>
      </c>
      <c r="AJ83" s="902"/>
      <c r="AK83" s="902"/>
      <c r="AL83" s="902">
        <f>AL82/AI82-1</f>
        <v>4.8159011067347546E-2</v>
      </c>
      <c r="AM83" s="902"/>
      <c r="AN83" s="902"/>
      <c r="AO83" s="902">
        <f>AO82/AL82-1</f>
        <v>4.8632073646050156E-2</v>
      </c>
      <c r="AP83" s="902"/>
      <c r="AQ83" s="902"/>
      <c r="AR83" s="902">
        <f>AR82/AO82-1</f>
        <v>4.0504284570140658E-2</v>
      </c>
      <c r="AS83" s="902"/>
      <c r="AT83" s="902"/>
      <c r="AU83" s="902">
        <f>AU82/AR82-1</f>
        <v>3.3620566266445495E-2</v>
      </c>
      <c r="AV83" s="902"/>
      <c r="AW83" s="902"/>
      <c r="AX83" s="902">
        <f>AX82/AU82-1</f>
        <v>2.4455804340505649E-2</v>
      </c>
      <c r="AY83" s="902"/>
      <c r="AZ83" s="902"/>
      <c r="BA83" s="902">
        <f>BA82/AX82-1</f>
        <v>2.4445748909156073E-2</v>
      </c>
      <c r="BB83" s="902"/>
      <c r="BC83" s="902"/>
      <c r="BD83" s="902">
        <f>BD82/BA82-1</f>
        <v>2.443574019414374E-2</v>
      </c>
      <c r="BE83" s="902"/>
      <c r="BF83" s="902"/>
      <c r="BG83" s="902">
        <f>BG82/BD82-1</f>
        <v>2.4425777862026044E-2</v>
      </c>
      <c r="BH83" s="902"/>
      <c r="BI83" s="902"/>
      <c r="BJ83" s="902">
        <f t="shared" ref="BJ83" si="314">BJ82/BG82-1</f>
        <v>2.44158615825949E-2</v>
      </c>
      <c r="BK83" s="873"/>
    </row>
    <row r="84" spans="2:64">
      <c r="B84" s="812" t="s">
        <v>59</v>
      </c>
      <c r="C84" s="902">
        <f t="shared" ref="C84:S84" si="315">+C82/C63</f>
        <v>0.13879803761242848</v>
      </c>
      <c r="D84" s="902">
        <f t="shared" si="315"/>
        <v>0.15320334261838439</v>
      </c>
      <c r="E84" s="902">
        <f t="shared" si="315"/>
        <v>0.14583115388638979</v>
      </c>
      <c r="F84" s="902">
        <f t="shared" si="315"/>
        <v>0.13741048964582928</v>
      </c>
      <c r="G84" s="902">
        <f t="shared" si="315"/>
        <v>0.15764753930978151</v>
      </c>
      <c r="H84" s="902">
        <f t="shared" si="315"/>
        <v>0.14725755166931637</v>
      </c>
      <c r="I84" s="902">
        <f t="shared" si="315"/>
        <v>0.13997739261492087</v>
      </c>
      <c r="J84" s="902">
        <f t="shared" si="315"/>
        <v>0.16045508042369558</v>
      </c>
      <c r="K84" s="904">
        <f t="shared" si="315"/>
        <v>0.15000960984047665</v>
      </c>
      <c r="L84" s="902">
        <f t="shared" si="315"/>
        <v>0.19684038496459053</v>
      </c>
      <c r="M84" s="902">
        <f t="shared" si="315"/>
        <v>0.23479789103690685</v>
      </c>
      <c r="N84" s="902">
        <f t="shared" si="315"/>
        <v>0.21612932035366617</v>
      </c>
      <c r="O84" s="902">
        <f t="shared" si="315"/>
        <v>0.24852696781991238</v>
      </c>
      <c r="P84" s="902">
        <f t="shared" si="315"/>
        <v>0.23373009738754058</v>
      </c>
      <c r="Q84" s="902">
        <f t="shared" si="315"/>
        <v>0.24121332518337407</v>
      </c>
      <c r="R84" s="902">
        <f t="shared" si="315"/>
        <v>0.22204187631877942</v>
      </c>
      <c r="S84" s="902">
        <f t="shared" si="315"/>
        <v>0.22758048915296394</v>
      </c>
      <c r="T84" s="902">
        <f t="shared" ref="T84:AU84" si="316">T82/T63</f>
        <v>0.22503358710255264</v>
      </c>
      <c r="U84" s="852">
        <f t="shared" si="316"/>
        <v>0.23620642327751851</v>
      </c>
      <c r="V84" s="852">
        <f t="shared" si="316"/>
        <v>0.22540300166759311</v>
      </c>
      <c r="W84" s="902">
        <f t="shared" si="316"/>
        <v>0.23083828200524789</v>
      </c>
      <c r="X84" s="852">
        <f t="shared" ref="X84" si="317">X82/X63</f>
        <v>0.22855263157894734</v>
      </c>
      <c r="Y84" s="852">
        <f t="shared" ref="Y84" si="318">Y82/Y63</f>
        <v>0.21871614301191764</v>
      </c>
      <c r="Z84" s="852">
        <f t="shared" si="316"/>
        <v>0.22370528563801387</v>
      </c>
      <c r="AA84" s="852">
        <f t="shared" si="316"/>
        <v>0.21672266735590592</v>
      </c>
      <c r="AB84" s="852">
        <f t="shared" si="316"/>
        <v>0.22537804076265619</v>
      </c>
      <c r="AC84" s="853">
        <f t="shared" si="316"/>
        <v>0.22101283973147365</v>
      </c>
      <c r="AD84" s="852">
        <f t="shared" ref="AD84:AE84" si="319">AD82/AD63</f>
        <v>0.21952266735590592</v>
      </c>
      <c r="AE84" s="852">
        <f t="shared" si="319"/>
        <v>0.22574862242756766</v>
      </c>
      <c r="AF84" s="852">
        <f t="shared" si="316"/>
        <v>0.22261283973147372</v>
      </c>
      <c r="AG84" s="852">
        <f t="shared" si="316"/>
        <v>0.22152266735590595</v>
      </c>
      <c r="AH84" s="852">
        <f t="shared" si="316"/>
        <v>0.22686363973756185</v>
      </c>
      <c r="AI84" s="852">
        <f t="shared" si="316"/>
        <v>0.22421283973147377</v>
      </c>
      <c r="AJ84" s="852"/>
      <c r="AK84" s="852"/>
      <c r="AL84" s="852">
        <f t="shared" si="316"/>
        <v>0.22431283973147373</v>
      </c>
      <c r="AM84" s="852"/>
      <c r="AN84" s="852"/>
      <c r="AO84" s="852">
        <f t="shared" si="316"/>
        <v>0.22521283973147369</v>
      </c>
      <c r="AP84" s="852"/>
      <c r="AQ84" s="852"/>
      <c r="AR84" s="852">
        <f t="shared" si="316"/>
        <v>0.22561283973147361</v>
      </c>
      <c r="AS84" s="852"/>
      <c r="AT84" s="852"/>
      <c r="AU84" s="852">
        <f t="shared" si="316"/>
        <v>0.2260128397314736</v>
      </c>
      <c r="AV84" s="852"/>
      <c r="AW84" s="852"/>
      <c r="AX84" s="852">
        <f t="shared" ref="AX84:BA84" si="320">AX82/AX63</f>
        <v>0.2264128397314735</v>
      </c>
      <c r="AY84" s="852"/>
      <c r="AZ84" s="852"/>
      <c r="BA84" s="852">
        <f t="shared" si="320"/>
        <v>0.22681283973147345</v>
      </c>
      <c r="BB84" s="852"/>
      <c r="BC84" s="852"/>
      <c r="BD84" s="852">
        <f t="shared" ref="BD84:BG84" si="321">BD82/BD63</f>
        <v>0.22721283973147349</v>
      </c>
      <c r="BE84" s="852"/>
      <c r="BF84" s="852"/>
      <c r="BG84" s="852">
        <f t="shared" si="321"/>
        <v>0.22761283973147339</v>
      </c>
      <c r="BH84" s="852"/>
      <c r="BI84" s="852"/>
      <c r="BJ84" s="852">
        <f t="shared" ref="BJ84" si="322">BJ82/BJ63</f>
        <v>0.2280128397314734</v>
      </c>
      <c r="BK84" s="906"/>
    </row>
    <row r="85" spans="2:64">
      <c r="B85" s="828"/>
      <c r="C85" s="958"/>
      <c r="D85" s="959"/>
      <c r="E85" s="958"/>
      <c r="F85" s="959"/>
      <c r="G85" s="959"/>
      <c r="H85" s="958"/>
      <c r="I85" s="959"/>
      <c r="J85" s="959"/>
      <c r="K85" s="960"/>
      <c r="L85" s="959"/>
      <c r="M85" s="959"/>
      <c r="N85" s="980"/>
      <c r="O85" s="980"/>
      <c r="P85" s="980"/>
      <c r="Q85" s="980"/>
      <c r="R85" s="980"/>
      <c r="S85" s="980"/>
      <c r="T85" s="980"/>
      <c r="U85" s="959"/>
      <c r="V85" s="941"/>
      <c r="W85" s="980"/>
      <c r="X85" s="959"/>
      <c r="Y85" s="981"/>
      <c r="Z85" s="981"/>
      <c r="AA85" s="959"/>
      <c r="AB85" s="981"/>
      <c r="AC85" s="1355"/>
      <c r="AD85" s="981"/>
      <c r="AE85" s="981"/>
      <c r="AF85" s="958"/>
      <c r="AG85" s="981"/>
      <c r="AH85" s="981"/>
      <c r="AI85" s="958"/>
      <c r="AJ85" s="958"/>
      <c r="AK85" s="958"/>
      <c r="AL85" s="958"/>
      <c r="AM85" s="958"/>
      <c r="AN85" s="958"/>
      <c r="AO85" s="958"/>
      <c r="AP85" s="958"/>
      <c r="AQ85" s="958"/>
      <c r="AR85" s="958"/>
      <c r="AS85" s="958"/>
      <c r="AT85" s="958"/>
      <c r="AU85" s="958"/>
      <c r="AV85" s="958"/>
      <c r="AW85" s="958"/>
      <c r="AX85" s="958"/>
      <c r="AY85" s="958"/>
      <c r="AZ85" s="958"/>
      <c r="BA85" s="958"/>
      <c r="BB85" s="958"/>
      <c r="BC85" s="958"/>
      <c r="BD85" s="958"/>
      <c r="BE85" s="958"/>
      <c r="BF85" s="958"/>
      <c r="BG85" s="958"/>
      <c r="BH85" s="958"/>
      <c r="BI85" s="958"/>
      <c r="BJ85" s="958"/>
      <c r="BK85" s="873"/>
    </row>
    <row r="86" spans="2:64">
      <c r="B86" s="828" t="s">
        <v>220</v>
      </c>
      <c r="C86" s="982">
        <v>-14.3</v>
      </c>
      <c r="D86" s="983">
        <f>E86-C86</f>
        <v>-14.099999999999998</v>
      </c>
      <c r="E86" s="982">
        <v>-28.4</v>
      </c>
      <c r="F86" s="982">
        <v>-15.3</v>
      </c>
      <c r="G86" s="983">
        <f>H86-F86</f>
        <v>-16.5</v>
      </c>
      <c r="H86" s="982">
        <v>-31.8</v>
      </c>
      <c r="I86" s="982">
        <f>I90-I82</f>
        <v>-17.199999999999996</v>
      </c>
      <c r="J86" s="980">
        <f>K86-I86</f>
        <v>-18.300000000000004</v>
      </c>
      <c r="K86" s="984">
        <f>120.6-156.1</f>
        <v>-35.5</v>
      </c>
      <c r="L86" s="982">
        <f>L90-L82</f>
        <v>-47.500000000000007</v>
      </c>
      <c r="M86" s="980">
        <f>N86-L86</f>
        <v>-52.9</v>
      </c>
      <c r="N86" s="985">
        <v>-100.4</v>
      </c>
      <c r="O86" s="985">
        <v>-55.5</v>
      </c>
      <c r="P86" s="985">
        <f>Q86-O86</f>
        <v>-56</v>
      </c>
      <c r="Q86" s="985">
        <v>-111.5</v>
      </c>
      <c r="R86" s="985">
        <v>-53.9</v>
      </c>
      <c r="S86" s="985">
        <f>T86-R86</f>
        <v>-57.000000000000007</v>
      </c>
      <c r="T86" s="985">
        <v>-110.9</v>
      </c>
      <c r="U86" s="985">
        <v>-56.4</v>
      </c>
      <c r="V86" s="980">
        <f t="shared" ref="V86:AU86" si="323">V88*V63</f>
        <v>-61.304553789731052</v>
      </c>
      <c r="W86" s="985">
        <v>-114.9</v>
      </c>
      <c r="X86" s="985">
        <v>-57.6</v>
      </c>
      <c r="Y86" s="980">
        <f>Z86-X86</f>
        <v>-55.800000000000004</v>
      </c>
      <c r="Z86" s="985">
        <v>-113.4</v>
      </c>
      <c r="AA86" s="985">
        <v>-59.3</v>
      </c>
      <c r="AB86" s="980">
        <f>AC86-AA86</f>
        <v>-61.400000000000006</v>
      </c>
      <c r="AC86" s="986">
        <v>-120.7</v>
      </c>
      <c r="AD86" s="980">
        <f>AF86/2</f>
        <v>-63.63187414772726</v>
      </c>
      <c r="AE86" s="980">
        <f>AF86-AD86</f>
        <v>-63.63187414772726</v>
      </c>
      <c r="AF86" s="980">
        <f>AF88*AF63</f>
        <v>-127.26374829545452</v>
      </c>
      <c r="AG86" s="980">
        <f>AI86/2</f>
        <v>-66.936543176249984</v>
      </c>
      <c r="AH86" s="980">
        <f>AI86-AG86</f>
        <v>-66.936543176249984</v>
      </c>
      <c r="AI86" s="980">
        <f t="shared" si="323"/>
        <v>-133.87308635249997</v>
      </c>
      <c r="AJ86" s="980"/>
      <c r="AK86" s="980"/>
      <c r="AL86" s="980">
        <f t="shared" si="323"/>
        <v>-140.0794350230654</v>
      </c>
      <c r="AM86" s="980"/>
      <c r="AN86" s="980"/>
      <c r="AO86" s="980">
        <f t="shared" si="323"/>
        <v>-146.11856186860339</v>
      </c>
      <c r="AP86" s="980"/>
      <c r="AQ86" s="980"/>
      <c r="AR86" s="980">
        <f t="shared" si="323"/>
        <v>-151.5740222314856</v>
      </c>
      <c r="AS86" s="980"/>
      <c r="AT86" s="980"/>
      <c r="AU86" s="980">
        <f t="shared" si="323"/>
        <v>-156.19318783914704</v>
      </c>
      <c r="AV86" s="980"/>
      <c r="AW86" s="980"/>
      <c r="AX86" s="980">
        <f t="shared" ref="AX86:BA86" si="324">AX88*AX63</f>
        <v>-159.5262436032566</v>
      </c>
      <c r="AY86" s="980"/>
      <c r="AZ86" s="980"/>
      <c r="BA86" s="980">
        <f t="shared" si="324"/>
        <v>-162.92906715108461</v>
      </c>
      <c r="BB86" s="980"/>
      <c r="BC86" s="980"/>
      <c r="BD86" s="980">
        <f t="shared" ref="BD86:BG86" si="325">BD88*BD63</f>
        <v>-166.40309442823991</v>
      </c>
      <c r="BE86" s="980"/>
      <c r="BF86" s="980"/>
      <c r="BG86" s="980">
        <f t="shared" si="325"/>
        <v>-169.94979048017362</v>
      </c>
      <c r="BH86" s="980"/>
      <c r="BI86" s="980"/>
      <c r="BJ86" s="980">
        <f t="shared" ref="BJ86" si="326">BJ88*BJ63</f>
        <v>-173.57065003317703</v>
      </c>
      <c r="BK86" s="873"/>
    </row>
    <row r="87" spans="2:64">
      <c r="B87" s="812" t="s">
        <v>221</v>
      </c>
      <c r="C87" s="958">
        <v>0.15322580645161299</v>
      </c>
      <c r="D87" s="908">
        <v>-0.12962962962962987</v>
      </c>
      <c r="E87" s="902">
        <v>-6.9930069930070893E-3</v>
      </c>
      <c r="F87" s="902">
        <f t="shared" ref="F87:Z87" si="327">+F86/C86-1</f>
        <v>6.9930069930070005E-2</v>
      </c>
      <c r="G87" s="902">
        <f t="shared" si="327"/>
        <v>0.17021276595744705</v>
      </c>
      <c r="H87" s="902">
        <f t="shared" si="327"/>
        <v>0.11971830985915499</v>
      </c>
      <c r="I87" s="902">
        <f t="shared" si="327"/>
        <v>0.12418300653594727</v>
      </c>
      <c r="J87" s="902">
        <f t="shared" si="327"/>
        <v>0.10909090909090935</v>
      </c>
      <c r="K87" s="904">
        <f t="shared" si="327"/>
        <v>0.11635220125786172</v>
      </c>
      <c r="L87" s="902">
        <f t="shared" si="327"/>
        <v>1.7616279069767451</v>
      </c>
      <c r="M87" s="902">
        <f t="shared" si="327"/>
        <v>1.8907103825136606</v>
      </c>
      <c r="N87" s="902">
        <f t="shared" si="327"/>
        <v>1.8281690140845073</v>
      </c>
      <c r="O87" s="902">
        <f t="shared" si="327"/>
        <v>0.1684210526315788</v>
      </c>
      <c r="P87" s="902">
        <f t="shared" si="327"/>
        <v>5.8601134215501061E-2</v>
      </c>
      <c r="Q87" s="902">
        <f t="shared" si="327"/>
        <v>0.11055776892430269</v>
      </c>
      <c r="R87" s="902">
        <f t="shared" si="327"/>
        <v>-2.8828828828828867E-2</v>
      </c>
      <c r="S87" s="902">
        <f t="shared" si="327"/>
        <v>1.7857142857143016E-2</v>
      </c>
      <c r="T87" s="902">
        <f t="shared" si="327"/>
        <v>-5.3811659192825045E-3</v>
      </c>
      <c r="U87" s="902">
        <f t="shared" si="327"/>
        <v>4.6382189239332128E-2</v>
      </c>
      <c r="V87" s="902">
        <f t="shared" si="327"/>
        <v>7.5518487539141033E-2</v>
      </c>
      <c r="W87" s="902">
        <f t="shared" si="327"/>
        <v>3.6068530207393978E-2</v>
      </c>
      <c r="X87" s="902">
        <f t="shared" si="327"/>
        <v>2.1276595744680993E-2</v>
      </c>
      <c r="Y87" s="902">
        <f t="shared" ref="Y87" si="328">+Y86/V86-1</f>
        <v>-8.9790292065596966E-2</v>
      </c>
      <c r="Z87" s="902">
        <f t="shared" si="327"/>
        <v>-1.3054830287206221E-2</v>
      </c>
      <c r="AA87" s="902">
        <f t="shared" ref="AA87:AB87" si="329">+AA86/X86-1</f>
        <v>2.951388888888884E-2</v>
      </c>
      <c r="AB87" s="902">
        <f t="shared" si="329"/>
        <v>0.10035842293906816</v>
      </c>
      <c r="AC87" s="905">
        <f>+AC86/Z86-1</f>
        <v>6.4373897707231009E-2</v>
      </c>
      <c r="AD87" s="902">
        <f t="shared" ref="AD87" si="330">+AD86/AA86-1</f>
        <v>7.305015426184247E-2</v>
      </c>
      <c r="AE87" s="902">
        <f t="shared" ref="AE87" si="331">+AE86/AB86-1</f>
        <v>3.6349741819662107E-2</v>
      </c>
      <c r="AF87" s="902">
        <f>+AF86/AC86-1</f>
        <v>5.4380681818181564E-2</v>
      </c>
      <c r="AG87" s="902">
        <f t="shared" ref="AG87" si="332">+AG86/AD86-1</f>
        <v>5.1934177215189781E-2</v>
      </c>
      <c r="AH87" s="902">
        <f t="shared" ref="AH87" si="333">+AH86/AE86-1</f>
        <v>5.1934177215189781E-2</v>
      </c>
      <c r="AI87" s="902">
        <f>+AI86/AF86-1</f>
        <v>5.1934177215189781E-2</v>
      </c>
      <c r="AJ87" s="902"/>
      <c r="AK87" s="902"/>
      <c r="AL87" s="902">
        <f>+AL86/AI86-1</f>
        <v>4.635994313467573E-2</v>
      </c>
      <c r="AM87" s="902"/>
      <c r="AN87" s="902"/>
      <c r="AO87" s="902">
        <f>+AO86/AL86-1</f>
        <v>4.3112158787216748E-2</v>
      </c>
      <c r="AP87" s="902"/>
      <c r="AQ87" s="902"/>
      <c r="AR87" s="902">
        <f>+AR86/AO86-1</f>
        <v>3.7335847637126385E-2</v>
      </c>
      <c r="AS87" s="902"/>
      <c r="AT87" s="902"/>
      <c r="AU87" s="902">
        <f>+AU86/AR86-1</f>
        <v>3.047465218417833E-2</v>
      </c>
      <c r="AV87" s="902"/>
      <c r="AW87" s="902"/>
      <c r="AX87" s="902">
        <f>+AX86/AU86-1</f>
        <v>2.1339315819215221E-2</v>
      </c>
      <c r="AY87" s="902"/>
      <c r="AZ87" s="902"/>
      <c r="BA87" s="902">
        <f>+BA86/AX86-1</f>
        <v>2.1330807213707503E-2</v>
      </c>
      <c r="BB87" s="902"/>
      <c r="BC87" s="902"/>
      <c r="BD87" s="902">
        <f>+BD86/BA86-1</f>
        <v>2.132232963645353E-2</v>
      </c>
      <c r="BE87" s="902"/>
      <c r="BF87" s="902"/>
      <c r="BG87" s="902">
        <f>+BG86/BD86-1</f>
        <v>2.1313882798394745E-2</v>
      </c>
      <c r="BH87" s="902"/>
      <c r="BI87" s="902"/>
      <c r="BJ87" s="902">
        <f t="shared" ref="BJ87" si="334">+BJ86/BG86-1</f>
        <v>2.1305466413186425E-2</v>
      </c>
    </row>
    <row r="88" spans="2:64">
      <c r="B88" s="812" t="s">
        <v>250</v>
      </c>
      <c r="C88" s="987">
        <f>-C86/C63</f>
        <v>2.9231398201144728E-2</v>
      </c>
      <c r="D88" s="987">
        <f>-D86/D63</f>
        <v>3.0212127705163912E-2</v>
      </c>
      <c r="E88" s="852">
        <f t="shared" ref="E88:Q88" si="335">(-E86/E63)*-1</f>
        <v>-2.9710220734386443E-2</v>
      </c>
      <c r="F88" s="852">
        <f t="shared" si="335"/>
        <v>-2.9610992839171665E-2</v>
      </c>
      <c r="G88" s="852">
        <f t="shared" si="335"/>
        <v>-3.3694098427608746E-2</v>
      </c>
      <c r="H88" s="852">
        <f t="shared" si="335"/>
        <v>-3.1597774244833073E-2</v>
      </c>
      <c r="I88" s="852">
        <f t="shared" si="335"/>
        <v>-3.2403918613413712E-2</v>
      </c>
      <c r="J88" s="852">
        <f t="shared" si="335"/>
        <v>-3.5896429972538259E-2</v>
      </c>
      <c r="K88" s="988">
        <f t="shared" si="335"/>
        <v>-3.4114933692100717E-2</v>
      </c>
      <c r="L88" s="852">
        <f t="shared" si="335"/>
        <v>-8.6253858725258772E-2</v>
      </c>
      <c r="M88" s="852">
        <f t="shared" si="335"/>
        <v>-9.2970123022847101E-2</v>
      </c>
      <c r="N88" s="852">
        <f t="shared" si="335"/>
        <v>-8.9666875055818523E-2</v>
      </c>
      <c r="O88" s="852">
        <f t="shared" si="335"/>
        <v>-8.3849524097295666E-2</v>
      </c>
      <c r="P88" s="852">
        <f t="shared" si="335"/>
        <v>-8.6566702736126142E-2</v>
      </c>
      <c r="Q88" s="852">
        <f t="shared" si="335"/>
        <v>-8.5192542787286066E-2</v>
      </c>
      <c r="R88" s="852">
        <f t="shared" ref="R88:U88" si="336">R86/R63</f>
        <v>-8.7485797760103873E-2</v>
      </c>
      <c r="S88" s="852">
        <f t="shared" si="336"/>
        <v>-7.8761917921790811E-2</v>
      </c>
      <c r="T88" s="852">
        <f>T86/T63</f>
        <v>-8.2773548290789672E-2</v>
      </c>
      <c r="U88" s="852">
        <f t="shared" si="336"/>
        <v>-7.7408729069448248E-2</v>
      </c>
      <c r="V88" s="902">
        <v>-8.5192542787286066E-2</v>
      </c>
      <c r="W88" s="852">
        <f>W86/W63</f>
        <v>-7.9339870183676289E-2</v>
      </c>
      <c r="X88" s="852">
        <f t="shared" ref="X88" si="337">X86/X63</f>
        <v>-7.5789473684210532E-2</v>
      </c>
      <c r="Y88" s="902">
        <f t="shared" ref="Y88:AE88" si="338">Y86/Y63</f>
        <v>-7.5568797399783311E-2</v>
      </c>
      <c r="Z88" s="902">
        <f t="shared" si="338"/>
        <v>-7.5680726107848373E-2</v>
      </c>
      <c r="AA88" s="944">
        <f t="shared" si="338"/>
        <v>-7.6634789351253549E-2</v>
      </c>
      <c r="AB88" s="902">
        <f t="shared" ref="AB88" si="339">AB86/AB63</f>
        <v>-8.0736357659434585E-2</v>
      </c>
      <c r="AC88" s="905">
        <f t="shared" si="338"/>
        <v>-7.866779638923288E-2</v>
      </c>
      <c r="AD88" s="911">
        <f t="shared" si="338"/>
        <v>-7.8095680309112389E-2</v>
      </c>
      <c r="AE88" s="911">
        <f t="shared" si="338"/>
        <v>-7.9248356787216923E-2</v>
      </c>
      <c r="AF88" s="911">
        <f>AC88</f>
        <v>-7.866779638923288E-2</v>
      </c>
      <c r="AG88" s="911">
        <f t="shared" ref="AG88:AK88" si="340">AD88</f>
        <v>-7.8095680309112389E-2</v>
      </c>
      <c r="AH88" s="911">
        <f t="shared" si="340"/>
        <v>-7.9248356787216923E-2</v>
      </c>
      <c r="AI88" s="911">
        <f t="shared" si="340"/>
        <v>-7.866779638923288E-2</v>
      </c>
      <c r="AJ88" s="911">
        <f t="shared" si="340"/>
        <v>-7.8095680309112389E-2</v>
      </c>
      <c r="AK88" s="911">
        <f t="shared" si="340"/>
        <v>-7.9248356787216923E-2</v>
      </c>
      <c r="AL88" s="911">
        <f>AI88+0.01%</f>
        <v>-7.8567796389232877E-2</v>
      </c>
      <c r="AM88" s="911">
        <f t="shared" ref="AM88:BJ88" si="341">AJ88+0.01%</f>
        <v>-7.7995680309112386E-2</v>
      </c>
      <c r="AN88" s="911">
        <f t="shared" si="341"/>
        <v>-7.914835678721692E-2</v>
      </c>
      <c r="AO88" s="911">
        <f t="shared" si="341"/>
        <v>-7.8467796389232874E-2</v>
      </c>
      <c r="AP88" s="911">
        <f t="shared" si="341"/>
        <v>-7.7895680309112383E-2</v>
      </c>
      <c r="AQ88" s="911">
        <f t="shared" si="341"/>
        <v>-7.9048356787216917E-2</v>
      </c>
      <c r="AR88" s="911">
        <f t="shared" si="341"/>
        <v>-7.8367796389232872E-2</v>
      </c>
      <c r="AS88" s="911">
        <f t="shared" si="341"/>
        <v>-7.7795680309112381E-2</v>
      </c>
      <c r="AT88" s="911">
        <f t="shared" si="341"/>
        <v>-7.8948356787216914E-2</v>
      </c>
      <c r="AU88" s="911">
        <f t="shared" si="341"/>
        <v>-7.8267796389232869E-2</v>
      </c>
      <c r="AV88" s="911">
        <f t="shared" si="341"/>
        <v>-7.7695680309112378E-2</v>
      </c>
      <c r="AW88" s="911">
        <f t="shared" si="341"/>
        <v>-7.8848356787216911E-2</v>
      </c>
      <c r="AX88" s="911">
        <f t="shared" si="341"/>
        <v>-7.8167796389232866E-2</v>
      </c>
      <c r="AY88" s="911">
        <f t="shared" si="341"/>
        <v>-7.7595680309112375E-2</v>
      </c>
      <c r="AZ88" s="911">
        <f t="shared" si="341"/>
        <v>-7.8748356787216908E-2</v>
      </c>
      <c r="BA88" s="911">
        <f t="shared" si="341"/>
        <v>-7.8067796389232863E-2</v>
      </c>
      <c r="BB88" s="911">
        <f t="shared" si="341"/>
        <v>-7.7495680309112372E-2</v>
      </c>
      <c r="BC88" s="911">
        <f t="shared" si="341"/>
        <v>-7.8648356787216905E-2</v>
      </c>
      <c r="BD88" s="911">
        <f t="shared" si="341"/>
        <v>-7.796779638923286E-2</v>
      </c>
      <c r="BE88" s="911">
        <f t="shared" si="341"/>
        <v>-7.7395680309112369E-2</v>
      </c>
      <c r="BF88" s="911">
        <f t="shared" si="341"/>
        <v>-7.8548356787216903E-2</v>
      </c>
      <c r="BG88" s="911">
        <f t="shared" si="341"/>
        <v>-7.7867796389232857E-2</v>
      </c>
      <c r="BH88" s="911">
        <f t="shared" si="341"/>
        <v>-7.7295680309112366E-2</v>
      </c>
      <c r="BI88" s="911">
        <f t="shared" si="341"/>
        <v>-7.84483567872169E-2</v>
      </c>
      <c r="BJ88" s="911">
        <f t="shared" si="341"/>
        <v>-7.7767796389232854E-2</v>
      </c>
      <c r="BK88" s="906"/>
    </row>
    <row r="89" spans="2:64">
      <c r="B89" s="828"/>
      <c r="C89" s="958"/>
      <c r="D89" s="959"/>
      <c r="E89" s="990">
        <v>-1</v>
      </c>
      <c r="F89" s="959"/>
      <c r="G89" s="959"/>
      <c r="H89" s="958"/>
      <c r="I89" s="959"/>
      <c r="J89" s="959"/>
      <c r="K89" s="960"/>
      <c r="L89" s="959"/>
      <c r="M89" s="959"/>
      <c r="N89" s="958"/>
      <c r="O89" s="958"/>
      <c r="P89" s="958"/>
      <c r="Q89" s="958"/>
      <c r="R89" s="958"/>
      <c r="S89" s="958"/>
      <c r="T89" s="958"/>
      <c r="U89" s="959"/>
      <c r="V89" s="959"/>
      <c r="W89" s="958"/>
      <c r="X89" s="959"/>
      <c r="Y89" s="959"/>
      <c r="Z89" s="958"/>
      <c r="AA89" s="959"/>
      <c r="AB89" s="959"/>
      <c r="AC89" s="1200"/>
      <c r="AD89" s="959"/>
      <c r="AE89" s="959"/>
      <c r="AF89" s="958"/>
      <c r="AG89" s="959"/>
      <c r="AH89" s="959"/>
      <c r="AI89" s="958"/>
      <c r="AJ89" s="958"/>
      <c r="AK89" s="958"/>
      <c r="AL89" s="958"/>
      <c r="AM89" s="958"/>
      <c r="AN89" s="958"/>
      <c r="AO89" s="958"/>
      <c r="AP89" s="958"/>
      <c r="AQ89" s="958"/>
      <c r="AR89" s="958"/>
      <c r="AS89" s="958"/>
      <c r="AT89" s="958"/>
      <c r="AU89" s="958"/>
      <c r="AV89" s="958"/>
      <c r="AW89" s="958"/>
      <c r="AX89" s="958"/>
      <c r="AY89" s="958"/>
      <c r="AZ89" s="958"/>
      <c r="BA89" s="958"/>
      <c r="BB89" s="958"/>
      <c r="BC89" s="958"/>
      <c r="BD89" s="958"/>
      <c r="BE89" s="958"/>
      <c r="BF89" s="958"/>
      <c r="BG89" s="958"/>
      <c r="BH89" s="958"/>
      <c r="BI89" s="958"/>
      <c r="BJ89" s="958"/>
      <c r="BK89" s="873"/>
    </row>
    <row r="90" spans="2:64" s="828" customFormat="1">
      <c r="B90" s="828" t="s">
        <v>70</v>
      </c>
      <c r="C90" s="991">
        <v>53.6</v>
      </c>
      <c r="D90" s="834">
        <f>E90-C90</f>
        <v>57.4</v>
      </c>
      <c r="E90" s="845">
        <v>111</v>
      </c>
      <c r="F90" s="834">
        <v>55.7</v>
      </c>
      <c r="G90" s="834">
        <f>H90-F90</f>
        <v>60.7</v>
      </c>
      <c r="H90" s="845">
        <v>116.4</v>
      </c>
      <c r="I90" s="840">
        <v>57.1</v>
      </c>
      <c r="J90" s="834">
        <f>K90-I90</f>
        <v>63.499999999999993</v>
      </c>
      <c r="K90" s="846">
        <f>+K82+K86</f>
        <v>120.6</v>
      </c>
      <c r="L90" s="840">
        <v>60.9</v>
      </c>
      <c r="M90" s="834">
        <f>N90-L90</f>
        <v>80.699999999999989</v>
      </c>
      <c r="N90" s="845">
        <f>+N82+N86</f>
        <v>141.6</v>
      </c>
      <c r="O90" s="845">
        <f>+O82+O86</f>
        <v>109</v>
      </c>
      <c r="P90" s="845">
        <f>Q90-O90</f>
        <v>95.199999999999989</v>
      </c>
      <c r="Q90" s="845">
        <f>+Q82+Q86</f>
        <v>204.2</v>
      </c>
      <c r="R90" s="845">
        <f>+R82+R86</f>
        <v>82.9</v>
      </c>
      <c r="S90" s="845">
        <f>+S82+S86</f>
        <v>107.69999999999999</v>
      </c>
      <c r="T90" s="845">
        <f>+T82+T86</f>
        <v>190.6</v>
      </c>
      <c r="U90" s="845">
        <f>+U82+U86</f>
        <v>115.69999999999999</v>
      </c>
      <c r="V90" s="834">
        <f>W90-U90</f>
        <v>103.70000000000002</v>
      </c>
      <c r="W90" s="845">
        <f t="shared" ref="W90:AU90" si="342">+W82+W86</f>
        <v>219.4</v>
      </c>
      <c r="X90" s="845">
        <f>+X82+X86</f>
        <v>116.1</v>
      </c>
      <c r="Y90" s="845">
        <f>Z90-X90</f>
        <v>105.69999999999999</v>
      </c>
      <c r="Z90" s="845">
        <f t="shared" si="342"/>
        <v>221.79999999999998</v>
      </c>
      <c r="AA90" s="845">
        <f>+AA82+AA86</f>
        <v>108.39999999999999</v>
      </c>
      <c r="AB90" s="845">
        <f>AC90-AA90</f>
        <v>110.00000000000004</v>
      </c>
      <c r="AC90" s="847">
        <f>+AC82+AC86</f>
        <v>218.40000000000003</v>
      </c>
      <c r="AD90" s="845">
        <f>+AD82+AD86</f>
        <v>115.23382862193678</v>
      </c>
      <c r="AE90" s="834">
        <f>AF90-AD90</f>
        <v>117.63129033533603</v>
      </c>
      <c r="AF90" s="845">
        <f t="shared" si="342"/>
        <v>232.86511895727281</v>
      </c>
      <c r="AG90" s="845">
        <f>+AG82+AG86</f>
        <v>120.16229626436834</v>
      </c>
      <c r="AH90" s="834">
        <f>AI90-AG90</f>
        <v>127.51928438050382</v>
      </c>
      <c r="AI90" s="845">
        <f t="shared" si="342"/>
        <v>247.68158064487216</v>
      </c>
      <c r="AJ90" s="845"/>
      <c r="AK90" s="845"/>
      <c r="AL90" s="845">
        <f t="shared" si="342"/>
        <v>259.8505274050313</v>
      </c>
      <c r="AM90" s="845"/>
      <c r="AN90" s="845"/>
      <c r="AO90" s="845">
        <f t="shared" si="342"/>
        <v>273.26082394555863</v>
      </c>
      <c r="AP90" s="845"/>
      <c r="AQ90" s="845"/>
      <c r="AR90" s="845">
        <f t="shared" si="342"/>
        <v>284.79202556854398</v>
      </c>
      <c r="AS90" s="845"/>
      <c r="AT90" s="845"/>
      <c r="AU90" s="845">
        <f t="shared" si="342"/>
        <v>294.84373358737037</v>
      </c>
      <c r="AV90" s="845"/>
      <c r="AW90" s="845"/>
      <c r="AX90" s="845">
        <f t="shared" ref="AX90:BA90" si="343">+AX82+AX86</f>
        <v>302.54114852401176</v>
      </c>
      <c r="AY90" s="845"/>
      <c r="AZ90" s="845"/>
      <c r="BA90" s="845">
        <f t="shared" si="343"/>
        <v>310.43390842323549</v>
      </c>
      <c r="BB90" s="845"/>
      <c r="BC90" s="845"/>
      <c r="BD90" s="845">
        <f t="shared" ref="BD90:BG90" si="344">+BD82+BD86</f>
        <v>318.52685583474113</v>
      </c>
      <c r="BE90" s="845"/>
      <c r="BF90" s="845"/>
      <c r="BG90" s="845">
        <f t="shared" si="344"/>
        <v>326.82495102657435</v>
      </c>
      <c r="BH90" s="845"/>
      <c r="BI90" s="845"/>
      <c r="BJ90" s="845">
        <f t="shared" ref="BJ90" si="345">+BJ82+BJ86</f>
        <v>335.33327479992909</v>
      </c>
      <c r="BK90" s="873"/>
      <c r="BL90" s="992"/>
    </row>
    <row r="91" spans="2:64">
      <c r="B91" s="950" t="s">
        <v>42</v>
      </c>
      <c r="C91" s="902">
        <v>0.1006160164271046</v>
      </c>
      <c r="D91" s="902">
        <v>2.683363148479434E-2</v>
      </c>
      <c r="E91" s="902">
        <v>6.1185468451242953E-2</v>
      </c>
      <c r="F91" s="902">
        <f t="shared" ref="F91:W91" si="346">F90/C90-1</f>
        <v>3.917910447761197E-2</v>
      </c>
      <c r="G91" s="902">
        <f t="shared" si="346"/>
        <v>5.7491289198606355E-2</v>
      </c>
      <c r="H91" s="902">
        <f t="shared" si="346"/>
        <v>4.8648648648648596E-2</v>
      </c>
      <c r="I91" s="902">
        <f t="shared" si="346"/>
        <v>2.5134649910233398E-2</v>
      </c>
      <c r="J91" s="902">
        <f t="shared" si="346"/>
        <v>4.6128500823723106E-2</v>
      </c>
      <c r="K91" s="904">
        <f t="shared" si="346"/>
        <v>3.6082474226803996E-2</v>
      </c>
      <c r="L91" s="902">
        <f t="shared" si="346"/>
        <v>6.654991243432562E-2</v>
      </c>
      <c r="M91" s="902">
        <f t="shared" si="346"/>
        <v>0.27086614173228352</v>
      </c>
      <c r="N91" s="902">
        <f t="shared" si="346"/>
        <v>0.17412935323383083</v>
      </c>
      <c r="O91" s="902">
        <f t="shared" si="346"/>
        <v>0.78981937602627261</v>
      </c>
      <c r="P91" s="902">
        <f t="shared" si="346"/>
        <v>0.17967781908302349</v>
      </c>
      <c r="Q91" s="902">
        <f t="shared" si="346"/>
        <v>0.44209039548022599</v>
      </c>
      <c r="R91" s="902">
        <f t="shared" si="346"/>
        <v>-0.23944954128440366</v>
      </c>
      <c r="S91" s="902">
        <f t="shared" si="346"/>
        <v>0.13130252100840334</v>
      </c>
      <c r="T91" s="902">
        <f t="shared" si="346"/>
        <v>-6.6601371204701221E-2</v>
      </c>
      <c r="U91" s="902">
        <f t="shared" si="346"/>
        <v>0.39565741857659797</v>
      </c>
      <c r="V91" s="902">
        <f t="shared" si="346"/>
        <v>-3.7140204271123189E-2</v>
      </c>
      <c r="W91" s="902">
        <f t="shared" si="346"/>
        <v>0.15110178384050377</v>
      </c>
      <c r="X91" s="902">
        <f t="shared" ref="X91" si="347">X90/U90-1</f>
        <v>3.4572169403630504E-3</v>
      </c>
      <c r="Y91" s="902">
        <f t="shared" ref="Y91" si="348">Y90/V90-1</f>
        <v>1.9286403085824189E-2</v>
      </c>
      <c r="Z91" s="902">
        <f>Z90/W90-1</f>
        <v>1.0938924339106482E-2</v>
      </c>
      <c r="AA91" s="902">
        <f t="shared" ref="AA91:AB91" si="349">AA90/X90-1</f>
        <v>-6.6322136089577932E-2</v>
      </c>
      <c r="AB91" s="902">
        <f t="shared" si="349"/>
        <v>4.0681173131504877E-2</v>
      </c>
      <c r="AC91" s="905">
        <f>AC90/Z90-1</f>
        <v>-1.5329125338142235E-2</v>
      </c>
      <c r="AD91" s="902">
        <f t="shared" ref="AD91" si="350">AD90/AA90-1</f>
        <v>6.3042699464361585E-2</v>
      </c>
      <c r="AE91" s="902">
        <f t="shared" ref="AE91" si="351">AE90/AB90-1</f>
        <v>6.9375366684872652E-2</v>
      </c>
      <c r="AF91" s="902">
        <f>AF90/AC90-1</f>
        <v>6.6232229657842367E-2</v>
      </c>
      <c r="AG91" s="902">
        <f t="shared" ref="AG91" si="352">AG90/AD90-1</f>
        <v>4.2769277922727333E-2</v>
      </c>
      <c r="AH91" s="902">
        <f t="shared" ref="AH91" si="353">AH90/AE90-1</f>
        <v>8.4059216021346916E-2</v>
      </c>
      <c r="AI91" s="902">
        <f>AI90/AF90-1</f>
        <v>6.3626797151693282E-2</v>
      </c>
      <c r="AJ91" s="902"/>
      <c r="AK91" s="902"/>
      <c r="AL91" s="902">
        <f>AL90/AI90-1</f>
        <v>4.9131415943307832E-2</v>
      </c>
      <c r="AM91" s="902"/>
      <c r="AN91" s="902"/>
      <c r="AO91" s="902">
        <f>AO90/AL90-1</f>
        <v>5.1607732624011859E-2</v>
      </c>
      <c r="AP91" s="902"/>
      <c r="AQ91" s="902"/>
      <c r="AR91" s="902">
        <f>AR90/AO90-1</f>
        <v>4.2198517359673504E-2</v>
      </c>
      <c r="AS91" s="902"/>
      <c r="AT91" s="902"/>
      <c r="AU91" s="902">
        <f>AU90/AR90-1</f>
        <v>3.5294906866720321E-2</v>
      </c>
      <c r="AV91" s="902"/>
      <c r="AW91" s="902"/>
      <c r="AX91" s="902">
        <f>AX90/AU90-1</f>
        <v>2.6106761174764515E-2</v>
      </c>
      <c r="AY91" s="902"/>
      <c r="AZ91" s="902"/>
      <c r="BA91" s="902">
        <f>BA90/AX90-1</f>
        <v>2.6088219528912493E-2</v>
      </c>
      <c r="BB91" s="902"/>
      <c r="BC91" s="902"/>
      <c r="BD91" s="902">
        <f>BD90/BA90-1</f>
        <v>2.6069791965096734E-2</v>
      </c>
      <c r="BE91" s="902"/>
      <c r="BF91" s="902"/>
      <c r="BG91" s="902">
        <f>BG90/BD90-1</f>
        <v>2.6051477418087776E-2</v>
      </c>
      <c r="BH91" s="902"/>
      <c r="BI91" s="902"/>
      <c r="BJ91" s="902">
        <f t="shared" ref="BJ91" si="354">BJ90/BG90-1</f>
        <v>2.603327483605411E-2</v>
      </c>
    </row>
    <row r="92" spans="2:64">
      <c r="B92" s="950" t="s">
        <v>152</v>
      </c>
      <c r="C92" s="902">
        <f>C90/C63</f>
        <v>0.10956663941128374</v>
      </c>
      <c r="D92" s="902">
        <f>D90/D63</f>
        <v>0.12299121491322049</v>
      </c>
      <c r="E92" s="902">
        <f>E90/E63</f>
        <v>0.11612093315200335</v>
      </c>
      <c r="F92" s="902">
        <f>+F90/F63</f>
        <v>0.10779949680665762</v>
      </c>
      <c r="G92" s="902">
        <f>G90/G63</f>
        <v>0.12395344088217278</v>
      </c>
      <c r="H92" s="902">
        <f>H90/H63</f>
        <v>0.11565977742448331</v>
      </c>
      <c r="I92" s="902">
        <f>+I90/I63</f>
        <v>0.10757347400150717</v>
      </c>
      <c r="J92" s="902">
        <f>J90/J63</f>
        <v>0.12455865045115731</v>
      </c>
      <c r="K92" s="904">
        <f>K90/K63</f>
        <v>0.11589467614837594</v>
      </c>
      <c r="L92" s="902">
        <f>+L90/L63</f>
        <v>0.11058652623933175</v>
      </c>
      <c r="M92" s="902">
        <f>M90/M63</f>
        <v>0.14182776801405975</v>
      </c>
      <c r="N92" s="902">
        <f>N90/N63</f>
        <v>0.12646244529784761</v>
      </c>
      <c r="O92" s="902">
        <f>+O90/O63</f>
        <v>0.16467744372261672</v>
      </c>
      <c r="P92" s="902">
        <f t="shared" ref="P92:AU92" si="355">P90/P63</f>
        <v>0.14716339465141443</v>
      </c>
      <c r="Q92" s="902">
        <f t="shared" si="355"/>
        <v>0.15602078239608802</v>
      </c>
      <c r="R92" s="902">
        <f t="shared" si="355"/>
        <v>0.13455607855867555</v>
      </c>
      <c r="S92" s="902">
        <f t="shared" si="355"/>
        <v>0.14881857123117315</v>
      </c>
      <c r="T92" s="902">
        <f t="shared" si="355"/>
        <v>0.14226003881176294</v>
      </c>
      <c r="U92" s="902">
        <f t="shared" si="355"/>
        <v>0.15879769420807024</v>
      </c>
      <c r="V92" s="902">
        <f t="shared" si="355"/>
        <v>0.14410783768760424</v>
      </c>
      <c r="W92" s="902">
        <f t="shared" si="355"/>
        <v>0.15149841182157162</v>
      </c>
      <c r="X92" s="902">
        <f>X90/X63</f>
        <v>0.15276315789473682</v>
      </c>
      <c r="Y92" s="902">
        <f t="shared" ref="Y92" si="356">Y90/Y63</f>
        <v>0.14314734561213432</v>
      </c>
      <c r="Z92" s="902">
        <f t="shared" si="355"/>
        <v>0.14802455953016549</v>
      </c>
      <c r="AA92" s="902">
        <f t="shared" si="355"/>
        <v>0.14008787800465236</v>
      </c>
      <c r="AB92" s="902">
        <f t="shared" si="355"/>
        <v>0.14464168310322162</v>
      </c>
      <c r="AC92" s="905">
        <f t="shared" si="355"/>
        <v>0.1423450433422408</v>
      </c>
      <c r="AD92" s="902">
        <f t="shared" ref="AD92:AE92" si="357">AD90/AD63</f>
        <v>0.14142698704679355</v>
      </c>
      <c r="AE92" s="902">
        <f t="shared" si="357"/>
        <v>0.14650026564035076</v>
      </c>
      <c r="AF92" s="902">
        <f t="shared" si="355"/>
        <v>0.14394504334224084</v>
      </c>
      <c r="AG92" s="902">
        <f t="shared" si="355"/>
        <v>0.14227064402792169</v>
      </c>
      <c r="AH92" s="902">
        <f t="shared" si="355"/>
        <v>0.14877151975734418</v>
      </c>
      <c r="AI92" s="902">
        <f t="shared" si="355"/>
        <v>0.14554504334224089</v>
      </c>
      <c r="AJ92" s="902"/>
      <c r="AK92" s="902"/>
      <c r="AL92" s="902">
        <f>AL90/AL63</f>
        <v>0.14574504334224084</v>
      </c>
      <c r="AM92" s="902"/>
      <c r="AN92" s="902"/>
      <c r="AO92" s="902">
        <f t="shared" si="355"/>
        <v>0.14674504334224084</v>
      </c>
      <c r="AP92" s="902"/>
      <c r="AQ92" s="902"/>
      <c r="AR92" s="902">
        <f t="shared" si="355"/>
        <v>0.14724504334224073</v>
      </c>
      <c r="AS92" s="902"/>
      <c r="AT92" s="902"/>
      <c r="AU92" s="902">
        <f t="shared" si="355"/>
        <v>0.1477450433422407</v>
      </c>
      <c r="AV92" s="902"/>
      <c r="AW92" s="902"/>
      <c r="AX92" s="902">
        <f t="shared" ref="AX92:BA92" si="358">AX90/AX63</f>
        <v>0.14824504334224062</v>
      </c>
      <c r="AY92" s="902"/>
      <c r="AZ92" s="902"/>
      <c r="BA92" s="902">
        <f t="shared" si="358"/>
        <v>0.14874504334224059</v>
      </c>
      <c r="BB92" s="902"/>
      <c r="BC92" s="902"/>
      <c r="BD92" s="902">
        <f t="shared" ref="BD92:BG92" si="359">BD90/BD63</f>
        <v>0.14924504334224062</v>
      </c>
      <c r="BE92" s="902"/>
      <c r="BF92" s="902"/>
      <c r="BG92" s="902">
        <f t="shared" si="359"/>
        <v>0.14974504334224051</v>
      </c>
      <c r="BH92" s="902"/>
      <c r="BI92" s="902"/>
      <c r="BJ92" s="902">
        <f t="shared" ref="BJ92" si="360">BJ90/BJ63</f>
        <v>0.15024504334224056</v>
      </c>
      <c r="BK92" s="993"/>
    </row>
    <row r="93" spans="2:64" s="650" customFormat="1">
      <c r="B93" s="994"/>
      <c r="C93" s="995"/>
      <c r="D93" s="995"/>
      <c r="E93" s="995"/>
      <c r="F93" s="995"/>
      <c r="G93" s="995"/>
      <c r="H93" s="995"/>
      <c r="I93" s="995"/>
      <c r="J93" s="995"/>
      <c r="K93" s="996"/>
      <c r="L93" s="995"/>
      <c r="M93" s="995"/>
      <c r="N93" s="995"/>
      <c r="O93" s="995"/>
      <c r="P93" s="995"/>
      <c r="Q93" s="995"/>
      <c r="R93" s="995"/>
      <c r="S93" s="995"/>
      <c r="T93" s="995"/>
      <c r="U93" s="995"/>
      <c r="V93" s="941"/>
      <c r="W93" s="995"/>
      <c r="X93" s="995"/>
      <c r="Y93" s="941"/>
      <c r="Z93" s="941"/>
      <c r="AA93" s="1272"/>
      <c r="AB93" s="941"/>
      <c r="AC93" s="1369"/>
      <c r="AD93" s="941"/>
      <c r="AE93" s="941"/>
      <c r="AF93" s="995"/>
      <c r="AG93" s="941"/>
      <c r="AH93" s="941"/>
      <c r="AI93" s="995"/>
      <c r="AJ93" s="995"/>
      <c r="AK93" s="995"/>
      <c r="AL93" s="995"/>
      <c r="AM93" s="995"/>
      <c r="AN93" s="995"/>
      <c r="AO93" s="995"/>
      <c r="AP93" s="995"/>
      <c r="AQ93" s="995"/>
      <c r="AR93" s="995"/>
      <c r="AS93" s="995"/>
      <c r="AT93" s="995"/>
      <c r="AU93" s="995"/>
      <c r="AV93" s="995"/>
      <c r="AW93" s="995"/>
      <c r="AX93" s="995"/>
      <c r="AY93" s="995"/>
      <c r="AZ93" s="995"/>
      <c r="BA93" s="995"/>
      <c r="BB93" s="995"/>
      <c r="BC93" s="995"/>
      <c r="BD93" s="995"/>
      <c r="BE93" s="995"/>
      <c r="BF93" s="995"/>
      <c r="BG93" s="995"/>
      <c r="BH93" s="995"/>
      <c r="BI93" s="995"/>
      <c r="BJ93" s="995"/>
      <c r="BK93" s="998"/>
      <c r="BL93" s="999"/>
    </row>
    <row r="94" spans="2:64">
      <c r="B94" s="1000"/>
      <c r="C94" s="987"/>
      <c r="D94" s="987"/>
      <c r="E94" s="987"/>
      <c r="F94" s="987"/>
      <c r="G94" s="987"/>
      <c r="H94" s="987"/>
      <c r="I94" s="987"/>
      <c r="J94" s="987"/>
      <c r="K94" s="1001"/>
      <c r="L94" s="987"/>
      <c r="M94" s="987"/>
      <c r="N94" s="987"/>
      <c r="O94" s="987"/>
      <c r="P94" s="987"/>
      <c r="Q94" s="987"/>
      <c r="R94" s="987"/>
      <c r="S94" s="987"/>
      <c r="T94" s="987"/>
      <c r="U94" s="987"/>
      <c r="V94" s="987"/>
      <c r="W94" s="987"/>
      <c r="X94" s="987"/>
      <c r="Y94" s="987"/>
      <c r="Z94" s="987"/>
      <c r="AA94" s="987"/>
      <c r="AB94" s="987"/>
      <c r="AC94" s="1002"/>
      <c r="AD94" s="987"/>
      <c r="AE94" s="987"/>
      <c r="AF94" s="987"/>
      <c r="AG94" s="987"/>
      <c r="AH94" s="987"/>
      <c r="AI94" s="987"/>
      <c r="AJ94" s="987"/>
      <c r="AK94" s="987"/>
      <c r="AL94" s="987"/>
      <c r="AM94" s="987"/>
      <c r="AN94" s="987"/>
      <c r="AO94" s="987"/>
      <c r="AP94" s="987"/>
      <c r="AQ94" s="987"/>
      <c r="AR94" s="987"/>
      <c r="AS94" s="987"/>
      <c r="AT94" s="987"/>
      <c r="AU94" s="987"/>
      <c r="AV94" s="987"/>
      <c r="AW94" s="987"/>
      <c r="AX94" s="987"/>
      <c r="AY94" s="987"/>
      <c r="AZ94" s="987"/>
      <c r="BA94" s="987"/>
      <c r="BB94" s="987"/>
      <c r="BC94" s="987"/>
      <c r="BD94" s="987"/>
      <c r="BE94" s="987"/>
      <c r="BF94" s="987"/>
      <c r="BG94" s="987"/>
      <c r="BH94" s="987"/>
      <c r="BI94" s="987"/>
      <c r="BJ94" s="987"/>
      <c r="BK94" s="993"/>
    </row>
    <row r="95" spans="2:64" s="828" customFormat="1">
      <c r="B95" s="812" t="s">
        <v>390</v>
      </c>
      <c r="C95" s="991"/>
      <c r="D95" s="834"/>
      <c r="E95" s="834">
        <f>H95/(1+H96)</f>
        <v>25.945945945945944</v>
      </c>
      <c r="F95" s="991">
        <f>E152</f>
        <v>479.86289999999997</v>
      </c>
      <c r="G95" s="834"/>
      <c r="H95" s="834">
        <f>K95/(1+K96)</f>
        <v>48</v>
      </c>
      <c r="I95" s="834">
        <f>L95/(1+L96)</f>
        <v>30.000000000000004</v>
      </c>
      <c r="J95" s="834">
        <f>K95-I95</f>
        <v>29.999999999999996</v>
      </c>
      <c r="K95" s="1003">
        <v>60</v>
      </c>
      <c r="L95" s="840">
        <v>37.200000000000003</v>
      </c>
      <c r="M95" s="834">
        <f>N95-L95</f>
        <v>45</v>
      </c>
      <c r="N95" s="834">
        <f>K95*(1+N96)</f>
        <v>82.2</v>
      </c>
      <c r="O95" s="834">
        <v>54.2</v>
      </c>
      <c r="P95" s="834">
        <f>Q95-O95</f>
        <v>53.481999999999999</v>
      </c>
      <c r="Q95" s="834">
        <f>N95*(1+Q96)</f>
        <v>107.682</v>
      </c>
      <c r="R95" s="834">
        <v>107</v>
      </c>
      <c r="S95" s="834">
        <f>T95-R95</f>
        <v>68.300000000000011</v>
      </c>
      <c r="T95" s="840">
        <v>175.3</v>
      </c>
      <c r="U95" s="1004">
        <v>58</v>
      </c>
      <c r="V95" s="840">
        <f>W95-U95</f>
        <v>57</v>
      </c>
      <c r="W95" s="840">
        <v>115</v>
      </c>
      <c r="X95" s="1004">
        <v>61</v>
      </c>
      <c r="Y95" s="840">
        <f>Z95-X95</f>
        <v>60</v>
      </c>
      <c r="Z95" s="840">
        <v>121</v>
      </c>
      <c r="AA95" s="1004">
        <v>64</v>
      </c>
      <c r="AB95" s="840">
        <f>AC95-AA95</f>
        <v>61</v>
      </c>
      <c r="AC95" s="841">
        <v>125</v>
      </c>
      <c r="AD95" s="845">
        <f>AF95*0.6</f>
        <v>78.75</v>
      </c>
      <c r="AE95" s="834">
        <f>AF95-AD95</f>
        <v>52.5</v>
      </c>
      <c r="AF95" s="834">
        <f>AC95*(1+AF96)</f>
        <v>131.25</v>
      </c>
      <c r="AG95" s="845">
        <f>AI95*0.6</f>
        <v>82.6875</v>
      </c>
      <c r="AH95" s="834">
        <f>AI95-AG95</f>
        <v>55.125</v>
      </c>
      <c r="AI95" s="834">
        <f>AF95*(1+AI96)</f>
        <v>137.8125</v>
      </c>
      <c r="AJ95" s="834"/>
      <c r="AK95" s="834"/>
      <c r="AL95" s="834">
        <f>AI95*(1+AL96)</f>
        <v>144.703125</v>
      </c>
      <c r="AM95" s="834"/>
      <c r="AN95" s="834"/>
      <c r="AO95" s="834">
        <f>AL95*(1+AO96)</f>
        <v>151.93828125000002</v>
      </c>
      <c r="AP95" s="834"/>
      <c r="AQ95" s="834"/>
      <c r="AR95" s="834">
        <f>AO95*(1+AR96)</f>
        <v>159.53519531250004</v>
      </c>
      <c r="AS95" s="834"/>
      <c r="AT95" s="834"/>
      <c r="AU95" s="834">
        <f>AR95*(1+AU96)</f>
        <v>167.51195507812506</v>
      </c>
      <c r="AV95" s="834"/>
      <c r="AW95" s="834"/>
      <c r="AX95" s="834">
        <f>AU95*(1+AX96)</f>
        <v>175.8875528320313</v>
      </c>
      <c r="AY95" s="834"/>
      <c r="AZ95" s="834"/>
      <c r="BA95" s="834">
        <f>AX95*(1+BA96)</f>
        <v>184.68193047363289</v>
      </c>
      <c r="BB95" s="834"/>
      <c r="BC95" s="834"/>
      <c r="BD95" s="834">
        <f>BA95*(1+BD96)</f>
        <v>193.91602699731453</v>
      </c>
      <c r="BE95" s="834"/>
      <c r="BF95" s="834"/>
      <c r="BG95" s="834">
        <f>BD95*(1+BG96)</f>
        <v>203.61182834718028</v>
      </c>
      <c r="BH95" s="834"/>
      <c r="BI95" s="834"/>
      <c r="BJ95" s="834">
        <f t="shared" ref="BJ95" si="361">BG95*(1+BJ96)</f>
        <v>213.79241976453929</v>
      </c>
      <c r="BK95" s="873"/>
      <c r="BL95" s="992"/>
    </row>
    <row r="96" spans="2:64" s="828" customFormat="1">
      <c r="B96" s="812" t="s">
        <v>391</v>
      </c>
      <c r="C96" s="991"/>
      <c r="D96" s="834"/>
      <c r="E96" s="1006"/>
      <c r="F96" s="947">
        <v>1.28</v>
      </c>
      <c r="G96" s="834"/>
      <c r="H96" s="1007">
        <v>0.85</v>
      </c>
      <c r="I96" s="840"/>
      <c r="J96" s="834"/>
      <c r="K96" s="945">
        <v>0.25</v>
      </c>
      <c r="L96" s="947">
        <v>0.24</v>
      </c>
      <c r="M96" s="944">
        <f>M95/J95-1</f>
        <v>0.50000000000000022</v>
      </c>
      <c r="N96" s="947">
        <v>0.37</v>
      </c>
      <c r="O96" s="947">
        <f>O95/L95-1</f>
        <v>0.456989247311828</v>
      </c>
      <c r="P96" s="947">
        <f>P95/M95-1</f>
        <v>0.18848888888888893</v>
      </c>
      <c r="Q96" s="944">
        <v>0.31</v>
      </c>
      <c r="R96" s="944">
        <f t="shared" ref="R96:AB96" si="362">R95/O95-1</f>
        <v>0.97416974169741688</v>
      </c>
      <c r="S96" s="944">
        <f t="shared" si="362"/>
        <v>0.27706518080849651</v>
      </c>
      <c r="T96" s="944">
        <f t="shared" si="362"/>
        <v>0.62794153154659105</v>
      </c>
      <c r="U96" s="944">
        <f t="shared" si="362"/>
        <v>-0.45794392523364491</v>
      </c>
      <c r="V96" s="862">
        <f t="shared" si="362"/>
        <v>-0.1654465592972183</v>
      </c>
      <c r="W96" s="944">
        <f t="shared" si="362"/>
        <v>-0.3439817455790074</v>
      </c>
      <c r="X96" s="944">
        <f t="shared" si="362"/>
        <v>5.1724137931034475E-2</v>
      </c>
      <c r="Y96" s="862">
        <f t="shared" si="362"/>
        <v>5.2631578947368363E-2</v>
      </c>
      <c r="Z96" s="852">
        <f t="shared" si="362"/>
        <v>5.2173913043478182E-2</v>
      </c>
      <c r="AA96" s="944">
        <f t="shared" ref="AA96" si="363">AA95/X95-1</f>
        <v>4.9180327868852514E-2</v>
      </c>
      <c r="AB96" s="862">
        <f t="shared" si="362"/>
        <v>1.6666666666666607E-2</v>
      </c>
      <c r="AC96" s="853">
        <f t="shared" ref="AC96" si="364">AC95/Z95-1</f>
        <v>3.3057851239669311E-2</v>
      </c>
      <c r="AD96" s="1008">
        <v>0.05</v>
      </c>
      <c r="AE96" s="1008">
        <f>AE95/AB95-1</f>
        <v>-0.13934426229508201</v>
      </c>
      <c r="AF96" s="957">
        <v>0.05</v>
      </c>
      <c r="AG96" s="1008">
        <f t="shared" ref="AG96" si="365">AG95/AD95-1</f>
        <v>5.0000000000000044E-2</v>
      </c>
      <c r="AH96" s="1008">
        <f t="shared" ref="AH96" si="366">AH95/AE95-1</f>
        <v>5.0000000000000044E-2</v>
      </c>
      <c r="AI96" s="957">
        <v>0.05</v>
      </c>
      <c r="AJ96" s="957"/>
      <c r="AK96" s="957"/>
      <c r="AL96" s="957">
        <v>0.05</v>
      </c>
      <c r="AM96" s="957"/>
      <c r="AN96" s="957"/>
      <c r="AO96" s="957">
        <v>0.05</v>
      </c>
      <c r="AP96" s="957"/>
      <c r="AQ96" s="957"/>
      <c r="AR96" s="957">
        <v>0.05</v>
      </c>
      <c r="AS96" s="957"/>
      <c r="AT96" s="957"/>
      <c r="AU96" s="957">
        <v>0.05</v>
      </c>
      <c r="AV96" s="957"/>
      <c r="AW96" s="957"/>
      <c r="AX96" s="957">
        <v>0.05</v>
      </c>
      <c r="AY96" s="957"/>
      <c r="AZ96" s="957"/>
      <c r="BA96" s="957">
        <v>0.05</v>
      </c>
      <c r="BB96" s="957"/>
      <c r="BC96" s="957"/>
      <c r="BD96" s="957">
        <v>0.05</v>
      </c>
      <c r="BE96" s="957"/>
      <c r="BF96" s="957"/>
      <c r="BG96" s="957">
        <v>0.05</v>
      </c>
      <c r="BH96" s="957"/>
      <c r="BI96" s="957"/>
      <c r="BJ96" s="957">
        <v>0.05</v>
      </c>
      <c r="BK96" s="873"/>
      <c r="BL96" s="992"/>
    </row>
    <row r="97" spans="2:64" s="828" customFormat="1">
      <c r="B97" s="828" t="s">
        <v>392</v>
      </c>
      <c r="C97" s="1006"/>
      <c r="D97" s="845"/>
      <c r="E97" s="1006"/>
      <c r="F97" s="1006"/>
      <c r="G97" s="845"/>
      <c r="H97" s="1009">
        <f>H95/H63</f>
        <v>4.7694753577106522E-2</v>
      </c>
      <c r="I97" s="1009">
        <f>I95/I63</f>
        <v>5.6518462697814631E-2</v>
      </c>
      <c r="J97" s="845"/>
      <c r="K97" s="1010">
        <f t="shared" ref="K97:AU97" si="367">K95/K63</f>
        <v>5.7659042859888529E-2</v>
      </c>
      <c r="L97" s="1009">
        <f t="shared" si="367"/>
        <v>6.7550390412202649E-2</v>
      </c>
      <c r="M97" s="1009">
        <f t="shared" si="367"/>
        <v>7.9086115992970121E-2</v>
      </c>
      <c r="N97" s="1009">
        <f t="shared" si="367"/>
        <v>7.3412521211038667E-2</v>
      </c>
      <c r="O97" s="1009">
        <f t="shared" si="367"/>
        <v>8.1885481190512172E-2</v>
      </c>
      <c r="P97" s="1009">
        <f t="shared" si="367"/>
        <v>8.2674292780955325E-2</v>
      </c>
      <c r="Q97" s="1009">
        <f t="shared" si="367"/>
        <v>8.2275366748166268E-2</v>
      </c>
      <c r="R97" s="1009">
        <f t="shared" si="367"/>
        <v>0.17367310501541958</v>
      </c>
      <c r="S97" s="1009">
        <f t="shared" si="367"/>
        <v>9.4376122702777412E-2</v>
      </c>
      <c r="T97" s="1009">
        <f t="shared" si="367"/>
        <v>0.13084042394387224</v>
      </c>
      <c r="U97" s="1009">
        <f t="shared" si="367"/>
        <v>7.9604721383475158E-2</v>
      </c>
      <c r="V97" s="857">
        <f t="shared" si="367"/>
        <v>7.92106725958866E-2</v>
      </c>
      <c r="W97" s="1009">
        <f t="shared" si="367"/>
        <v>7.9408921419693412E-2</v>
      </c>
      <c r="X97" s="1009">
        <f t="shared" ref="X97" si="368">X95/X63</f>
        <v>8.0263157894736842E-2</v>
      </c>
      <c r="Y97" s="1009">
        <f t="shared" ref="Y97" si="369">Y95/Y63</f>
        <v>8.1256771397616459E-2</v>
      </c>
      <c r="Z97" s="857">
        <f t="shared" si="367"/>
        <v>8.0752802989855835E-2</v>
      </c>
      <c r="AA97" s="1009">
        <f t="shared" si="367"/>
        <v>8.2708710261049367E-2</v>
      </c>
      <c r="AB97" s="1009">
        <f t="shared" si="367"/>
        <v>8.0210387902695593E-2</v>
      </c>
      <c r="AC97" s="858">
        <f t="shared" ref="AC97" si="370">AC95/AC63</f>
        <v>8.147037737078798E-2</v>
      </c>
      <c r="AD97" s="1009">
        <f t="shared" ref="AD97:AE97" si="371">AD95/AD63</f>
        <v>9.6650222969462254E-2</v>
      </c>
      <c r="AE97" s="1009">
        <f t="shared" si="371"/>
        <v>6.5384507168055647E-2</v>
      </c>
      <c r="AF97" s="1009">
        <f t="shared" si="367"/>
        <v>8.1131888808712693E-2</v>
      </c>
      <c r="AG97" s="1009">
        <f t="shared" si="367"/>
        <v>9.7900957652946832E-2</v>
      </c>
      <c r="AH97" s="1009">
        <f t="shared" si="367"/>
        <v>6.4312076925969935E-2</v>
      </c>
      <c r="AI97" s="1009">
        <f t="shared" si="367"/>
        <v>8.0982712696596473E-2</v>
      </c>
      <c r="AJ97" s="1009"/>
      <c r="AK97" s="1009"/>
      <c r="AL97" s="1009">
        <f t="shared" si="367"/>
        <v>8.1161133038648386E-2</v>
      </c>
      <c r="AM97" s="1009"/>
      <c r="AN97" s="1009"/>
      <c r="AO97" s="1009">
        <f t="shared" si="367"/>
        <v>8.1593070479136331E-2</v>
      </c>
      <c r="AP97" s="1009"/>
      <c r="AQ97" s="1009"/>
      <c r="AR97" s="1009">
        <f t="shared" si="367"/>
        <v>8.2483934378099824E-2</v>
      </c>
      <c r="AS97" s="1009"/>
      <c r="AT97" s="1009"/>
      <c r="AU97" s="1009">
        <f t="shared" si="367"/>
        <v>8.3939586445466147E-2</v>
      </c>
      <c r="AV97" s="1009"/>
      <c r="AW97" s="1009"/>
      <c r="AX97" s="1009">
        <f t="shared" ref="AX97:BA97" si="372">AX95/AX63</f>
        <v>8.6184831452359181E-2</v>
      </c>
      <c r="AY97" s="1009"/>
      <c r="AZ97" s="1009"/>
      <c r="BA97" s="1009">
        <f t="shared" si="372"/>
        <v>8.8490725424803698E-2</v>
      </c>
      <c r="BB97" s="1009"/>
      <c r="BC97" s="1009"/>
      <c r="BD97" s="1009">
        <f t="shared" ref="BD97:BG97" si="373">BD95/BD63</f>
        <v>9.0858919189484452E-2</v>
      </c>
      <c r="BE97" s="1009"/>
      <c r="BF97" s="1009"/>
      <c r="BG97" s="1009">
        <f t="shared" si="373"/>
        <v>9.3291108787964594E-2</v>
      </c>
      <c r="BH97" s="1009"/>
      <c r="BI97" s="1009"/>
      <c r="BJ97" s="1009">
        <f t="shared" ref="BJ97" si="374">BJ95/BJ63</f>
        <v>9.5789036721543055E-2</v>
      </c>
      <c r="BK97" s="873"/>
      <c r="BL97" s="992"/>
    </row>
    <row r="98" spans="2:64" s="828" customFormat="1" hidden="1" outlineLevel="1">
      <c r="B98" s="812" t="s">
        <v>426</v>
      </c>
      <c r="C98" s="947">
        <f>22.8%-5.8%</f>
        <v>0.17</v>
      </c>
      <c r="D98" s="834"/>
      <c r="E98" s="1006"/>
      <c r="F98" s="947">
        <v>0.22800000000000001</v>
      </c>
      <c r="G98" s="834"/>
      <c r="H98" s="1007"/>
      <c r="I98" s="947"/>
      <c r="J98" s="834"/>
      <c r="K98" s="846"/>
      <c r="L98" s="947"/>
      <c r="M98" s="834"/>
      <c r="N98" s="845"/>
      <c r="O98" s="845"/>
      <c r="P98" s="845"/>
      <c r="Q98" s="845"/>
      <c r="R98" s="845"/>
      <c r="S98" s="845"/>
      <c r="T98" s="845"/>
      <c r="U98" s="845"/>
      <c r="V98" s="834"/>
      <c r="W98" s="845"/>
      <c r="X98" s="845"/>
      <c r="Y98" s="834"/>
      <c r="Z98" s="845"/>
      <c r="AA98" s="845"/>
      <c r="AB98" s="834"/>
      <c r="AC98" s="847"/>
      <c r="AD98" s="845"/>
      <c r="AE98" s="834"/>
      <c r="AF98" s="845"/>
      <c r="AG98" s="845"/>
      <c r="AH98" s="834"/>
      <c r="AI98" s="845"/>
      <c r="AJ98" s="845"/>
      <c r="AK98" s="845"/>
      <c r="AL98" s="845"/>
      <c r="AM98" s="845"/>
      <c r="AN98" s="845"/>
      <c r="AO98" s="845"/>
      <c r="AP98" s="845"/>
      <c r="AQ98" s="845"/>
      <c r="AR98" s="845"/>
      <c r="AS98" s="845"/>
      <c r="AT98" s="845"/>
      <c r="AU98" s="845"/>
      <c r="AV98" s="845"/>
      <c r="AW98" s="845"/>
      <c r="AX98" s="845"/>
      <c r="AY98" s="845"/>
      <c r="AZ98" s="845"/>
      <c r="BA98" s="845"/>
      <c r="BB98" s="845"/>
      <c r="BC98" s="845"/>
      <c r="BD98" s="845"/>
      <c r="BE98" s="845"/>
      <c r="BF98" s="845"/>
      <c r="BG98" s="845"/>
      <c r="BH98" s="845"/>
      <c r="BI98" s="845"/>
      <c r="BJ98" s="845"/>
      <c r="BK98" s="873"/>
      <c r="BL98" s="992"/>
    </row>
    <row r="99" spans="2:64" s="828" customFormat="1" hidden="1" outlineLevel="1">
      <c r="B99" s="812" t="s">
        <v>424</v>
      </c>
      <c r="C99" s="991"/>
      <c r="D99" s="834"/>
      <c r="E99" s="1006"/>
      <c r="F99" s="991"/>
      <c r="G99" s="834"/>
      <c r="H99" s="947">
        <v>0.44</v>
      </c>
      <c r="I99" s="947">
        <v>0.45</v>
      </c>
      <c r="J99" s="834"/>
      <c r="K99" s="846"/>
      <c r="L99" s="947"/>
      <c r="M99" s="834"/>
      <c r="N99" s="845"/>
      <c r="O99" s="845"/>
      <c r="P99" s="845"/>
      <c r="Q99" s="845"/>
      <c r="R99" s="845"/>
      <c r="S99" s="845"/>
      <c r="T99" s="845"/>
      <c r="U99" s="845"/>
      <c r="V99" s="834"/>
      <c r="W99" s="845"/>
      <c r="X99" s="845"/>
      <c r="Y99" s="834"/>
      <c r="Z99" s="845"/>
      <c r="AA99" s="845"/>
      <c r="AB99" s="834"/>
      <c r="AC99" s="847"/>
      <c r="AD99" s="845"/>
      <c r="AE99" s="834"/>
      <c r="AF99" s="845"/>
      <c r="AG99" s="845"/>
      <c r="AH99" s="834"/>
      <c r="AI99" s="845"/>
      <c r="AJ99" s="845"/>
      <c r="AK99" s="845"/>
      <c r="AL99" s="845"/>
      <c r="AM99" s="845"/>
      <c r="AN99" s="845"/>
      <c r="AO99" s="845"/>
      <c r="AP99" s="845"/>
      <c r="AQ99" s="845"/>
      <c r="AR99" s="845"/>
      <c r="AS99" s="845"/>
      <c r="AT99" s="845"/>
      <c r="AU99" s="845"/>
      <c r="AV99" s="845"/>
      <c r="AW99" s="845"/>
      <c r="AX99" s="845"/>
      <c r="AY99" s="845"/>
      <c r="AZ99" s="845"/>
      <c r="BA99" s="845"/>
      <c r="BB99" s="845"/>
      <c r="BC99" s="845"/>
      <c r="BD99" s="845"/>
      <c r="BE99" s="845"/>
      <c r="BF99" s="845"/>
      <c r="BG99" s="845"/>
      <c r="BH99" s="845"/>
      <c r="BI99" s="845"/>
      <c r="BJ99" s="845"/>
      <c r="BK99" s="873"/>
      <c r="BL99" s="992"/>
    </row>
    <row r="100" spans="2:64" s="828" customFormat="1" hidden="1" outlineLevel="1">
      <c r="B100" s="812" t="s">
        <v>488</v>
      </c>
      <c r="C100" s="991"/>
      <c r="D100" s="834"/>
      <c r="E100" s="1006"/>
      <c r="F100" s="991"/>
      <c r="G100" s="834"/>
      <c r="H100" s="947">
        <f>(H95-E95)/(H63-E63)</f>
        <v>0.43671394166443678</v>
      </c>
      <c r="I100" s="947"/>
      <c r="J100" s="834"/>
      <c r="K100" s="945">
        <f>(K95-H95)/(K63-H63)</f>
        <v>0.35087719298245684</v>
      </c>
      <c r="L100" s="845"/>
      <c r="M100" s="834"/>
      <c r="N100" s="947">
        <f>(N95-K95)/(N63-K63)</f>
        <v>0.28065739570164305</v>
      </c>
      <c r="O100" s="947"/>
      <c r="P100" s="947"/>
      <c r="Q100" s="947">
        <f>(Q95-N95)/(Q63-N63)</f>
        <v>0.1347540983606558</v>
      </c>
      <c r="R100" s="947"/>
      <c r="S100" s="947"/>
      <c r="T100" s="947">
        <f>(T95-Q95)/(T63-Q63)</f>
        <v>2.181225806451613</v>
      </c>
      <c r="U100" s="845"/>
      <c r="V100" s="834"/>
      <c r="W100" s="947">
        <f>(W95-T95)/(W63-T63)</f>
        <v>-0.55627306273062693</v>
      </c>
      <c r="X100" s="845"/>
      <c r="Y100" s="834"/>
      <c r="Z100" s="947">
        <f>(Z95-W95)/(Z63-W63)</f>
        <v>0.1195219123505975</v>
      </c>
      <c r="AA100" s="845"/>
      <c r="AB100" s="834"/>
      <c r="AC100" s="1090">
        <f>(AC95-Z95)/(AC63-Z63)</f>
        <v>0.1114206128133709</v>
      </c>
      <c r="AD100" s="845"/>
      <c r="AE100" s="834"/>
      <c r="AF100" s="947">
        <f>(AF95-AC95)/(AF63-AC63)</f>
        <v>7.4907462215331427E-2</v>
      </c>
      <c r="AG100" s="845"/>
      <c r="AH100" s="834"/>
      <c r="AI100" s="947">
        <f>(AI95-AF95)/(AI63-AF63)</f>
        <v>7.8110305351081058E-2</v>
      </c>
      <c r="AJ100" s="947"/>
      <c r="AK100" s="947"/>
      <c r="AL100" s="947">
        <f>(AL95-AI95)/(AL63-AI63)</f>
        <v>8.4902249608264077E-2</v>
      </c>
      <c r="AM100" s="947"/>
      <c r="AN100" s="947"/>
      <c r="AO100" s="947">
        <f>(AO95-AL95)/(AO63-AL63)</f>
        <v>9.1312304726338958E-2</v>
      </c>
      <c r="AP100" s="947"/>
      <c r="AQ100" s="947"/>
      <c r="AR100" s="947">
        <f>(AR95-AO95)/(AR63-AO63)</f>
        <v>0.10552777483906353</v>
      </c>
      <c r="AS100" s="947"/>
      <c r="AT100" s="947"/>
      <c r="AU100" s="947">
        <f>(AU95-AR95)/(AU63-AR63)</f>
        <v>0.12972740283923134</v>
      </c>
      <c r="AV100" s="947"/>
      <c r="AW100" s="947"/>
      <c r="AX100" s="947">
        <f>(AX95-AU95)/(AX63-AU63)</f>
        <v>0.18533053021035037</v>
      </c>
      <c r="AY100" s="947"/>
      <c r="AZ100" s="947"/>
      <c r="BA100" s="947">
        <f>(BA95-AX95)/(BA63-AX63)</f>
        <v>0.19034535632192356</v>
      </c>
      <c r="BB100" s="947"/>
      <c r="BC100" s="947"/>
      <c r="BD100" s="947">
        <f>(BD95-BA95)/(BD63-BA63)</f>
        <v>0.19549689909983756</v>
      </c>
      <c r="BE100" s="947"/>
      <c r="BF100" s="947"/>
      <c r="BG100" s="947">
        <f>(BG95-BD95)/(BG63-BD63)</f>
        <v>0.20078890844775199</v>
      </c>
      <c r="BH100" s="947"/>
      <c r="BI100" s="947"/>
      <c r="BJ100" s="947">
        <f t="shared" ref="BJ100" si="375">(BJ95-BG95)/(BJ63-BG63)</f>
        <v>0.20622523764422296</v>
      </c>
      <c r="BK100" s="873"/>
      <c r="BL100" s="992"/>
    </row>
    <row r="101" spans="2:64" s="828" customFormat="1" hidden="1" outlineLevel="1">
      <c r="B101" s="812" t="s">
        <v>519</v>
      </c>
      <c r="C101" s="991"/>
      <c r="D101" s="834"/>
      <c r="E101" s="1006"/>
      <c r="F101" s="991"/>
      <c r="G101" s="834"/>
      <c r="H101" s="947"/>
      <c r="I101" s="947"/>
      <c r="J101" s="834"/>
      <c r="K101" s="945"/>
      <c r="L101" s="845"/>
      <c r="M101" s="834"/>
      <c r="N101" s="947"/>
      <c r="O101" s="947"/>
      <c r="P101" s="947"/>
      <c r="Q101" s="947"/>
      <c r="R101" s="947"/>
      <c r="S101" s="947"/>
      <c r="T101" s="947"/>
      <c r="U101" s="845"/>
      <c r="V101" s="834"/>
      <c r="W101" s="947"/>
      <c r="X101" s="845"/>
      <c r="Y101" s="834"/>
      <c r="Z101" s="947"/>
      <c r="AA101" s="845"/>
      <c r="AB101" s="834"/>
      <c r="AC101" s="1090"/>
      <c r="AD101" s="845"/>
      <c r="AE101" s="834"/>
      <c r="AF101" s="947"/>
      <c r="AG101" s="845"/>
      <c r="AH101" s="834"/>
      <c r="AI101" s="947"/>
      <c r="AJ101" s="947"/>
      <c r="AK101" s="947"/>
      <c r="AL101" s="947"/>
      <c r="AM101" s="947"/>
      <c r="AN101" s="947"/>
      <c r="AO101" s="947"/>
      <c r="AP101" s="947"/>
      <c r="AQ101" s="947"/>
      <c r="AR101" s="947"/>
      <c r="AS101" s="947"/>
      <c r="AT101" s="947"/>
      <c r="AU101" s="947"/>
      <c r="AV101" s="947"/>
      <c r="AW101" s="947"/>
      <c r="AX101" s="947"/>
      <c r="AY101" s="947"/>
      <c r="AZ101" s="947"/>
      <c r="BA101" s="947"/>
      <c r="BB101" s="947"/>
      <c r="BC101" s="947"/>
      <c r="BD101" s="947"/>
      <c r="BE101" s="947"/>
      <c r="BF101" s="947"/>
      <c r="BG101" s="947"/>
      <c r="BH101" s="947"/>
      <c r="BI101" s="947"/>
      <c r="BJ101" s="947"/>
      <c r="BK101" s="873"/>
      <c r="BL101" s="992"/>
    </row>
    <row r="102" spans="2:64" s="828" customFormat="1" hidden="1" outlineLevel="1">
      <c r="B102" s="812" t="s">
        <v>520</v>
      </c>
      <c r="C102" s="991"/>
      <c r="D102" s="834"/>
      <c r="E102" s="1006"/>
      <c r="F102" s="991"/>
      <c r="G102" s="834"/>
      <c r="H102" s="947"/>
      <c r="I102" s="845"/>
      <c r="J102" s="845"/>
      <c r="K102" s="846"/>
      <c r="L102" s="845"/>
      <c r="M102" s="845"/>
      <c r="N102" s="845"/>
      <c r="O102" s="845"/>
      <c r="P102" s="845"/>
      <c r="Q102" s="845"/>
      <c r="R102" s="845"/>
      <c r="S102" s="845"/>
      <c r="T102" s="845"/>
      <c r="U102" s="845"/>
      <c r="V102" s="845"/>
      <c r="W102" s="845"/>
      <c r="X102" s="845"/>
      <c r="Y102" s="845"/>
      <c r="Z102" s="947"/>
      <c r="AA102" s="845"/>
      <c r="AB102" s="845"/>
      <c r="AC102" s="1090"/>
      <c r="AD102" s="845"/>
      <c r="AE102" s="845"/>
      <c r="AF102" s="947"/>
      <c r="AG102" s="845"/>
      <c r="AH102" s="845"/>
      <c r="AI102" s="947"/>
      <c r="AJ102" s="947"/>
      <c r="AK102" s="947"/>
      <c r="AL102" s="947"/>
      <c r="AM102" s="947"/>
      <c r="AN102" s="947"/>
      <c r="AO102" s="947"/>
      <c r="AP102" s="947"/>
      <c r="AQ102" s="947"/>
      <c r="AR102" s="947"/>
      <c r="AS102" s="947"/>
      <c r="AT102" s="947"/>
      <c r="AU102" s="947"/>
      <c r="AV102" s="947"/>
      <c r="AW102" s="947"/>
      <c r="AX102" s="947"/>
      <c r="AY102" s="947"/>
      <c r="AZ102" s="947"/>
      <c r="BA102" s="947"/>
      <c r="BB102" s="947"/>
      <c r="BC102" s="947"/>
      <c r="BD102" s="947"/>
      <c r="BE102" s="947"/>
      <c r="BF102" s="947"/>
      <c r="BG102" s="947"/>
      <c r="BH102" s="947"/>
      <c r="BI102" s="947"/>
      <c r="BJ102" s="947"/>
      <c r="BK102" s="873"/>
      <c r="BL102" s="992"/>
    </row>
    <row r="103" spans="2:64" s="828" customFormat="1" collapsed="1">
      <c r="B103" s="812"/>
      <c r="C103" s="991"/>
      <c r="D103" s="834"/>
      <c r="E103" s="1006"/>
      <c r="F103" s="991"/>
      <c r="G103" s="834"/>
      <c r="H103" s="947"/>
      <c r="I103" s="845"/>
      <c r="J103" s="845"/>
      <c r="K103" s="846"/>
      <c r="L103" s="845"/>
      <c r="M103" s="845"/>
      <c r="N103" s="845"/>
      <c r="O103" s="845"/>
      <c r="P103" s="845"/>
      <c r="Q103" s="845"/>
      <c r="R103" s="845"/>
      <c r="S103" s="845"/>
      <c r="T103" s="845"/>
      <c r="U103" s="845"/>
      <c r="V103" s="845"/>
      <c r="W103" s="845"/>
      <c r="X103" s="845"/>
      <c r="Y103" s="845"/>
      <c r="Z103" s="947"/>
      <c r="AA103" s="845"/>
      <c r="AB103" s="845"/>
      <c r="AC103" s="1090"/>
      <c r="AD103" s="845"/>
      <c r="AE103" s="845"/>
      <c r="AF103" s="947"/>
      <c r="AG103" s="845"/>
      <c r="AH103" s="845"/>
      <c r="AI103" s="947"/>
      <c r="AJ103" s="947"/>
      <c r="AK103" s="947"/>
      <c r="AL103" s="947"/>
      <c r="AM103" s="947"/>
      <c r="AN103" s="947"/>
      <c r="AO103" s="947"/>
      <c r="AP103" s="947"/>
      <c r="AQ103" s="947"/>
      <c r="AR103" s="947"/>
      <c r="AS103" s="947"/>
      <c r="AT103" s="947"/>
      <c r="AU103" s="947"/>
      <c r="AV103" s="947"/>
      <c r="AW103" s="947"/>
      <c r="AX103" s="947"/>
      <c r="AY103" s="947"/>
      <c r="AZ103" s="947"/>
      <c r="BA103" s="947"/>
      <c r="BB103" s="947"/>
      <c r="BC103" s="947"/>
      <c r="BD103" s="947"/>
      <c r="BE103" s="947"/>
      <c r="BF103" s="947"/>
      <c r="BG103" s="947"/>
      <c r="BH103" s="947"/>
      <c r="BI103" s="947"/>
      <c r="BJ103" s="947"/>
      <c r="BK103" s="873"/>
      <c r="BL103" s="992"/>
    </row>
    <row r="104" spans="2:64" s="828" customFormat="1">
      <c r="B104" s="812" t="s">
        <v>805</v>
      </c>
      <c r="C104" s="991"/>
      <c r="D104" s="834"/>
      <c r="E104" s="1012">
        <f t="shared" ref="E104:AU104" si="376">E63-E95</f>
        <v>929.95405405405404</v>
      </c>
      <c r="F104" s="1012">
        <f t="shared" si="376"/>
        <v>36.837100000000078</v>
      </c>
      <c r="G104" s="1012">
        <f t="shared" si="376"/>
        <v>489.69999999999993</v>
      </c>
      <c r="H104" s="1012">
        <f t="shared" si="376"/>
        <v>958.4</v>
      </c>
      <c r="I104" s="1012">
        <f t="shared" si="376"/>
        <v>500.79999999999995</v>
      </c>
      <c r="J104" s="1012">
        <f t="shared" si="376"/>
        <v>479.79999999999995</v>
      </c>
      <c r="K104" s="1013">
        <f t="shared" si="376"/>
        <v>980.59999999999991</v>
      </c>
      <c r="L104" s="1012">
        <f t="shared" si="376"/>
        <v>513.5</v>
      </c>
      <c r="M104" s="1012">
        <f t="shared" si="376"/>
        <v>524</v>
      </c>
      <c r="N104" s="1012">
        <f t="shared" si="376"/>
        <v>1037.5</v>
      </c>
      <c r="O104" s="1012">
        <f t="shared" si="376"/>
        <v>607.69999999999993</v>
      </c>
      <c r="P104" s="1012">
        <f t="shared" si="376"/>
        <v>593.41800000000001</v>
      </c>
      <c r="Q104" s="1012">
        <f t="shared" si="376"/>
        <v>1201.1179999999999</v>
      </c>
      <c r="R104" s="1012">
        <f t="shared" si="376"/>
        <v>509.1</v>
      </c>
      <c r="S104" s="1012">
        <f t="shared" si="376"/>
        <v>655.39999999999986</v>
      </c>
      <c r="T104" s="1012">
        <f t="shared" si="376"/>
        <v>1164.5</v>
      </c>
      <c r="U104" s="1012">
        <f t="shared" si="376"/>
        <v>670.6</v>
      </c>
      <c r="V104" s="1014">
        <f t="shared" si="376"/>
        <v>662.6</v>
      </c>
      <c r="W104" s="1012">
        <f t="shared" si="376"/>
        <v>1333.2</v>
      </c>
      <c r="X104" s="1012">
        <f t="shared" ref="X104" si="377">X63-X95</f>
        <v>699</v>
      </c>
      <c r="Y104" s="1012">
        <f t="shared" ref="Y104:Z104" si="378">Y63-Y95</f>
        <v>678.40000000000009</v>
      </c>
      <c r="Z104" s="971">
        <f t="shared" si="378"/>
        <v>1377.4</v>
      </c>
      <c r="AA104" s="1012">
        <f t="shared" si="376"/>
        <v>709.8</v>
      </c>
      <c r="AB104" s="1012">
        <f t="shared" si="376"/>
        <v>699.5</v>
      </c>
      <c r="AC104" s="1356">
        <f t="shared" si="376"/>
        <v>1409.3</v>
      </c>
      <c r="AD104" s="1012">
        <f t="shared" ref="AD104:AE104" si="379">AD63-AD95</f>
        <v>736.04377471153862</v>
      </c>
      <c r="AE104" s="1012">
        <f t="shared" si="379"/>
        <v>750.44250540209737</v>
      </c>
      <c r="AF104" s="971">
        <f t="shared" si="376"/>
        <v>1486.486280113636</v>
      </c>
      <c r="AG104" s="1012">
        <f t="shared" si="376"/>
        <v>761.91608695491368</v>
      </c>
      <c r="AH104" s="1012">
        <f t="shared" si="376"/>
        <v>802.02349581758585</v>
      </c>
      <c r="AI104" s="971">
        <f t="shared" si="376"/>
        <v>1563.9395827724995</v>
      </c>
      <c r="AJ104" s="971"/>
      <c r="AK104" s="971"/>
      <c r="AL104" s="971">
        <f t="shared" si="376"/>
        <v>1638.2084680539479</v>
      </c>
      <c r="AM104" s="971"/>
      <c r="AN104" s="971"/>
      <c r="AO104" s="971">
        <f t="shared" si="376"/>
        <v>1710.2085941865755</v>
      </c>
      <c r="AP104" s="971"/>
      <c r="AQ104" s="971"/>
      <c r="AR104" s="971">
        <f t="shared" si="376"/>
        <v>1774.6013915918459</v>
      </c>
      <c r="AS104" s="971"/>
      <c r="AT104" s="971"/>
      <c r="AU104" s="971">
        <f t="shared" si="376"/>
        <v>1828.1132579070995</v>
      </c>
      <c r="AV104" s="971"/>
      <c r="AW104" s="971"/>
      <c r="AX104" s="971">
        <f t="shared" ref="AX104:BA104" si="380">AX63-AX95</f>
        <v>1864.9304178947264</v>
      </c>
      <c r="AY104" s="971"/>
      <c r="AZ104" s="971"/>
      <c r="BA104" s="971">
        <f t="shared" si="380"/>
        <v>1902.3382582191255</v>
      </c>
      <c r="BB104" s="971"/>
      <c r="BC104" s="971"/>
      <c r="BD104" s="971">
        <f t="shared" ref="BD104:BG104" si="381">BD63-BD95</f>
        <v>1940.3381411917935</v>
      </c>
      <c r="BE104" s="971"/>
      <c r="BF104" s="971"/>
      <c r="BG104" s="971">
        <f t="shared" si="381"/>
        <v>1978.9308704426542</v>
      </c>
      <c r="BH104" s="971"/>
      <c r="BI104" s="971"/>
      <c r="BJ104" s="971">
        <f t="shared" ref="BJ104" si="382">BJ63-BJ95</f>
        <v>2018.1166491827753</v>
      </c>
      <c r="BK104" s="873"/>
      <c r="BL104" s="992"/>
    </row>
    <row r="105" spans="2:64">
      <c r="B105" s="812" t="s">
        <v>806</v>
      </c>
      <c r="C105" s="991"/>
      <c r="D105" s="834"/>
      <c r="E105" s="991"/>
      <c r="F105" s="991"/>
      <c r="G105" s="834"/>
      <c r="H105" s="947"/>
      <c r="I105" s="834"/>
      <c r="J105" s="834"/>
      <c r="K105" s="835"/>
      <c r="L105" s="944">
        <f t="shared" ref="L105:Z105" si="383">L104/I104-1</f>
        <v>2.5359424920127882E-2</v>
      </c>
      <c r="M105" s="944">
        <f t="shared" si="383"/>
        <v>9.2121717382242618E-2</v>
      </c>
      <c r="N105" s="944">
        <f t="shared" si="383"/>
        <v>5.8025698551907201E-2</v>
      </c>
      <c r="O105" s="944">
        <f t="shared" si="383"/>
        <v>0.18344693281402136</v>
      </c>
      <c r="P105" s="944">
        <f t="shared" si="383"/>
        <v>0.1324770992366413</v>
      </c>
      <c r="Q105" s="944">
        <f t="shared" si="383"/>
        <v>0.15770409638554206</v>
      </c>
      <c r="R105" s="944">
        <f t="shared" si="383"/>
        <v>-0.16225111074543352</v>
      </c>
      <c r="S105" s="944">
        <f t="shared" si="383"/>
        <v>0.10444914040356013</v>
      </c>
      <c r="T105" s="944">
        <f t="shared" si="383"/>
        <v>-3.0486596654117237E-2</v>
      </c>
      <c r="U105" s="944">
        <f t="shared" si="383"/>
        <v>0.31722647809860538</v>
      </c>
      <c r="V105" s="944">
        <f t="shared" si="383"/>
        <v>1.0985657613671318E-2</v>
      </c>
      <c r="W105" s="944">
        <f t="shared" si="383"/>
        <v>0.14486904250751409</v>
      </c>
      <c r="X105" s="944">
        <f t="shared" si="383"/>
        <v>4.2350134208171797E-2</v>
      </c>
      <c r="Y105" s="944">
        <f t="shared" ref="Y105" si="384">Y104/V104-1</f>
        <v>2.3845457289465744E-2</v>
      </c>
      <c r="Z105" s="852">
        <f t="shared" si="383"/>
        <v>3.3153315331533095E-2</v>
      </c>
      <c r="AA105" s="944">
        <f t="shared" ref="AA105:AB105" si="385">AA104/X104-1</f>
        <v>1.5450643776824036E-2</v>
      </c>
      <c r="AB105" s="944">
        <f t="shared" si="385"/>
        <v>3.1102594339622591E-2</v>
      </c>
      <c r="AC105" s="853">
        <f>AC104/Z104-1</f>
        <v>2.3159576012777627E-2</v>
      </c>
      <c r="AD105" s="944">
        <f t="shared" ref="AD105" si="386">AD104/AA104-1</f>
        <v>3.6973478038234253E-2</v>
      </c>
      <c r="AE105" s="944">
        <f t="shared" ref="AE105" si="387">AE104/AB104-1</f>
        <v>7.282702702229793E-2</v>
      </c>
      <c r="AF105" s="852">
        <f>AF104/AC104-1</f>
        <v>5.4769233033162612E-2</v>
      </c>
      <c r="AG105" s="944">
        <f t="shared" ref="AG105" si="388">AG104/AD104-1</f>
        <v>3.5150507527238695E-2</v>
      </c>
      <c r="AH105" s="944">
        <f t="shared" ref="AH105" si="389">AH104/AE104-1</f>
        <v>6.8734100273079024E-2</v>
      </c>
      <c r="AI105" s="852">
        <f>AI104/AF104-1</f>
        <v>5.210495629528622E-2</v>
      </c>
      <c r="AJ105" s="852"/>
      <c r="AK105" s="852"/>
      <c r="AL105" s="852">
        <f>AL104/AI104-1</f>
        <v>4.7488334012102174E-2</v>
      </c>
      <c r="AM105" s="852"/>
      <c r="AN105" s="852"/>
      <c r="AO105" s="852">
        <f>AO104/AL104-1</f>
        <v>4.3950527381998894E-2</v>
      </c>
      <c r="AP105" s="852"/>
      <c r="AQ105" s="852"/>
      <c r="AR105" s="852">
        <f>AR104/AO104-1</f>
        <v>3.7652013692456965E-2</v>
      </c>
      <c r="AS105" s="852"/>
      <c r="AT105" s="852"/>
      <c r="AU105" s="852">
        <f>AU104/AR104-1</f>
        <v>3.0154302013283507E-2</v>
      </c>
      <c r="AV105" s="852"/>
      <c r="AW105" s="852"/>
      <c r="AX105" s="852">
        <f>AX104/AU104-1</f>
        <v>2.0139430545882409E-2</v>
      </c>
      <c r="AY105" s="852"/>
      <c r="AZ105" s="852"/>
      <c r="BA105" s="852">
        <f>BA104/AX104-1</f>
        <v>2.0058571604311126E-2</v>
      </c>
      <c r="BB105" s="852"/>
      <c r="BC105" s="852"/>
      <c r="BD105" s="852">
        <f>BD104/BA104-1</f>
        <v>1.9975355491321345E-2</v>
      </c>
      <c r="BE105" s="852"/>
      <c r="BF105" s="852"/>
      <c r="BG105" s="852">
        <f>BG104/BD104-1</f>
        <v>1.9889692642518719E-2</v>
      </c>
      <c r="BH105" s="852"/>
      <c r="BI105" s="852"/>
      <c r="BJ105" s="852">
        <f t="shared" ref="BJ105" si="390">BJ104/BG104-1</f>
        <v>1.980148944331539E-2</v>
      </c>
      <c r="BK105" s="1015"/>
      <c r="BL105" s="1016"/>
    </row>
    <row r="106" spans="2:64">
      <c r="C106" s="991"/>
      <c r="D106" s="834"/>
      <c r="E106" s="991"/>
      <c r="F106" s="991"/>
      <c r="G106" s="834"/>
      <c r="H106" s="947"/>
      <c r="I106" s="834"/>
      <c r="J106" s="834"/>
      <c r="K106" s="835"/>
      <c r="L106" s="944"/>
      <c r="M106" s="944"/>
      <c r="N106" s="944"/>
      <c r="O106" s="944"/>
      <c r="P106" s="944"/>
      <c r="Q106" s="944"/>
      <c r="R106" s="944"/>
      <c r="S106" s="944"/>
      <c r="T106" s="944"/>
      <c r="U106" s="944"/>
      <c r="V106" s="944"/>
      <c r="W106" s="944"/>
      <c r="X106" s="944"/>
      <c r="Y106" s="944"/>
      <c r="Z106" s="946"/>
      <c r="AA106" s="944"/>
      <c r="AB106" s="944"/>
      <c r="AC106" s="948"/>
      <c r="AD106" s="944"/>
      <c r="AE106" s="944"/>
      <c r="AF106" s="946"/>
      <c r="AG106" s="944"/>
      <c r="AH106" s="944"/>
      <c r="AI106" s="946"/>
      <c r="AJ106" s="946"/>
      <c r="AK106" s="946"/>
      <c r="AL106" s="946"/>
      <c r="AM106" s="946"/>
      <c r="AN106" s="946"/>
      <c r="AO106" s="946"/>
      <c r="AP106" s="946"/>
      <c r="AQ106" s="946"/>
      <c r="AR106" s="946"/>
      <c r="AS106" s="946"/>
      <c r="AT106" s="946"/>
      <c r="AU106" s="946"/>
      <c r="AV106" s="946"/>
      <c r="AW106" s="946"/>
      <c r="AX106" s="946"/>
      <c r="AY106" s="946"/>
      <c r="AZ106" s="946"/>
      <c r="BA106" s="946"/>
      <c r="BB106" s="946"/>
      <c r="BC106" s="946"/>
      <c r="BD106" s="946"/>
      <c r="BE106" s="946"/>
      <c r="BF106" s="946"/>
      <c r="BG106" s="946"/>
      <c r="BH106" s="946"/>
      <c r="BI106" s="946"/>
      <c r="BJ106" s="946"/>
      <c r="BK106" s="1015"/>
      <c r="BL106" s="1016"/>
    </row>
    <row r="107" spans="2:64" s="1024" customFormat="1">
      <c r="B107" s="1017" t="s">
        <v>263</v>
      </c>
      <c r="C107" s="973"/>
      <c r="D107" s="973"/>
      <c r="E107" s="973"/>
      <c r="F107" s="1018"/>
      <c r="G107" s="973"/>
      <c r="H107" s="973"/>
      <c r="I107" s="1018"/>
      <c r="J107" s="973"/>
      <c r="K107" s="1019"/>
      <c r="L107" s="1018"/>
      <c r="M107" s="973"/>
      <c r="N107" s="1020">
        <v>189.8</v>
      </c>
      <c r="O107" s="1020"/>
      <c r="P107" s="1020"/>
      <c r="Q107" s="1020">
        <v>276.2</v>
      </c>
      <c r="R107" s="1020"/>
      <c r="S107" s="1020"/>
      <c r="T107" s="1020">
        <v>300</v>
      </c>
      <c r="U107" s="1020">
        <v>314.89999999999998</v>
      </c>
      <c r="V107" s="973"/>
      <c r="W107" s="1020">
        <v>285.3</v>
      </c>
      <c r="X107" s="1020">
        <v>320.8</v>
      </c>
      <c r="Y107" s="973"/>
      <c r="Z107" s="1020">
        <v>306</v>
      </c>
      <c r="AA107" s="1020">
        <v>328.9</v>
      </c>
      <c r="AB107" s="973"/>
      <c r="AC107" s="1021">
        <v>305</v>
      </c>
      <c r="AD107" s="973"/>
      <c r="AE107" s="973"/>
      <c r="AF107" s="973"/>
      <c r="AG107" s="973"/>
      <c r="AH107" s="973"/>
      <c r="AI107" s="973"/>
      <c r="AJ107" s="973"/>
      <c r="AK107" s="973"/>
      <c r="AL107" s="973"/>
      <c r="AM107" s="973"/>
      <c r="AN107" s="973"/>
      <c r="AO107" s="973"/>
      <c r="AP107" s="973"/>
      <c r="AQ107" s="973"/>
      <c r="AR107" s="973"/>
      <c r="AS107" s="973"/>
      <c r="AT107" s="973"/>
      <c r="AU107" s="973"/>
      <c r="AV107" s="973"/>
      <c r="AW107" s="973"/>
      <c r="AX107" s="973"/>
      <c r="AY107" s="973"/>
      <c r="AZ107" s="973"/>
      <c r="BA107" s="973"/>
      <c r="BB107" s="973"/>
      <c r="BC107" s="973"/>
      <c r="BD107" s="973"/>
      <c r="BE107" s="973"/>
      <c r="BF107" s="973"/>
      <c r="BG107" s="973"/>
      <c r="BH107" s="973"/>
      <c r="BI107" s="973"/>
      <c r="BJ107" s="973"/>
      <c r="BK107" s="1022"/>
      <c r="BL107" s="1023"/>
    </row>
    <row r="108" spans="2:64" s="1024" customFormat="1">
      <c r="B108" s="1017" t="s">
        <v>799</v>
      </c>
      <c r="C108" s="973"/>
      <c r="D108" s="973"/>
      <c r="E108" s="973"/>
      <c r="F108" s="1018"/>
      <c r="G108" s="973"/>
      <c r="H108" s="973"/>
      <c r="I108" s="1018"/>
      <c r="J108" s="973"/>
      <c r="K108" s="1019"/>
      <c r="L108" s="1018"/>
      <c r="M108" s="973"/>
      <c r="N108" s="1025">
        <v>-177</v>
      </c>
      <c r="O108" s="1025"/>
      <c r="P108" s="1025"/>
      <c r="Q108" s="1025">
        <v>-219.3</v>
      </c>
      <c r="R108" s="1025"/>
      <c r="S108" s="1025"/>
      <c r="T108" s="1025">
        <v>-155.69999999999999</v>
      </c>
      <c r="U108" s="1025">
        <v>-181.1</v>
      </c>
      <c r="V108" s="1025"/>
      <c r="W108" s="1025">
        <v>-190.4</v>
      </c>
      <c r="X108" s="1025">
        <v>-233.4</v>
      </c>
      <c r="Y108" s="1025"/>
      <c r="Z108" s="1025">
        <v>-209.8</v>
      </c>
      <c r="AA108" s="1025">
        <v>-230.9</v>
      </c>
      <c r="AB108" s="1025"/>
      <c r="AC108" s="1026">
        <v>-205.9</v>
      </c>
      <c r="AD108" s="973"/>
      <c r="AE108" s="973"/>
      <c r="AF108" s="973"/>
      <c r="AG108" s="973"/>
      <c r="AH108" s="973"/>
      <c r="AI108" s="973"/>
      <c r="AJ108" s="973"/>
      <c r="AK108" s="973"/>
      <c r="AL108" s="973"/>
      <c r="AM108" s="973"/>
      <c r="AN108" s="973"/>
      <c r="AO108" s="973"/>
      <c r="AP108" s="973"/>
      <c r="AQ108" s="973"/>
      <c r="AR108" s="973"/>
      <c r="AS108" s="973"/>
      <c r="AT108" s="973"/>
      <c r="AU108" s="973"/>
      <c r="AV108" s="973"/>
      <c r="AW108" s="973"/>
      <c r="AX108" s="973"/>
      <c r="AY108" s="973"/>
      <c r="AZ108" s="973"/>
      <c r="BA108" s="973"/>
      <c r="BB108" s="973"/>
      <c r="BC108" s="973"/>
      <c r="BD108" s="973"/>
      <c r="BE108" s="973"/>
      <c r="BF108" s="973"/>
      <c r="BG108" s="973"/>
      <c r="BH108" s="973"/>
      <c r="BI108" s="973"/>
      <c r="BJ108" s="973"/>
      <c r="BK108" s="1022"/>
      <c r="BL108" s="1023"/>
    </row>
    <row r="109" spans="2:64" s="1024" customFormat="1">
      <c r="B109" s="1017" t="s">
        <v>800</v>
      </c>
      <c r="C109" s="973"/>
      <c r="D109" s="973"/>
      <c r="E109" s="973"/>
      <c r="F109" s="1018"/>
      <c r="G109" s="973"/>
      <c r="H109" s="973"/>
      <c r="I109" s="1018"/>
      <c r="J109" s="973"/>
      <c r="K109" s="1019"/>
      <c r="L109" s="1018"/>
      <c r="M109" s="973"/>
      <c r="N109" s="973">
        <f>SUM(N107:N108)</f>
        <v>12.800000000000011</v>
      </c>
      <c r="O109" s="973"/>
      <c r="P109" s="973"/>
      <c r="Q109" s="973">
        <f>SUM(Q107:Q108)</f>
        <v>56.899999999999977</v>
      </c>
      <c r="R109" s="973"/>
      <c r="S109" s="973"/>
      <c r="T109" s="973">
        <f>SUM(T107:T108)</f>
        <v>144.30000000000001</v>
      </c>
      <c r="U109" s="973"/>
      <c r="V109" s="973"/>
      <c r="W109" s="973">
        <f>SUM(W107:W108)</f>
        <v>94.9</v>
      </c>
      <c r="X109" s="973">
        <f>SUM(X107:X108)</f>
        <v>87.4</v>
      </c>
      <c r="Y109" s="973"/>
      <c r="Z109" s="973">
        <f>SUM(Z107:Z108)</f>
        <v>96.199999999999989</v>
      </c>
      <c r="AA109" s="973">
        <f>SUM(AA107:AA108)</f>
        <v>97.999999999999972</v>
      </c>
      <c r="AB109" s="973"/>
      <c r="AC109" s="1027">
        <f>SUM(AC107:AC108)</f>
        <v>99.1</v>
      </c>
      <c r="AD109" s="973"/>
      <c r="AE109" s="973"/>
      <c r="AF109" s="973"/>
      <c r="AG109" s="973"/>
      <c r="AH109" s="973"/>
      <c r="AI109" s="973"/>
      <c r="AJ109" s="973"/>
      <c r="AK109" s="973"/>
      <c r="AL109" s="973"/>
      <c r="AM109" s="973"/>
      <c r="AN109" s="973"/>
      <c r="AO109" s="973"/>
      <c r="AP109" s="973"/>
      <c r="AQ109" s="973"/>
      <c r="AR109" s="973"/>
      <c r="AS109" s="973"/>
      <c r="AT109" s="973"/>
      <c r="AU109" s="973"/>
      <c r="AV109" s="973"/>
      <c r="AW109" s="973"/>
      <c r="AX109" s="973"/>
      <c r="AY109" s="973"/>
      <c r="AZ109" s="973"/>
      <c r="BA109" s="973"/>
      <c r="BB109" s="973"/>
      <c r="BC109" s="973"/>
      <c r="BD109" s="973"/>
      <c r="BE109" s="973"/>
      <c r="BF109" s="973"/>
      <c r="BG109" s="973"/>
      <c r="BH109" s="973"/>
      <c r="BI109" s="973"/>
      <c r="BJ109" s="973"/>
      <c r="BK109" s="1022"/>
      <c r="BL109" s="1023"/>
    </row>
    <row r="110" spans="2:64" s="1024" customFormat="1">
      <c r="B110" s="1017" t="s">
        <v>802</v>
      </c>
      <c r="C110" s="973"/>
      <c r="D110" s="973"/>
      <c r="E110" s="973"/>
      <c r="F110" s="1018"/>
      <c r="G110" s="973"/>
      <c r="H110" s="973"/>
      <c r="I110" s="1018"/>
      <c r="J110" s="973"/>
      <c r="K110" s="1019"/>
      <c r="L110" s="1018"/>
      <c r="M110" s="973"/>
      <c r="N110" s="973">
        <f>N107/(N63-N75)*365</f>
        <v>120.00430981022281</v>
      </c>
      <c r="O110" s="973"/>
      <c r="P110" s="973"/>
      <c r="Q110" s="973">
        <f>Q107/(Q63-Q75)*365</f>
        <v>162.60531086271476</v>
      </c>
      <c r="R110" s="973"/>
      <c r="S110" s="973"/>
      <c r="T110" s="973">
        <f>T107/(T63-T75)*365</f>
        <v>170.94182545262902</v>
      </c>
      <c r="U110" s="973"/>
      <c r="V110" s="973"/>
      <c r="W110" s="973">
        <f>W107/(W63-W75)*365</f>
        <v>149.28709996140756</v>
      </c>
      <c r="X110" s="973">
        <f>X107/(X63-X75)*365/2</f>
        <v>154.08184789903947</v>
      </c>
      <c r="Y110" s="973"/>
      <c r="Z110" s="973">
        <f>Z107/(Z63-Z75)*365</f>
        <v>157.11153571441031</v>
      </c>
      <c r="AA110" s="973">
        <f>AA107/(AA63-AA75)*365/2</f>
        <v>154.00861494289177</v>
      </c>
      <c r="AB110" s="973"/>
      <c r="AC110" s="1027">
        <f>AC107/(AC63-AC75)*365</f>
        <v>153.72003379313847</v>
      </c>
      <c r="AD110" s="973"/>
      <c r="AE110" s="973"/>
      <c r="AF110" s="973"/>
      <c r="AG110" s="973"/>
      <c r="AH110" s="973"/>
      <c r="AI110" s="973"/>
      <c r="AJ110" s="973"/>
      <c r="AK110" s="973"/>
      <c r="AL110" s="973"/>
      <c r="AM110" s="973"/>
      <c r="AN110" s="973"/>
      <c r="AO110" s="973"/>
      <c r="AP110" s="973"/>
      <c r="AQ110" s="973"/>
      <c r="AR110" s="973"/>
      <c r="AS110" s="973"/>
      <c r="AT110" s="973"/>
      <c r="AU110" s="973"/>
      <c r="AV110" s="973"/>
      <c r="AW110" s="973"/>
      <c r="AX110" s="973"/>
      <c r="AY110" s="973"/>
      <c r="AZ110" s="973"/>
      <c r="BA110" s="973"/>
      <c r="BB110" s="973"/>
      <c r="BC110" s="973"/>
      <c r="BD110" s="973"/>
      <c r="BE110" s="973"/>
      <c r="BF110" s="973"/>
      <c r="BG110" s="973"/>
      <c r="BH110" s="973"/>
      <c r="BI110" s="973"/>
      <c r="BJ110" s="973"/>
      <c r="BK110" s="1022"/>
      <c r="BL110" s="1023"/>
    </row>
    <row r="111" spans="2:64">
      <c r="C111" s="902"/>
      <c r="D111" s="902"/>
      <c r="E111" s="902"/>
      <c r="F111" s="902"/>
      <c r="G111" s="902"/>
      <c r="H111" s="902"/>
      <c r="I111" s="902"/>
      <c r="J111" s="902"/>
      <c r="K111" s="904"/>
      <c r="L111" s="902"/>
      <c r="M111" s="902"/>
      <c r="N111" s="902"/>
      <c r="O111" s="902"/>
      <c r="P111" s="902"/>
      <c r="Q111" s="902"/>
      <c r="R111" s="902"/>
      <c r="S111" s="902"/>
      <c r="T111" s="902"/>
      <c r="U111" s="902"/>
      <c r="V111" s="902"/>
      <c r="W111" s="902"/>
      <c r="X111" s="902"/>
      <c r="Y111" s="902"/>
      <c r="Z111" s="902"/>
      <c r="AA111" s="902"/>
      <c r="AB111" s="902"/>
      <c r="AC111" s="905"/>
      <c r="AD111" s="902"/>
      <c r="AE111" s="902"/>
      <c r="AF111" s="902"/>
      <c r="AG111" s="902"/>
      <c r="AH111" s="902"/>
      <c r="AI111" s="902"/>
      <c r="AJ111" s="902"/>
      <c r="AK111" s="902"/>
      <c r="AL111" s="902"/>
      <c r="AM111" s="902"/>
      <c r="AN111" s="902"/>
      <c r="AO111" s="902"/>
      <c r="AP111" s="902"/>
      <c r="AQ111" s="902"/>
      <c r="AR111" s="902"/>
      <c r="AS111" s="902"/>
      <c r="AT111" s="902"/>
      <c r="AU111" s="902"/>
      <c r="AV111" s="902"/>
      <c r="AW111" s="902"/>
      <c r="AX111" s="902"/>
      <c r="AY111" s="902"/>
      <c r="AZ111" s="902"/>
      <c r="BA111" s="902"/>
      <c r="BB111" s="902"/>
      <c r="BC111" s="902"/>
      <c r="BD111" s="902"/>
      <c r="BE111" s="902"/>
      <c r="BF111" s="902"/>
      <c r="BG111" s="902"/>
      <c r="BH111" s="902"/>
      <c r="BI111" s="902"/>
      <c r="BJ111" s="902"/>
      <c r="BK111" s="1028"/>
    </row>
    <row r="112" spans="2:64" hidden="1" outlineLevel="1">
      <c r="B112" s="828"/>
      <c r="D112" s="834"/>
      <c r="F112" s="834"/>
      <c r="G112" s="834"/>
      <c r="I112" s="834"/>
      <c r="J112" s="834"/>
      <c r="L112" s="834"/>
      <c r="M112" s="834"/>
      <c r="U112" s="834"/>
      <c r="V112" s="834"/>
      <c r="X112" s="834"/>
      <c r="Y112" s="834"/>
      <c r="AA112" s="834"/>
      <c r="AB112" s="834"/>
      <c r="AD112" s="834"/>
      <c r="AE112" s="834"/>
      <c r="AG112" s="834"/>
      <c r="AH112" s="834"/>
    </row>
    <row r="113" spans="2:64" hidden="1" outlineLevel="1">
      <c r="B113" s="1029" t="s">
        <v>151</v>
      </c>
      <c r="C113" s="1030"/>
      <c r="D113" s="1030"/>
      <c r="E113" s="1030"/>
      <c r="F113" s="1030"/>
      <c r="G113" s="1030"/>
      <c r="H113" s="1030"/>
      <c r="I113" s="1030"/>
      <c r="J113" s="1030"/>
      <c r="K113" s="1031"/>
      <c r="L113" s="1030"/>
      <c r="M113" s="1030"/>
      <c r="N113" s="1030"/>
      <c r="O113" s="1030"/>
      <c r="P113" s="1030"/>
      <c r="Q113" s="1030"/>
      <c r="R113" s="1030"/>
      <c r="S113" s="1030"/>
      <c r="T113" s="1030"/>
      <c r="U113" s="1030"/>
      <c r="V113" s="1030"/>
      <c r="W113" s="1030"/>
      <c r="X113" s="1030"/>
      <c r="Y113" s="1030"/>
      <c r="Z113" s="1030"/>
      <c r="AA113" s="1030"/>
      <c r="AB113" s="1030"/>
      <c r="AC113" s="1032"/>
      <c r="AD113" s="1030"/>
      <c r="AE113" s="1030"/>
      <c r="AF113" s="1030"/>
      <c r="AG113" s="1030"/>
      <c r="AH113" s="1030"/>
      <c r="AI113" s="1030"/>
      <c r="AJ113" s="1030"/>
      <c r="AK113" s="1030"/>
      <c r="AL113" s="1030"/>
      <c r="AM113" s="1030"/>
      <c r="AN113" s="1030"/>
      <c r="AO113" s="1030"/>
      <c r="AP113" s="1030"/>
      <c r="AQ113" s="1030"/>
      <c r="AR113" s="1030"/>
      <c r="AS113" s="1030"/>
      <c r="AT113" s="1030"/>
      <c r="AU113" s="1030"/>
      <c r="AV113" s="1030"/>
      <c r="AW113" s="1030"/>
      <c r="AX113" s="1030"/>
      <c r="AY113" s="1030"/>
      <c r="AZ113" s="1030"/>
      <c r="BA113" s="1030"/>
      <c r="BB113" s="1030"/>
      <c r="BC113" s="1030"/>
      <c r="BD113" s="1030"/>
      <c r="BE113" s="1030"/>
      <c r="BF113" s="1030"/>
      <c r="BG113" s="1030"/>
      <c r="BH113" s="1030"/>
      <c r="BI113" s="1030"/>
      <c r="BJ113" s="1030"/>
    </row>
    <row r="114" spans="2:64" hidden="1" outlineLevel="1">
      <c r="B114" s="812" t="s">
        <v>142</v>
      </c>
      <c r="C114" s="899"/>
      <c r="D114" s="899"/>
      <c r="E114" s="899"/>
      <c r="F114" s="899"/>
      <c r="G114" s="899"/>
      <c r="H114" s="899"/>
      <c r="I114" s="899"/>
      <c r="J114" s="899"/>
      <c r="K114" s="900"/>
      <c r="L114" s="899"/>
      <c r="M114" s="899"/>
      <c r="N114" s="899"/>
      <c r="O114" s="899"/>
      <c r="P114" s="899"/>
      <c r="Q114" s="899"/>
      <c r="R114" s="899"/>
      <c r="S114" s="899"/>
      <c r="T114" s="899"/>
      <c r="U114" s="899"/>
      <c r="V114" s="899"/>
      <c r="W114" s="899"/>
      <c r="X114" s="899"/>
      <c r="Y114" s="899"/>
      <c r="Z114" s="899"/>
      <c r="AA114" s="899"/>
      <c r="AB114" s="899"/>
      <c r="AC114" s="901"/>
      <c r="AD114" s="899"/>
      <c r="AE114" s="899"/>
      <c r="AF114" s="899"/>
      <c r="AG114" s="899"/>
      <c r="AH114" s="899"/>
      <c r="AI114" s="899"/>
      <c r="AJ114" s="899"/>
      <c r="AK114" s="899"/>
      <c r="AL114" s="899"/>
      <c r="AM114" s="899"/>
      <c r="AN114" s="899"/>
      <c r="AO114" s="899"/>
      <c r="AP114" s="899"/>
      <c r="AQ114" s="899"/>
      <c r="AR114" s="899"/>
      <c r="AS114" s="899"/>
      <c r="AT114" s="899"/>
      <c r="AU114" s="899"/>
      <c r="AV114" s="899"/>
      <c r="AW114" s="899"/>
      <c r="AX114" s="899"/>
      <c r="AY114" s="899"/>
      <c r="AZ114" s="899"/>
      <c r="BA114" s="899"/>
      <c r="BB114" s="899"/>
      <c r="BC114" s="899"/>
      <c r="BD114" s="899"/>
      <c r="BE114" s="899"/>
      <c r="BF114" s="899"/>
      <c r="BG114" s="899"/>
      <c r="BH114" s="899"/>
      <c r="BI114" s="899"/>
      <c r="BJ114" s="899"/>
    </row>
    <row r="115" spans="2:64" hidden="1" outlineLevel="1">
      <c r="B115" s="1033" t="s">
        <v>37</v>
      </c>
      <c r="C115" s="899"/>
      <c r="D115" s="899"/>
      <c r="E115" s="1034"/>
      <c r="F115" s="899"/>
      <c r="G115" s="899"/>
      <c r="H115" s="1034"/>
      <c r="I115" s="899"/>
      <c r="J115" s="899"/>
      <c r="K115" s="1035"/>
      <c r="L115" s="899"/>
      <c r="M115" s="899"/>
      <c r="N115" s="1034"/>
      <c r="O115" s="1034"/>
      <c r="P115" s="1034"/>
      <c r="Q115" s="1034"/>
      <c r="R115" s="1034"/>
      <c r="S115" s="1034"/>
      <c r="T115" s="1034"/>
      <c r="U115" s="899"/>
      <c r="V115" s="899"/>
      <c r="W115" s="1034"/>
      <c r="X115" s="899"/>
      <c r="Y115" s="899"/>
      <c r="Z115" s="1034"/>
      <c r="AA115" s="899"/>
      <c r="AB115" s="899"/>
      <c r="AC115" s="1152"/>
      <c r="AD115" s="899"/>
      <c r="AE115" s="899"/>
      <c r="AF115" s="1034"/>
      <c r="AG115" s="899"/>
      <c r="AH115" s="899"/>
      <c r="AI115" s="1034"/>
      <c r="AJ115" s="1034"/>
      <c r="AK115" s="1034"/>
      <c r="AL115" s="1034"/>
      <c r="AM115" s="1034"/>
      <c r="AN115" s="1034"/>
      <c r="AO115" s="1034"/>
      <c r="AP115" s="1034"/>
      <c r="AQ115" s="1034"/>
      <c r="AR115" s="1034"/>
      <c r="AS115" s="1034"/>
      <c r="AT115" s="1034"/>
      <c r="AU115" s="1034"/>
      <c r="AV115" s="1034"/>
      <c r="AW115" s="1034"/>
      <c r="AX115" s="1034"/>
      <c r="AY115" s="1034"/>
      <c r="AZ115" s="1034"/>
      <c r="BA115" s="1034"/>
      <c r="BB115" s="1034"/>
      <c r="BC115" s="1034"/>
      <c r="BD115" s="1034"/>
      <c r="BE115" s="1034"/>
      <c r="BF115" s="1034"/>
      <c r="BG115" s="1034"/>
      <c r="BH115" s="1034"/>
      <c r="BI115" s="1034"/>
      <c r="BJ115" s="1034"/>
    </row>
    <row r="116" spans="2:64" hidden="1" outlineLevel="1">
      <c r="B116" s="812" t="s">
        <v>175</v>
      </c>
      <c r="C116" s="834"/>
      <c r="D116" s="834"/>
      <c r="E116" s="834"/>
      <c r="F116" s="834"/>
      <c r="G116" s="834"/>
      <c r="H116" s="834"/>
      <c r="I116" s="834"/>
      <c r="J116" s="834"/>
      <c r="K116" s="835"/>
      <c r="L116" s="834"/>
      <c r="M116" s="834"/>
      <c r="N116" s="834"/>
      <c r="O116" s="834"/>
      <c r="P116" s="834"/>
      <c r="Q116" s="834"/>
      <c r="R116" s="834"/>
      <c r="S116" s="834"/>
      <c r="T116" s="834"/>
      <c r="U116" s="834"/>
      <c r="V116" s="834"/>
      <c r="W116" s="834"/>
      <c r="X116" s="834"/>
      <c r="Y116" s="834"/>
      <c r="Z116" s="834"/>
      <c r="AA116" s="834"/>
      <c r="AB116" s="834"/>
      <c r="AC116" s="836"/>
      <c r="AD116" s="834"/>
      <c r="AE116" s="834"/>
      <c r="AF116" s="834"/>
      <c r="AG116" s="834"/>
      <c r="AH116" s="834"/>
      <c r="AI116" s="834"/>
      <c r="AJ116" s="834"/>
      <c r="AK116" s="834"/>
      <c r="AL116" s="834"/>
      <c r="AM116" s="834"/>
      <c r="AN116" s="834"/>
      <c r="AO116" s="834"/>
      <c r="AP116" s="834"/>
      <c r="AQ116" s="834"/>
      <c r="AR116" s="834"/>
      <c r="AS116" s="834"/>
      <c r="AT116" s="834"/>
      <c r="AU116" s="834"/>
      <c r="AV116" s="834"/>
      <c r="AW116" s="834"/>
      <c r="AX116" s="834"/>
      <c r="AY116" s="834"/>
      <c r="AZ116" s="834"/>
      <c r="BA116" s="834"/>
      <c r="BB116" s="834"/>
      <c r="BC116" s="834"/>
      <c r="BD116" s="834"/>
      <c r="BE116" s="834"/>
      <c r="BF116" s="834"/>
      <c r="BG116" s="834"/>
      <c r="BH116" s="834"/>
      <c r="BI116" s="834"/>
      <c r="BJ116" s="834"/>
    </row>
    <row r="117" spans="2:64" hidden="1" outlineLevel="1">
      <c r="B117" s="812" t="s">
        <v>37</v>
      </c>
      <c r="C117" s="830"/>
      <c r="D117" s="830"/>
      <c r="E117" s="958"/>
      <c r="F117" s="830"/>
      <c r="G117" s="830"/>
      <c r="H117" s="958"/>
      <c r="I117" s="830"/>
      <c r="J117" s="830"/>
      <c r="K117" s="960"/>
      <c r="L117" s="830"/>
      <c r="M117" s="830"/>
      <c r="N117" s="958"/>
      <c r="O117" s="958"/>
      <c r="P117" s="958"/>
      <c r="Q117" s="958"/>
      <c r="R117" s="958"/>
      <c r="S117" s="958"/>
      <c r="T117" s="958"/>
      <c r="U117" s="830"/>
      <c r="V117" s="830"/>
      <c r="W117" s="958"/>
      <c r="X117" s="830"/>
      <c r="Y117" s="830"/>
      <c r="Z117" s="958"/>
      <c r="AA117" s="830"/>
      <c r="AB117" s="830"/>
      <c r="AC117" s="1200"/>
      <c r="AD117" s="830"/>
      <c r="AE117" s="830"/>
      <c r="AF117" s="958"/>
      <c r="AG117" s="830"/>
      <c r="AH117" s="830"/>
      <c r="AI117" s="958"/>
      <c r="AJ117" s="958"/>
      <c r="AK117" s="958"/>
      <c r="AL117" s="958"/>
      <c r="AM117" s="958"/>
      <c r="AN117" s="958"/>
      <c r="AO117" s="958"/>
      <c r="AP117" s="958"/>
      <c r="AQ117" s="958"/>
      <c r="AR117" s="958"/>
      <c r="AS117" s="958"/>
      <c r="AT117" s="958"/>
      <c r="AU117" s="958"/>
      <c r="AV117" s="958"/>
      <c r="AW117" s="958"/>
      <c r="AX117" s="958"/>
      <c r="AY117" s="958"/>
      <c r="AZ117" s="958"/>
      <c r="BA117" s="958"/>
      <c r="BB117" s="958"/>
      <c r="BC117" s="958"/>
      <c r="BD117" s="958"/>
      <c r="BE117" s="958"/>
      <c r="BF117" s="958"/>
      <c r="BG117" s="958"/>
      <c r="BH117" s="958"/>
      <c r="BI117" s="958"/>
      <c r="BJ117" s="958"/>
    </row>
    <row r="118" spans="2:64" hidden="1" outlineLevel="1">
      <c r="B118" s="828" t="s">
        <v>38</v>
      </c>
      <c r="C118" s="887"/>
      <c r="D118" s="887"/>
      <c r="E118" s="887"/>
      <c r="F118" s="887"/>
      <c r="G118" s="887"/>
      <c r="H118" s="887"/>
      <c r="I118" s="887"/>
      <c r="J118" s="887"/>
      <c r="K118" s="888"/>
      <c r="L118" s="887"/>
      <c r="M118" s="887"/>
      <c r="N118" s="887"/>
      <c r="O118" s="887"/>
      <c r="P118" s="887"/>
      <c r="Q118" s="887"/>
      <c r="R118" s="887"/>
      <c r="S118" s="887"/>
      <c r="T118" s="887"/>
      <c r="U118" s="887"/>
      <c r="V118" s="887"/>
      <c r="W118" s="887"/>
      <c r="X118" s="887"/>
      <c r="Y118" s="887"/>
      <c r="Z118" s="887"/>
      <c r="AA118" s="887"/>
      <c r="AB118" s="887"/>
      <c r="AC118" s="889"/>
      <c r="AD118" s="887"/>
      <c r="AE118" s="887"/>
      <c r="AF118" s="887"/>
      <c r="AG118" s="887"/>
      <c r="AH118" s="887"/>
      <c r="AI118" s="887"/>
      <c r="AJ118" s="887"/>
      <c r="AK118" s="887"/>
      <c r="AL118" s="887"/>
      <c r="AM118" s="887"/>
      <c r="AN118" s="887"/>
      <c r="AO118" s="887"/>
      <c r="AP118" s="887"/>
      <c r="AQ118" s="887"/>
      <c r="AR118" s="887"/>
      <c r="AS118" s="887"/>
      <c r="AT118" s="887"/>
      <c r="AU118" s="887"/>
      <c r="AV118" s="887"/>
      <c r="AW118" s="887"/>
      <c r="AX118" s="887"/>
      <c r="AY118" s="887"/>
      <c r="AZ118" s="887"/>
      <c r="BA118" s="887"/>
      <c r="BB118" s="887"/>
      <c r="BC118" s="887"/>
      <c r="BD118" s="887"/>
      <c r="BE118" s="887"/>
      <c r="BF118" s="887"/>
      <c r="BG118" s="887"/>
      <c r="BH118" s="887"/>
      <c r="BI118" s="887"/>
      <c r="BJ118" s="887"/>
    </row>
    <row r="119" spans="2:64" hidden="1" outlineLevel="1">
      <c r="B119" s="812" t="s">
        <v>37</v>
      </c>
      <c r="C119" s="830"/>
      <c r="D119" s="830"/>
      <c r="E119" s="1037"/>
      <c r="F119" s="830"/>
      <c r="G119" s="830"/>
      <c r="H119" s="1037"/>
      <c r="I119" s="830"/>
      <c r="J119" s="830"/>
      <c r="K119" s="1038"/>
      <c r="L119" s="830"/>
      <c r="M119" s="830"/>
      <c r="N119" s="1037"/>
      <c r="O119" s="1037"/>
      <c r="P119" s="1037"/>
      <c r="Q119" s="1037"/>
      <c r="R119" s="1037"/>
      <c r="S119" s="1037"/>
      <c r="T119" s="1037"/>
      <c r="U119" s="830"/>
      <c r="V119" s="830"/>
      <c r="W119" s="1037"/>
      <c r="X119" s="830"/>
      <c r="Y119" s="830"/>
      <c r="Z119" s="1037"/>
      <c r="AA119" s="830"/>
      <c r="AB119" s="830"/>
      <c r="AC119" s="1066"/>
      <c r="AD119" s="830"/>
      <c r="AE119" s="830"/>
      <c r="AF119" s="1037"/>
      <c r="AG119" s="830"/>
      <c r="AH119" s="830"/>
      <c r="AI119" s="1037"/>
      <c r="AJ119" s="1037"/>
      <c r="AK119" s="1037"/>
      <c r="AL119" s="1037"/>
      <c r="AM119" s="1037"/>
      <c r="AN119" s="1037"/>
      <c r="AO119" s="1037"/>
      <c r="AP119" s="1037"/>
      <c r="AQ119" s="1037"/>
      <c r="AR119" s="1037"/>
      <c r="AS119" s="1037"/>
      <c r="AT119" s="1037"/>
      <c r="AU119" s="1037"/>
      <c r="AV119" s="1037"/>
      <c r="AW119" s="1037"/>
      <c r="AX119" s="1037"/>
      <c r="AY119" s="1037"/>
      <c r="AZ119" s="1037"/>
      <c r="BA119" s="1037"/>
      <c r="BB119" s="1037"/>
      <c r="BC119" s="1037"/>
      <c r="BD119" s="1037"/>
      <c r="BE119" s="1037"/>
      <c r="BF119" s="1037"/>
      <c r="BG119" s="1037"/>
      <c r="BH119" s="1037"/>
      <c r="BI119" s="1037"/>
      <c r="BJ119" s="1037"/>
    </row>
    <row r="120" spans="2:64" hidden="1" outlineLevel="1">
      <c r="B120" s="828"/>
      <c r="C120" s="834"/>
      <c r="D120" s="834"/>
      <c r="F120" s="834"/>
      <c r="G120" s="834"/>
      <c r="I120" s="834"/>
      <c r="J120" s="834"/>
      <c r="L120" s="834"/>
      <c r="M120" s="834"/>
      <c r="U120" s="834"/>
      <c r="V120" s="834"/>
      <c r="X120" s="834"/>
      <c r="Y120" s="834"/>
      <c r="AA120" s="834"/>
      <c r="AB120" s="834"/>
      <c r="AD120" s="834"/>
      <c r="AE120" s="834"/>
      <c r="AG120" s="834"/>
      <c r="AH120" s="834"/>
    </row>
    <row r="121" spans="2:64" s="950" customFormat="1" hidden="1" outlineLevel="1">
      <c r="B121" s="942" t="s">
        <v>153</v>
      </c>
      <c r="C121" s="902"/>
      <c r="D121" s="902"/>
      <c r="E121" s="958"/>
      <c r="F121" s="902"/>
      <c r="G121" s="902"/>
      <c r="H121" s="958"/>
      <c r="I121" s="902"/>
      <c r="J121" s="902"/>
      <c r="K121" s="960"/>
      <c r="L121" s="902"/>
      <c r="M121" s="902"/>
      <c r="N121" s="958"/>
      <c r="O121" s="958"/>
      <c r="P121" s="958"/>
      <c r="Q121" s="958"/>
      <c r="R121" s="958"/>
      <c r="S121" s="958"/>
      <c r="T121" s="958"/>
      <c r="U121" s="902"/>
      <c r="V121" s="902"/>
      <c r="W121" s="958"/>
      <c r="X121" s="902"/>
      <c r="Y121" s="902"/>
      <c r="Z121" s="958"/>
      <c r="AA121" s="902"/>
      <c r="AB121" s="902"/>
      <c r="AC121" s="1200"/>
      <c r="AD121" s="902"/>
      <c r="AE121" s="902"/>
      <c r="AF121" s="958"/>
      <c r="AG121" s="902"/>
      <c r="AH121" s="902"/>
      <c r="AI121" s="958"/>
      <c r="AJ121" s="958"/>
      <c r="AK121" s="958"/>
      <c r="AL121" s="958"/>
      <c r="AM121" s="958"/>
      <c r="AN121" s="958"/>
      <c r="AO121" s="958"/>
      <c r="AP121" s="958"/>
      <c r="AQ121" s="958"/>
      <c r="AR121" s="958"/>
      <c r="AS121" s="958"/>
      <c r="AT121" s="958"/>
      <c r="AU121" s="958"/>
      <c r="AV121" s="958"/>
      <c r="AW121" s="958"/>
      <c r="AX121" s="958"/>
      <c r="AY121" s="958"/>
      <c r="AZ121" s="958"/>
      <c r="BA121" s="958"/>
      <c r="BB121" s="958"/>
      <c r="BC121" s="958"/>
      <c r="BD121" s="958"/>
      <c r="BE121" s="958"/>
      <c r="BF121" s="958"/>
      <c r="BG121" s="958"/>
      <c r="BH121" s="958"/>
      <c r="BI121" s="958"/>
      <c r="BJ121" s="958"/>
      <c r="BK121" s="1039"/>
      <c r="BL121" s="1040"/>
    </row>
    <row r="122" spans="2:64" hidden="1" outlineLevel="1">
      <c r="B122" s="950" t="s">
        <v>148</v>
      </c>
      <c r="C122" s="834"/>
      <c r="D122" s="834"/>
      <c r="E122" s="902"/>
      <c r="F122" s="834"/>
      <c r="G122" s="834"/>
      <c r="H122" s="902"/>
      <c r="I122" s="834"/>
      <c r="J122" s="834"/>
      <c r="K122" s="904"/>
      <c r="L122" s="834"/>
      <c r="M122" s="834"/>
      <c r="N122" s="902"/>
      <c r="O122" s="902"/>
      <c r="P122" s="902"/>
      <c r="Q122" s="902"/>
      <c r="R122" s="902"/>
      <c r="S122" s="902"/>
      <c r="T122" s="902"/>
      <c r="U122" s="834"/>
      <c r="V122" s="834"/>
      <c r="W122" s="902"/>
      <c r="X122" s="834"/>
      <c r="Y122" s="834"/>
      <c r="Z122" s="902"/>
      <c r="AA122" s="834"/>
      <c r="AB122" s="834"/>
      <c r="AC122" s="905"/>
      <c r="AD122" s="834"/>
      <c r="AE122" s="834"/>
      <c r="AF122" s="902"/>
      <c r="AG122" s="834"/>
      <c r="AH122" s="834"/>
      <c r="AI122" s="902"/>
      <c r="AJ122" s="902"/>
      <c r="AK122" s="902"/>
      <c r="AL122" s="902"/>
      <c r="AM122" s="902"/>
      <c r="AN122" s="902"/>
      <c r="AO122" s="902"/>
      <c r="AP122" s="902"/>
      <c r="AQ122" s="902"/>
      <c r="AR122" s="902"/>
      <c r="AS122" s="902"/>
      <c r="AT122" s="902"/>
      <c r="AU122" s="902"/>
      <c r="AV122" s="902"/>
      <c r="AW122" s="902"/>
      <c r="AX122" s="902"/>
      <c r="AY122" s="902"/>
      <c r="AZ122" s="902"/>
      <c r="BA122" s="902"/>
      <c r="BB122" s="902"/>
      <c r="BC122" s="902"/>
      <c r="BD122" s="902"/>
      <c r="BE122" s="902"/>
      <c r="BF122" s="902"/>
      <c r="BG122" s="902"/>
      <c r="BH122" s="902"/>
      <c r="BI122" s="902"/>
      <c r="BJ122" s="902"/>
    </row>
    <row r="123" spans="2:64" hidden="1" outlineLevel="1">
      <c r="B123" s="950" t="s">
        <v>149</v>
      </c>
      <c r="C123" s="834"/>
      <c r="D123" s="834"/>
      <c r="E123" s="902"/>
      <c r="F123" s="834"/>
      <c r="G123" s="834"/>
      <c r="H123" s="902"/>
      <c r="I123" s="834"/>
      <c r="J123" s="834"/>
      <c r="K123" s="904"/>
      <c r="L123" s="834"/>
      <c r="M123" s="834"/>
      <c r="N123" s="902"/>
      <c r="O123" s="902"/>
      <c r="P123" s="902"/>
      <c r="Q123" s="902"/>
      <c r="R123" s="902"/>
      <c r="S123" s="902"/>
      <c r="T123" s="902"/>
      <c r="U123" s="834"/>
      <c r="V123" s="834"/>
      <c r="W123" s="902"/>
      <c r="X123" s="834"/>
      <c r="Y123" s="834"/>
      <c r="Z123" s="902"/>
      <c r="AA123" s="834"/>
      <c r="AB123" s="834"/>
      <c r="AC123" s="905"/>
      <c r="AD123" s="834"/>
      <c r="AE123" s="834"/>
      <c r="AF123" s="902"/>
      <c r="AG123" s="834"/>
      <c r="AH123" s="834"/>
      <c r="AI123" s="902"/>
      <c r="AJ123" s="902"/>
      <c r="AK123" s="902"/>
      <c r="AL123" s="902"/>
      <c r="AM123" s="902"/>
      <c r="AN123" s="902"/>
      <c r="AO123" s="902"/>
      <c r="AP123" s="902"/>
      <c r="AQ123" s="902"/>
      <c r="AR123" s="902"/>
      <c r="AS123" s="902"/>
      <c r="AT123" s="902"/>
      <c r="AU123" s="902"/>
      <c r="AV123" s="902"/>
      <c r="AW123" s="902"/>
      <c r="AX123" s="902"/>
      <c r="AY123" s="902"/>
      <c r="AZ123" s="902"/>
      <c r="BA123" s="902"/>
      <c r="BB123" s="902"/>
      <c r="BC123" s="902"/>
      <c r="BD123" s="902"/>
      <c r="BE123" s="902"/>
      <c r="BF123" s="902"/>
      <c r="BG123" s="902"/>
      <c r="BH123" s="902"/>
      <c r="BI123" s="902"/>
      <c r="BJ123" s="902"/>
    </row>
    <row r="124" spans="2:64" hidden="1" outlineLevel="1">
      <c r="B124" s="828"/>
      <c r="C124" s="834"/>
      <c r="D124" s="834"/>
      <c r="F124" s="834"/>
      <c r="G124" s="834"/>
      <c r="I124" s="834"/>
      <c r="J124" s="834"/>
      <c r="L124" s="834"/>
      <c r="M124" s="834"/>
      <c r="U124" s="834"/>
      <c r="V124" s="834"/>
      <c r="X124" s="834"/>
      <c r="Y124" s="834"/>
      <c r="AA124" s="834"/>
      <c r="AB124" s="834"/>
      <c r="AD124" s="834"/>
      <c r="AE124" s="834"/>
      <c r="AG124" s="834"/>
      <c r="AH124" s="834"/>
    </row>
    <row r="125" spans="2:64" hidden="1" outlineLevel="1">
      <c r="B125" s="828" t="s">
        <v>155</v>
      </c>
      <c r="C125" s="834"/>
      <c r="D125" s="834"/>
      <c r="E125" s="834"/>
      <c r="F125" s="834"/>
      <c r="G125" s="834"/>
      <c r="H125" s="834"/>
      <c r="I125" s="834"/>
      <c r="J125" s="834"/>
      <c r="K125" s="835"/>
      <c r="L125" s="834"/>
      <c r="M125" s="834"/>
      <c r="N125" s="834"/>
      <c r="O125" s="834"/>
      <c r="P125" s="834"/>
      <c r="Q125" s="834"/>
      <c r="R125" s="834"/>
      <c r="S125" s="834"/>
      <c r="T125" s="834"/>
      <c r="U125" s="834"/>
      <c r="V125" s="834"/>
      <c r="W125" s="834"/>
      <c r="X125" s="834"/>
      <c r="Y125" s="834"/>
      <c r="Z125" s="834"/>
      <c r="AA125" s="834"/>
      <c r="AB125" s="834"/>
      <c r="AC125" s="836"/>
      <c r="AD125" s="834"/>
      <c r="AE125" s="834"/>
      <c r="AF125" s="834"/>
      <c r="AG125" s="834"/>
      <c r="AH125" s="834"/>
      <c r="AI125" s="834"/>
      <c r="AJ125" s="834"/>
      <c r="AK125" s="834"/>
      <c r="AL125" s="834"/>
      <c r="AM125" s="834"/>
      <c r="AN125" s="834"/>
      <c r="AO125" s="834"/>
      <c r="AP125" s="834"/>
      <c r="AQ125" s="834"/>
      <c r="AR125" s="834"/>
      <c r="AS125" s="834"/>
      <c r="AT125" s="834"/>
      <c r="AU125" s="834"/>
      <c r="AV125" s="834"/>
      <c r="AW125" s="834"/>
      <c r="AX125" s="834"/>
      <c r="AY125" s="834"/>
      <c r="AZ125" s="834"/>
      <c r="BA125" s="834"/>
      <c r="BB125" s="834"/>
      <c r="BC125" s="834"/>
      <c r="BD125" s="834"/>
      <c r="BE125" s="834"/>
      <c r="BF125" s="834"/>
      <c r="BG125" s="834"/>
      <c r="BH125" s="834"/>
      <c r="BI125" s="834"/>
      <c r="BJ125" s="834"/>
    </row>
    <row r="126" spans="2:64" s="950" customFormat="1" hidden="1" outlineLevel="1">
      <c r="B126" s="950" t="s">
        <v>158</v>
      </c>
      <c r="C126" s="902"/>
      <c r="D126" s="902"/>
      <c r="E126" s="958"/>
      <c r="F126" s="902"/>
      <c r="G126" s="902"/>
      <c r="H126" s="958"/>
      <c r="I126" s="902"/>
      <c r="J126" s="902"/>
      <c r="K126" s="960"/>
      <c r="L126" s="902"/>
      <c r="M126" s="902"/>
      <c r="N126" s="958"/>
      <c r="O126" s="958"/>
      <c r="P126" s="958"/>
      <c r="Q126" s="958"/>
      <c r="R126" s="958"/>
      <c r="S126" s="958"/>
      <c r="T126" s="958"/>
      <c r="U126" s="902"/>
      <c r="V126" s="902"/>
      <c r="W126" s="958"/>
      <c r="X126" s="902"/>
      <c r="Y126" s="902"/>
      <c r="Z126" s="958"/>
      <c r="AA126" s="902"/>
      <c r="AB126" s="902"/>
      <c r="AC126" s="1200"/>
      <c r="AD126" s="902"/>
      <c r="AE126" s="902"/>
      <c r="AF126" s="958"/>
      <c r="AG126" s="902"/>
      <c r="AH126" s="902"/>
      <c r="AI126" s="958"/>
      <c r="AJ126" s="958"/>
      <c r="AK126" s="958"/>
      <c r="AL126" s="958"/>
      <c r="AM126" s="958"/>
      <c r="AN126" s="958"/>
      <c r="AO126" s="958"/>
      <c r="AP126" s="958"/>
      <c r="AQ126" s="958"/>
      <c r="AR126" s="958"/>
      <c r="AS126" s="958"/>
      <c r="AT126" s="958"/>
      <c r="AU126" s="958"/>
      <c r="AV126" s="958"/>
      <c r="AW126" s="958"/>
      <c r="AX126" s="958"/>
      <c r="AY126" s="958"/>
      <c r="AZ126" s="958"/>
      <c r="BA126" s="958"/>
      <c r="BB126" s="958"/>
      <c r="BC126" s="958"/>
      <c r="BD126" s="958"/>
      <c r="BE126" s="958"/>
      <c r="BF126" s="958"/>
      <c r="BG126" s="958"/>
      <c r="BH126" s="958"/>
      <c r="BI126" s="958"/>
      <c r="BJ126" s="958"/>
      <c r="BK126" s="1039"/>
      <c r="BL126" s="1040"/>
    </row>
    <row r="127" spans="2:64" s="950" customFormat="1" hidden="1" outlineLevel="1">
      <c r="B127" s="942"/>
      <c r="C127" s="959"/>
      <c r="D127" s="959"/>
      <c r="E127" s="958"/>
      <c r="F127" s="959"/>
      <c r="G127" s="959"/>
      <c r="H127" s="958"/>
      <c r="I127" s="959"/>
      <c r="J127" s="959"/>
      <c r="K127" s="960"/>
      <c r="L127" s="959"/>
      <c r="M127" s="959"/>
      <c r="N127" s="958"/>
      <c r="O127" s="958"/>
      <c r="P127" s="958"/>
      <c r="Q127" s="958"/>
      <c r="R127" s="958"/>
      <c r="S127" s="958"/>
      <c r="T127" s="958"/>
      <c r="U127" s="959"/>
      <c r="V127" s="959"/>
      <c r="W127" s="958"/>
      <c r="X127" s="959"/>
      <c r="Y127" s="959"/>
      <c r="Z127" s="958"/>
      <c r="AA127" s="959"/>
      <c r="AB127" s="959"/>
      <c r="AC127" s="1200"/>
      <c r="AD127" s="959"/>
      <c r="AE127" s="959"/>
      <c r="AF127" s="958"/>
      <c r="AG127" s="959"/>
      <c r="AH127" s="959"/>
      <c r="AI127" s="958"/>
      <c r="AJ127" s="958"/>
      <c r="AK127" s="958"/>
      <c r="AL127" s="958"/>
      <c r="AM127" s="958"/>
      <c r="AN127" s="958"/>
      <c r="AO127" s="958"/>
      <c r="AP127" s="958"/>
      <c r="AQ127" s="958"/>
      <c r="AR127" s="958"/>
      <c r="AS127" s="958"/>
      <c r="AT127" s="958"/>
      <c r="AU127" s="958"/>
      <c r="AV127" s="958"/>
      <c r="AW127" s="958"/>
      <c r="AX127" s="958"/>
      <c r="AY127" s="958"/>
      <c r="AZ127" s="958"/>
      <c r="BA127" s="958"/>
      <c r="BB127" s="958"/>
      <c r="BC127" s="958"/>
      <c r="BD127" s="958"/>
      <c r="BE127" s="958"/>
      <c r="BF127" s="958"/>
      <c r="BG127" s="958"/>
      <c r="BH127" s="958"/>
      <c r="BI127" s="958"/>
      <c r="BJ127" s="958"/>
      <c r="BK127" s="1039"/>
      <c r="BL127" s="1040"/>
    </row>
    <row r="128" spans="2:64" s="950" customFormat="1" hidden="1" outlineLevel="1">
      <c r="B128" s="828" t="s">
        <v>83</v>
      </c>
      <c r="C128" s="834"/>
      <c r="D128" s="834"/>
      <c r="E128" s="834"/>
      <c r="F128" s="834"/>
      <c r="G128" s="834"/>
      <c r="H128" s="834"/>
      <c r="I128" s="834"/>
      <c r="J128" s="834"/>
      <c r="K128" s="835"/>
      <c r="L128" s="834"/>
      <c r="M128" s="834"/>
      <c r="N128" s="834"/>
      <c r="O128" s="834"/>
      <c r="P128" s="834"/>
      <c r="Q128" s="834"/>
      <c r="R128" s="834"/>
      <c r="S128" s="834"/>
      <c r="T128" s="834"/>
      <c r="U128" s="834"/>
      <c r="V128" s="834"/>
      <c r="W128" s="834"/>
      <c r="X128" s="834"/>
      <c r="Y128" s="834"/>
      <c r="Z128" s="834"/>
      <c r="AA128" s="834"/>
      <c r="AB128" s="834"/>
      <c r="AC128" s="836"/>
      <c r="AD128" s="834"/>
      <c r="AE128" s="834"/>
      <c r="AF128" s="834"/>
      <c r="AG128" s="834"/>
      <c r="AH128" s="834"/>
      <c r="AI128" s="834"/>
      <c r="AJ128" s="834"/>
      <c r="AK128" s="834"/>
      <c r="AL128" s="834"/>
      <c r="AM128" s="834"/>
      <c r="AN128" s="834"/>
      <c r="AO128" s="834"/>
      <c r="AP128" s="834"/>
      <c r="AQ128" s="834"/>
      <c r="AR128" s="834"/>
      <c r="AS128" s="834"/>
      <c r="AT128" s="834"/>
      <c r="AU128" s="834"/>
      <c r="AV128" s="834"/>
      <c r="AW128" s="834"/>
      <c r="AX128" s="834"/>
      <c r="AY128" s="834"/>
      <c r="AZ128" s="834"/>
      <c r="BA128" s="834"/>
      <c r="BB128" s="834"/>
      <c r="BC128" s="834"/>
      <c r="BD128" s="834"/>
      <c r="BE128" s="834"/>
      <c r="BF128" s="834"/>
      <c r="BG128" s="834"/>
      <c r="BH128" s="834"/>
      <c r="BI128" s="834"/>
      <c r="BJ128" s="834"/>
      <c r="BK128" s="1039"/>
      <c r="BL128" s="1040"/>
    </row>
    <row r="129" spans="2:64" s="950" customFormat="1" hidden="1" outlineLevel="1">
      <c r="B129" s="812" t="s">
        <v>84</v>
      </c>
      <c r="C129" s="959"/>
      <c r="D129" s="959"/>
      <c r="E129" s="1041"/>
      <c r="F129" s="959"/>
      <c r="G129" s="959"/>
      <c r="H129" s="1041"/>
      <c r="I129" s="959"/>
      <c r="J129" s="959"/>
      <c r="K129" s="1042"/>
      <c r="L129" s="959"/>
      <c r="M129" s="959"/>
      <c r="N129" s="1041"/>
      <c r="O129" s="1041"/>
      <c r="P129" s="1041"/>
      <c r="Q129" s="1041"/>
      <c r="R129" s="1041"/>
      <c r="S129" s="1041"/>
      <c r="T129" s="1041"/>
      <c r="U129" s="959"/>
      <c r="V129" s="959"/>
      <c r="W129" s="1041"/>
      <c r="X129" s="959"/>
      <c r="Y129" s="959"/>
      <c r="Z129" s="1041"/>
      <c r="AA129" s="959"/>
      <c r="AB129" s="959"/>
      <c r="AC129" s="1357"/>
      <c r="AD129" s="959"/>
      <c r="AE129" s="959"/>
      <c r="AF129" s="1041"/>
      <c r="AG129" s="959"/>
      <c r="AH129" s="959"/>
      <c r="AI129" s="1041"/>
      <c r="AJ129" s="1041"/>
      <c r="AK129" s="1041"/>
      <c r="AL129" s="1041"/>
      <c r="AM129" s="1041"/>
      <c r="AN129" s="1041"/>
      <c r="AO129" s="1041"/>
      <c r="AP129" s="1041"/>
      <c r="AQ129" s="1041"/>
      <c r="AR129" s="1041"/>
      <c r="AS129" s="1041"/>
      <c r="AT129" s="1041"/>
      <c r="AU129" s="1041"/>
      <c r="AV129" s="1041"/>
      <c r="AW129" s="1041"/>
      <c r="AX129" s="1041"/>
      <c r="AY129" s="1041"/>
      <c r="AZ129" s="1041"/>
      <c r="BA129" s="1041"/>
      <c r="BB129" s="1041"/>
      <c r="BC129" s="1041"/>
      <c r="BD129" s="1041"/>
      <c r="BE129" s="1041"/>
      <c r="BF129" s="1041"/>
      <c r="BG129" s="1041"/>
      <c r="BH129" s="1041"/>
      <c r="BI129" s="1041"/>
      <c r="BJ129" s="1041"/>
      <c r="BK129" s="1039"/>
      <c r="BL129" s="1040"/>
    </row>
    <row r="130" spans="2:64" s="950" customFormat="1" hidden="1" outlineLevel="1">
      <c r="B130" s="812" t="s">
        <v>90</v>
      </c>
      <c r="C130" s="902"/>
      <c r="D130" s="902"/>
      <c r="E130" s="958"/>
      <c r="F130" s="902"/>
      <c r="G130" s="902"/>
      <c r="H130" s="958"/>
      <c r="I130" s="902"/>
      <c r="J130" s="902"/>
      <c r="K130" s="960"/>
      <c r="L130" s="902"/>
      <c r="M130" s="902"/>
      <c r="N130" s="958"/>
      <c r="O130" s="958"/>
      <c r="P130" s="958"/>
      <c r="Q130" s="958"/>
      <c r="R130" s="958"/>
      <c r="S130" s="958"/>
      <c r="T130" s="958"/>
      <c r="U130" s="902"/>
      <c r="V130" s="902"/>
      <c r="W130" s="958"/>
      <c r="X130" s="902"/>
      <c r="Y130" s="902"/>
      <c r="Z130" s="958"/>
      <c r="AA130" s="902"/>
      <c r="AB130" s="902"/>
      <c r="AC130" s="1200"/>
      <c r="AD130" s="902"/>
      <c r="AE130" s="902"/>
      <c r="AF130" s="958"/>
      <c r="AG130" s="902"/>
      <c r="AH130" s="902"/>
      <c r="AI130" s="958"/>
      <c r="AJ130" s="958"/>
      <c r="AK130" s="958"/>
      <c r="AL130" s="958"/>
      <c r="AM130" s="958"/>
      <c r="AN130" s="958"/>
      <c r="AO130" s="958"/>
      <c r="AP130" s="958"/>
      <c r="AQ130" s="958"/>
      <c r="AR130" s="958"/>
      <c r="AS130" s="958"/>
      <c r="AT130" s="958"/>
      <c r="AU130" s="958"/>
      <c r="AV130" s="958"/>
      <c r="AW130" s="958"/>
      <c r="AX130" s="958"/>
      <c r="AY130" s="958"/>
      <c r="AZ130" s="958"/>
      <c r="BA130" s="958"/>
      <c r="BB130" s="958"/>
      <c r="BC130" s="958"/>
      <c r="BD130" s="958"/>
      <c r="BE130" s="958"/>
      <c r="BF130" s="958"/>
      <c r="BG130" s="958"/>
      <c r="BH130" s="958"/>
      <c r="BI130" s="958"/>
      <c r="BJ130" s="958"/>
      <c r="BK130" s="1039"/>
      <c r="BL130" s="1040"/>
    </row>
    <row r="131" spans="2:64" s="950" customFormat="1" hidden="1" outlineLevel="1">
      <c r="B131" s="828"/>
      <c r="C131" s="959"/>
      <c r="D131" s="959"/>
      <c r="E131" s="902"/>
      <c r="F131" s="959"/>
      <c r="G131" s="959"/>
      <c r="H131" s="902"/>
      <c r="I131" s="959"/>
      <c r="J131" s="959"/>
      <c r="K131" s="904"/>
      <c r="L131" s="959"/>
      <c r="M131" s="959"/>
      <c r="N131" s="902"/>
      <c r="O131" s="902"/>
      <c r="P131" s="902"/>
      <c r="Q131" s="902"/>
      <c r="R131" s="902"/>
      <c r="S131" s="902"/>
      <c r="T131" s="902"/>
      <c r="U131" s="959"/>
      <c r="V131" s="959"/>
      <c r="W131" s="902"/>
      <c r="X131" s="959"/>
      <c r="Y131" s="959"/>
      <c r="Z131" s="902"/>
      <c r="AA131" s="959"/>
      <c r="AB131" s="959"/>
      <c r="AC131" s="905"/>
      <c r="AD131" s="959"/>
      <c r="AE131" s="959"/>
      <c r="AF131" s="902"/>
      <c r="AG131" s="959"/>
      <c r="AH131" s="959"/>
      <c r="AI131" s="902"/>
      <c r="AJ131" s="902"/>
      <c r="AK131" s="902"/>
      <c r="AL131" s="902"/>
      <c r="AM131" s="902"/>
      <c r="AN131" s="902"/>
      <c r="AO131" s="902"/>
      <c r="AP131" s="902"/>
      <c r="AQ131" s="902"/>
      <c r="AR131" s="902"/>
      <c r="AS131" s="902"/>
      <c r="AT131" s="902"/>
      <c r="AU131" s="902"/>
      <c r="AV131" s="902"/>
      <c r="AW131" s="902"/>
      <c r="AX131" s="902"/>
      <c r="AY131" s="902"/>
      <c r="AZ131" s="902"/>
      <c r="BA131" s="902"/>
      <c r="BB131" s="902"/>
      <c r="BC131" s="902"/>
      <c r="BD131" s="902"/>
      <c r="BE131" s="902"/>
      <c r="BF131" s="902"/>
      <c r="BG131" s="902"/>
      <c r="BH131" s="902"/>
      <c r="BI131" s="902"/>
      <c r="BJ131" s="902"/>
      <c r="BK131" s="1039"/>
      <c r="BL131" s="1040"/>
    </row>
    <row r="132" spans="2:64" s="839" customFormat="1" hidden="1" outlineLevel="1">
      <c r="B132" s="839" t="s">
        <v>88</v>
      </c>
      <c r="C132" s="1043"/>
      <c r="D132" s="1043"/>
      <c r="E132" s="834"/>
      <c r="F132" s="1043"/>
      <c r="G132" s="1043"/>
      <c r="H132" s="834"/>
      <c r="I132" s="1043"/>
      <c r="J132" s="1043"/>
      <c r="K132" s="835"/>
      <c r="L132" s="1043"/>
      <c r="M132" s="1043"/>
      <c r="N132" s="834"/>
      <c r="O132" s="834"/>
      <c r="P132" s="834"/>
      <c r="Q132" s="834"/>
      <c r="R132" s="834"/>
      <c r="S132" s="834"/>
      <c r="T132" s="834"/>
      <c r="U132" s="1043"/>
      <c r="V132" s="1043"/>
      <c r="W132" s="834"/>
      <c r="X132" s="1043"/>
      <c r="Y132" s="1043"/>
      <c r="Z132" s="834"/>
      <c r="AA132" s="1043"/>
      <c r="AB132" s="1043"/>
      <c r="AC132" s="836"/>
      <c r="AD132" s="1043"/>
      <c r="AE132" s="1043"/>
      <c r="AF132" s="834"/>
      <c r="AG132" s="1043"/>
      <c r="AH132" s="1043"/>
      <c r="AI132" s="834"/>
      <c r="AJ132" s="834"/>
      <c r="AK132" s="834"/>
      <c r="AL132" s="834"/>
      <c r="AM132" s="834"/>
      <c r="AN132" s="834"/>
      <c r="AO132" s="834"/>
      <c r="AP132" s="834"/>
      <c r="AQ132" s="834"/>
      <c r="AR132" s="834"/>
      <c r="AS132" s="834"/>
      <c r="AT132" s="834"/>
      <c r="AU132" s="834"/>
      <c r="AV132" s="834"/>
      <c r="AW132" s="834"/>
      <c r="AX132" s="834"/>
      <c r="AY132" s="834"/>
      <c r="AZ132" s="834"/>
      <c r="BA132" s="834"/>
      <c r="BB132" s="834"/>
      <c r="BC132" s="834"/>
      <c r="BD132" s="834"/>
      <c r="BE132" s="834"/>
      <c r="BF132" s="834"/>
      <c r="BG132" s="834"/>
      <c r="BH132" s="834"/>
      <c r="BI132" s="834"/>
      <c r="BJ132" s="834"/>
      <c r="BK132" s="864"/>
      <c r="BL132" s="865"/>
    </row>
    <row r="133" spans="2:64" s="828" customFormat="1" hidden="1" outlineLevel="1">
      <c r="B133" s="828" t="s">
        <v>89</v>
      </c>
      <c r="C133" s="1044"/>
      <c r="D133" s="1044"/>
      <c r="E133" s="1045"/>
      <c r="F133" s="1044"/>
      <c r="G133" s="1044"/>
      <c r="H133" s="1045"/>
      <c r="I133" s="1044"/>
      <c r="J133" s="1044"/>
      <c r="K133" s="1046"/>
      <c r="L133" s="1044"/>
      <c r="M133" s="1044"/>
      <c r="N133" s="1045"/>
      <c r="O133" s="1045"/>
      <c r="P133" s="1045"/>
      <c r="Q133" s="1045"/>
      <c r="R133" s="1045"/>
      <c r="S133" s="1045"/>
      <c r="T133" s="1045"/>
      <c r="U133" s="1044"/>
      <c r="V133" s="1044"/>
      <c r="W133" s="1045"/>
      <c r="X133" s="1044"/>
      <c r="Y133" s="1044"/>
      <c r="Z133" s="1045"/>
      <c r="AA133" s="1044"/>
      <c r="AB133" s="1044"/>
      <c r="AC133" s="1222"/>
      <c r="AD133" s="1044"/>
      <c r="AE133" s="1044"/>
      <c r="AF133" s="1045"/>
      <c r="AG133" s="1044"/>
      <c r="AH133" s="1044"/>
      <c r="AI133" s="1045"/>
      <c r="AJ133" s="1045"/>
      <c r="AK133" s="1045"/>
      <c r="AL133" s="1045"/>
      <c r="AM133" s="1045"/>
      <c r="AN133" s="1045"/>
      <c r="AO133" s="1045"/>
      <c r="AP133" s="1045"/>
      <c r="AQ133" s="1045"/>
      <c r="AR133" s="1045"/>
      <c r="AS133" s="1045"/>
      <c r="AT133" s="1045"/>
      <c r="AU133" s="1045"/>
      <c r="AV133" s="1045"/>
      <c r="AW133" s="1045"/>
      <c r="AX133" s="1045"/>
      <c r="AY133" s="1045"/>
      <c r="AZ133" s="1045"/>
      <c r="BA133" s="1045"/>
      <c r="BB133" s="1045"/>
      <c r="BC133" s="1045"/>
      <c r="BD133" s="1045"/>
      <c r="BE133" s="1045"/>
      <c r="BF133" s="1045"/>
      <c r="BG133" s="1045"/>
      <c r="BH133" s="1045"/>
      <c r="BI133" s="1045"/>
      <c r="BJ133" s="1045"/>
      <c r="BK133" s="810"/>
      <c r="BL133" s="811"/>
    </row>
    <row r="134" spans="2:64" s="950" customFormat="1" hidden="1" outlineLevel="1">
      <c r="B134" s="950" t="s">
        <v>86</v>
      </c>
      <c r="C134" s="959"/>
      <c r="D134" s="959"/>
      <c r="E134" s="902"/>
      <c r="F134" s="959"/>
      <c r="G134" s="959"/>
      <c r="H134" s="902"/>
      <c r="I134" s="959"/>
      <c r="J134" s="959"/>
      <c r="K134" s="904"/>
      <c r="L134" s="959"/>
      <c r="M134" s="959"/>
      <c r="N134" s="902"/>
      <c r="O134" s="902"/>
      <c r="P134" s="902"/>
      <c r="Q134" s="902"/>
      <c r="R134" s="902"/>
      <c r="S134" s="902"/>
      <c r="T134" s="902"/>
      <c r="U134" s="959"/>
      <c r="V134" s="959"/>
      <c r="W134" s="902"/>
      <c r="X134" s="959"/>
      <c r="Y134" s="959"/>
      <c r="Z134" s="902"/>
      <c r="AA134" s="959"/>
      <c r="AB134" s="959"/>
      <c r="AC134" s="905"/>
      <c r="AD134" s="959"/>
      <c r="AE134" s="959"/>
      <c r="AF134" s="902"/>
      <c r="AG134" s="959"/>
      <c r="AH134" s="959"/>
      <c r="AI134" s="902"/>
      <c r="AJ134" s="902"/>
      <c r="AK134" s="902"/>
      <c r="AL134" s="902"/>
      <c r="AM134" s="902"/>
      <c r="AN134" s="902"/>
      <c r="AO134" s="902"/>
      <c r="AP134" s="902"/>
      <c r="AQ134" s="902"/>
      <c r="AR134" s="902"/>
      <c r="AS134" s="902"/>
      <c r="AT134" s="902"/>
      <c r="AU134" s="902"/>
      <c r="AV134" s="902"/>
      <c r="AW134" s="902"/>
      <c r="AX134" s="902"/>
      <c r="AY134" s="902"/>
      <c r="AZ134" s="902"/>
      <c r="BA134" s="902"/>
      <c r="BB134" s="902"/>
      <c r="BC134" s="902"/>
      <c r="BD134" s="902"/>
      <c r="BE134" s="902"/>
      <c r="BF134" s="902"/>
      <c r="BG134" s="902"/>
      <c r="BH134" s="902"/>
      <c r="BI134" s="902"/>
      <c r="BJ134" s="902"/>
      <c r="BK134" s="1039"/>
      <c r="BL134" s="1040"/>
    </row>
    <row r="135" spans="2:64" s="942" customFormat="1" hidden="1" outlineLevel="1">
      <c r="B135" s="942" t="s">
        <v>85</v>
      </c>
      <c r="C135" s="951"/>
      <c r="D135" s="951"/>
      <c r="E135" s="951"/>
      <c r="F135" s="951"/>
      <c r="G135" s="951"/>
      <c r="H135" s="951"/>
      <c r="I135" s="951"/>
      <c r="J135" s="951"/>
      <c r="K135" s="952"/>
      <c r="L135" s="951"/>
      <c r="M135" s="951"/>
      <c r="N135" s="951"/>
      <c r="O135" s="951"/>
      <c r="P135" s="951"/>
      <c r="Q135" s="951"/>
      <c r="R135" s="951"/>
      <c r="S135" s="951"/>
      <c r="T135" s="951"/>
      <c r="U135" s="951"/>
      <c r="V135" s="951"/>
      <c r="W135" s="951"/>
      <c r="X135" s="951"/>
      <c r="Y135" s="951"/>
      <c r="Z135" s="951"/>
      <c r="AA135" s="951"/>
      <c r="AB135" s="951"/>
      <c r="AC135" s="953"/>
      <c r="AD135" s="951"/>
      <c r="AE135" s="951"/>
      <c r="AF135" s="951"/>
      <c r="AG135" s="951"/>
      <c r="AH135" s="951"/>
      <c r="AI135" s="951"/>
      <c r="AJ135" s="951"/>
      <c r="AK135" s="951"/>
      <c r="AL135" s="951"/>
      <c r="AM135" s="951"/>
      <c r="AN135" s="951"/>
      <c r="AO135" s="951"/>
      <c r="AP135" s="951"/>
      <c r="AQ135" s="951"/>
      <c r="AR135" s="951"/>
      <c r="AS135" s="951"/>
      <c r="AT135" s="951"/>
      <c r="AU135" s="951"/>
      <c r="AV135" s="951"/>
      <c r="AW135" s="951"/>
      <c r="AX135" s="951"/>
      <c r="AY135" s="951"/>
      <c r="AZ135" s="951"/>
      <c r="BA135" s="951"/>
      <c r="BB135" s="951"/>
      <c r="BC135" s="951"/>
      <c r="BD135" s="951"/>
      <c r="BE135" s="951"/>
      <c r="BF135" s="951"/>
      <c r="BG135" s="951"/>
      <c r="BH135" s="951"/>
      <c r="BI135" s="951"/>
      <c r="BJ135" s="951"/>
      <c r="BK135" s="1039"/>
      <c r="BL135" s="1040"/>
    </row>
    <row r="136" spans="2:64" hidden="1" outlineLevel="1">
      <c r="B136" s="828"/>
      <c r="C136" s="834"/>
      <c r="D136" s="834"/>
      <c r="F136" s="834"/>
      <c r="G136" s="834"/>
      <c r="I136" s="834"/>
      <c r="J136" s="834"/>
      <c r="L136" s="834"/>
      <c r="M136" s="834"/>
      <c r="U136" s="834"/>
      <c r="V136" s="834"/>
      <c r="X136" s="834"/>
      <c r="Y136" s="834"/>
      <c r="AA136" s="834"/>
      <c r="AB136" s="834"/>
      <c r="AD136" s="834"/>
      <c r="AE136" s="834"/>
      <c r="AG136" s="834"/>
      <c r="AH136" s="834"/>
    </row>
    <row r="137" spans="2:64" hidden="1" outlineLevel="1">
      <c r="B137" s="828" t="s">
        <v>75</v>
      </c>
      <c r="C137" s="834"/>
      <c r="D137" s="834"/>
      <c r="F137" s="834"/>
      <c r="G137" s="834"/>
      <c r="I137" s="834"/>
      <c r="J137" s="834"/>
      <c r="L137" s="834"/>
      <c r="M137" s="834"/>
      <c r="U137" s="834"/>
      <c r="V137" s="834"/>
      <c r="X137" s="834"/>
      <c r="Y137" s="834"/>
      <c r="AA137" s="834"/>
      <c r="AB137" s="834"/>
      <c r="AD137" s="834"/>
      <c r="AE137" s="834"/>
      <c r="AG137" s="834"/>
      <c r="AH137" s="834"/>
    </row>
    <row r="138" spans="2:64" hidden="1" outlineLevel="1">
      <c r="B138" s="812" t="s">
        <v>154</v>
      </c>
      <c r="C138" s="834"/>
      <c r="D138" s="834"/>
      <c r="F138" s="834"/>
      <c r="G138" s="834"/>
      <c r="I138" s="834"/>
      <c r="J138" s="834"/>
      <c r="L138" s="834"/>
      <c r="M138" s="834"/>
      <c r="U138" s="834"/>
      <c r="V138" s="834"/>
      <c r="X138" s="834"/>
      <c r="Y138" s="834"/>
      <c r="AA138" s="834"/>
      <c r="AB138" s="834"/>
      <c r="AD138" s="834"/>
      <c r="AE138" s="834"/>
      <c r="AG138" s="834"/>
      <c r="AH138" s="834"/>
    </row>
    <row r="139" spans="2:64" hidden="1" outlineLevel="1">
      <c r="B139" s="828"/>
      <c r="C139" s="834"/>
      <c r="D139" s="834"/>
      <c r="F139" s="834"/>
      <c r="G139" s="834"/>
      <c r="I139" s="834"/>
      <c r="J139" s="834"/>
      <c r="L139" s="834"/>
      <c r="M139" s="834"/>
      <c r="U139" s="834"/>
      <c r="V139" s="834"/>
      <c r="X139" s="834"/>
      <c r="Y139" s="834"/>
      <c r="AA139" s="834"/>
      <c r="AB139" s="834"/>
      <c r="AD139" s="834"/>
      <c r="AE139" s="834"/>
      <c r="AG139" s="834"/>
      <c r="AH139" s="834"/>
    </row>
    <row r="140" spans="2:64" hidden="1" outlineLevel="1">
      <c r="B140" s="812" t="s">
        <v>179</v>
      </c>
      <c r="C140" s="899"/>
      <c r="D140" s="899"/>
      <c r="E140" s="933"/>
      <c r="F140" s="899"/>
      <c r="G140" s="899"/>
      <c r="H140" s="933"/>
      <c r="I140" s="899"/>
      <c r="J140" s="899"/>
      <c r="K140" s="1047"/>
      <c r="L140" s="899"/>
      <c r="M140" s="899"/>
      <c r="N140" s="933"/>
      <c r="O140" s="933"/>
      <c r="P140" s="933"/>
      <c r="Q140" s="933"/>
      <c r="R140" s="933"/>
      <c r="S140" s="933"/>
      <c r="T140" s="933"/>
      <c r="U140" s="899"/>
      <c r="V140" s="899"/>
      <c r="W140" s="933"/>
      <c r="X140" s="899"/>
      <c r="Y140" s="899"/>
      <c r="Z140" s="933"/>
      <c r="AA140" s="899"/>
      <c r="AB140" s="899"/>
      <c r="AC140" s="1358"/>
      <c r="AD140" s="899"/>
      <c r="AE140" s="899"/>
      <c r="AF140" s="933"/>
      <c r="AG140" s="899"/>
      <c r="AH140" s="899"/>
      <c r="AI140" s="933"/>
      <c r="AJ140" s="933"/>
      <c r="AK140" s="933"/>
      <c r="AL140" s="933"/>
      <c r="AM140" s="933"/>
      <c r="AN140" s="933"/>
      <c r="AO140" s="933"/>
      <c r="AP140" s="933"/>
      <c r="AQ140" s="933"/>
      <c r="AR140" s="933"/>
      <c r="AS140" s="933"/>
      <c r="AT140" s="933"/>
      <c r="AU140" s="933"/>
      <c r="AV140" s="933"/>
      <c r="AW140" s="933"/>
      <c r="AX140" s="933"/>
      <c r="AY140" s="933"/>
      <c r="AZ140" s="933"/>
      <c r="BA140" s="933"/>
      <c r="BB140" s="933"/>
      <c r="BC140" s="933"/>
      <c r="BD140" s="933"/>
      <c r="BE140" s="933"/>
      <c r="BF140" s="933"/>
      <c r="BG140" s="933"/>
      <c r="BH140" s="933"/>
      <c r="BI140" s="933"/>
      <c r="BJ140" s="933"/>
    </row>
    <row r="141" spans="2:64" s="828" customFormat="1" hidden="1" outlineLevel="1">
      <c r="B141" s="828" t="s">
        <v>180</v>
      </c>
      <c r="C141" s="1048"/>
      <c r="D141" s="1048"/>
      <c r="E141" s="887"/>
      <c r="F141" s="1048"/>
      <c r="G141" s="1048"/>
      <c r="H141" s="887"/>
      <c r="I141" s="1048"/>
      <c r="J141" s="1048"/>
      <c r="K141" s="888"/>
      <c r="L141" s="1048"/>
      <c r="M141" s="1048"/>
      <c r="N141" s="887"/>
      <c r="O141" s="887"/>
      <c r="P141" s="887"/>
      <c r="Q141" s="887"/>
      <c r="R141" s="887"/>
      <c r="S141" s="887"/>
      <c r="T141" s="887"/>
      <c r="U141" s="1048"/>
      <c r="V141" s="1048"/>
      <c r="W141" s="887"/>
      <c r="X141" s="1048"/>
      <c r="Y141" s="1048"/>
      <c r="Z141" s="887"/>
      <c r="AA141" s="1048"/>
      <c r="AB141" s="1048"/>
      <c r="AC141" s="889"/>
      <c r="AD141" s="1048"/>
      <c r="AE141" s="1048"/>
      <c r="AF141" s="887"/>
      <c r="AG141" s="1048"/>
      <c r="AH141" s="1048"/>
      <c r="AI141" s="887"/>
      <c r="AJ141" s="887"/>
      <c r="AK141" s="887"/>
      <c r="AL141" s="887"/>
      <c r="AM141" s="887"/>
      <c r="AN141" s="887"/>
      <c r="AO141" s="887"/>
      <c r="AP141" s="887"/>
      <c r="AQ141" s="887"/>
      <c r="AR141" s="887"/>
      <c r="AS141" s="887"/>
      <c r="AT141" s="887"/>
      <c r="AU141" s="887"/>
      <c r="AV141" s="887"/>
      <c r="AW141" s="887"/>
      <c r="AX141" s="887"/>
      <c r="AY141" s="887"/>
      <c r="AZ141" s="887"/>
      <c r="BA141" s="887"/>
      <c r="BB141" s="887"/>
      <c r="BC141" s="887"/>
      <c r="BD141" s="887"/>
      <c r="BE141" s="887"/>
      <c r="BF141" s="887"/>
      <c r="BG141" s="887"/>
      <c r="BH141" s="887"/>
      <c r="BI141" s="887"/>
      <c r="BJ141" s="887"/>
      <c r="BK141" s="810"/>
      <c r="BL141" s="811"/>
    </row>
    <row r="142" spans="2:64" hidden="1" outlineLevel="1">
      <c r="B142" s="812" t="s">
        <v>135</v>
      </c>
      <c r="C142" s="830"/>
      <c r="D142" s="830"/>
      <c r="E142" s="830"/>
      <c r="F142" s="830"/>
      <c r="G142" s="830"/>
      <c r="H142" s="830"/>
      <c r="I142" s="830"/>
      <c r="J142" s="830"/>
      <c r="K142" s="829"/>
      <c r="L142" s="830"/>
      <c r="M142" s="830"/>
      <c r="N142" s="830"/>
      <c r="O142" s="830"/>
      <c r="P142" s="830"/>
      <c r="Q142" s="830"/>
      <c r="R142" s="830"/>
      <c r="S142" s="830"/>
      <c r="T142" s="830"/>
      <c r="U142" s="830"/>
      <c r="V142" s="830"/>
      <c r="W142" s="830"/>
      <c r="X142" s="830"/>
      <c r="Y142" s="830"/>
      <c r="Z142" s="830"/>
      <c r="AA142" s="830"/>
      <c r="AB142" s="830"/>
      <c r="AC142" s="1036"/>
      <c r="AD142" s="830"/>
      <c r="AE142" s="830"/>
      <c r="AF142" s="830"/>
      <c r="AG142" s="830"/>
      <c r="AH142" s="830"/>
      <c r="AI142" s="830"/>
      <c r="AJ142" s="830"/>
      <c r="AK142" s="830"/>
      <c r="AL142" s="830"/>
      <c r="AM142" s="830"/>
      <c r="AN142" s="830"/>
      <c r="AO142" s="830"/>
      <c r="AP142" s="830"/>
      <c r="AQ142" s="830"/>
      <c r="AR142" s="830"/>
      <c r="AS142" s="830"/>
      <c r="AT142" s="830"/>
      <c r="AU142" s="830"/>
      <c r="AV142" s="830"/>
      <c r="AW142" s="830"/>
      <c r="AX142" s="830"/>
      <c r="AY142" s="830"/>
      <c r="AZ142" s="830"/>
      <c r="BA142" s="830"/>
      <c r="BB142" s="830"/>
      <c r="BC142" s="830"/>
      <c r="BD142" s="830"/>
      <c r="BE142" s="830"/>
      <c r="BF142" s="830"/>
      <c r="BG142" s="830"/>
      <c r="BH142" s="830"/>
      <c r="BI142" s="830"/>
      <c r="BJ142" s="830"/>
    </row>
    <row r="143" spans="2:64" collapsed="1">
      <c r="C143" s="830"/>
      <c r="D143" s="830"/>
      <c r="E143" s="830"/>
      <c r="F143" s="830"/>
      <c r="G143" s="830"/>
      <c r="H143" s="830"/>
      <c r="I143" s="830"/>
      <c r="J143" s="830"/>
      <c r="K143" s="1049"/>
      <c r="L143" s="830"/>
      <c r="M143" s="830"/>
      <c r="N143" s="1050"/>
      <c r="O143" s="1050"/>
      <c r="P143" s="1050"/>
      <c r="Q143" s="1050"/>
      <c r="R143" s="1050"/>
      <c r="S143" s="1050"/>
      <c r="T143" s="1050"/>
      <c r="U143" s="830"/>
      <c r="V143" s="830"/>
      <c r="W143" s="1050"/>
      <c r="X143" s="830"/>
      <c r="Y143" s="830"/>
      <c r="Z143" s="830"/>
      <c r="AA143" s="830"/>
      <c r="AB143" s="830"/>
      <c r="AC143" s="1036"/>
      <c r="AD143" s="830"/>
      <c r="AE143" s="830"/>
      <c r="AF143" s="830"/>
      <c r="AG143" s="830"/>
      <c r="AH143" s="830"/>
      <c r="AI143" s="830"/>
      <c r="AJ143" s="830"/>
      <c r="AK143" s="830"/>
      <c r="AL143" s="830"/>
      <c r="AM143" s="830"/>
      <c r="AN143" s="830"/>
      <c r="AO143" s="830"/>
      <c r="AP143" s="830"/>
      <c r="AQ143" s="830"/>
      <c r="AR143" s="830"/>
      <c r="AS143" s="830"/>
      <c r="AT143" s="830"/>
      <c r="AU143" s="830"/>
      <c r="AV143" s="830"/>
      <c r="AW143" s="830"/>
      <c r="AX143" s="830"/>
      <c r="AY143" s="830"/>
      <c r="AZ143" s="830"/>
      <c r="BA143" s="830"/>
      <c r="BB143" s="830"/>
      <c r="BC143" s="830"/>
      <c r="BD143" s="830"/>
      <c r="BE143" s="830"/>
      <c r="BF143" s="830"/>
      <c r="BG143" s="830"/>
      <c r="BH143" s="830"/>
      <c r="BI143" s="830"/>
      <c r="BJ143" s="830"/>
    </row>
    <row r="144" spans="2:64">
      <c r="B144" s="824" t="s">
        <v>388</v>
      </c>
      <c r="C144" s="827"/>
      <c r="D144" s="827"/>
      <c r="E144" s="827"/>
      <c r="F144" s="827"/>
      <c r="G144" s="827"/>
      <c r="H144" s="827"/>
      <c r="I144" s="827"/>
      <c r="J144" s="827"/>
      <c r="K144" s="1051"/>
      <c r="L144" s="827"/>
      <c r="M144" s="827"/>
      <c r="N144" s="1052"/>
      <c r="O144" s="1052"/>
      <c r="P144" s="1052"/>
      <c r="Q144" s="1052"/>
      <c r="R144" s="1052"/>
      <c r="S144" s="1052"/>
      <c r="T144" s="1052"/>
      <c r="U144" s="1052"/>
      <c r="V144" s="1052"/>
      <c r="W144" s="1052"/>
      <c r="X144" s="1052"/>
      <c r="Y144" s="1052"/>
      <c r="Z144" s="1052"/>
      <c r="AA144" s="1052"/>
      <c r="AB144" s="1052"/>
      <c r="AC144" s="1053"/>
      <c r="AD144" s="1052"/>
      <c r="AE144" s="1052"/>
      <c r="AF144" s="1052"/>
      <c r="AG144" s="1052"/>
      <c r="AH144" s="1052"/>
      <c r="AI144" s="1052"/>
      <c r="AJ144" s="1052"/>
      <c r="AK144" s="1052"/>
      <c r="AL144" s="1052"/>
      <c r="AM144" s="1052"/>
      <c r="AN144" s="1052"/>
      <c r="AO144" s="1052"/>
      <c r="AP144" s="1052"/>
      <c r="AQ144" s="1052"/>
      <c r="AR144" s="1052"/>
      <c r="AS144" s="1052"/>
      <c r="AT144" s="1052"/>
      <c r="AU144" s="1052"/>
      <c r="AV144" s="1052"/>
      <c r="AW144" s="1052"/>
      <c r="AX144" s="1052"/>
      <c r="AY144" s="1052"/>
      <c r="AZ144" s="1052"/>
      <c r="BA144" s="1052"/>
      <c r="BB144" s="1052"/>
      <c r="BC144" s="1052"/>
      <c r="BD144" s="1052"/>
      <c r="BE144" s="1052"/>
      <c r="BF144" s="1052"/>
      <c r="BG144" s="1052"/>
      <c r="BH144" s="1052"/>
      <c r="BI144" s="1052"/>
      <c r="BJ144" s="1052"/>
    </row>
    <row r="145" spans="1:64">
      <c r="B145" s="824" t="s">
        <v>177</v>
      </c>
      <c r="C145" s="827"/>
      <c r="D145" s="827"/>
      <c r="E145" s="827"/>
      <c r="F145" s="827"/>
      <c r="G145" s="827"/>
      <c r="H145" s="827"/>
      <c r="I145" s="827"/>
      <c r="J145" s="827"/>
      <c r="K145" s="1051"/>
      <c r="L145" s="1051"/>
      <c r="M145" s="827"/>
      <c r="N145" s="827"/>
      <c r="O145" s="827"/>
      <c r="P145" s="827"/>
      <c r="Q145" s="827"/>
      <c r="R145" s="827"/>
      <c r="S145" s="827"/>
      <c r="T145" s="827"/>
      <c r="U145" s="827"/>
      <c r="V145" s="827"/>
      <c r="W145" s="827"/>
      <c r="X145" s="827"/>
      <c r="Y145" s="827"/>
      <c r="Z145" s="827"/>
      <c r="AA145" s="827"/>
      <c r="AB145" s="827"/>
      <c r="AC145" s="1054"/>
      <c r="AD145" s="827"/>
      <c r="AE145" s="827"/>
      <c r="AF145" s="827"/>
      <c r="AG145" s="827"/>
      <c r="AH145" s="827"/>
      <c r="AI145" s="827"/>
      <c r="AJ145" s="827"/>
      <c r="AK145" s="827"/>
      <c r="AL145" s="827"/>
      <c r="AM145" s="827"/>
      <c r="AN145" s="827"/>
      <c r="AO145" s="827"/>
      <c r="AP145" s="827"/>
      <c r="AQ145" s="827"/>
      <c r="AR145" s="827"/>
      <c r="AS145" s="827"/>
      <c r="AT145" s="827"/>
      <c r="AU145" s="827"/>
      <c r="AV145" s="827"/>
      <c r="AW145" s="827"/>
      <c r="AX145" s="827"/>
      <c r="AY145" s="827"/>
      <c r="AZ145" s="827"/>
      <c r="BA145" s="827"/>
      <c r="BB145" s="827"/>
      <c r="BC145" s="827"/>
      <c r="BD145" s="827"/>
      <c r="BE145" s="827"/>
      <c r="BF145" s="827"/>
      <c r="BG145" s="827"/>
      <c r="BH145" s="827"/>
      <c r="BI145" s="827"/>
      <c r="BJ145" s="827"/>
    </row>
    <row r="146" spans="1:64">
      <c r="A146" s="812" t="s">
        <v>949</v>
      </c>
      <c r="B146" s="812" t="s">
        <v>142</v>
      </c>
      <c r="C146" s="899">
        <v>126</v>
      </c>
      <c r="D146" s="899">
        <v>133.5</v>
      </c>
      <c r="E146" s="899">
        <v>127.5</v>
      </c>
      <c r="F146" s="899">
        <f>AVERAGE(F178,D178)</f>
        <v>134.5</v>
      </c>
      <c r="G146" s="899">
        <f>(F178+H178)*0.5</f>
        <v>135</v>
      </c>
      <c r="H146" s="899">
        <f>AVERAGE(H178,E178)</f>
        <v>134.5</v>
      </c>
      <c r="I146" s="899">
        <f>AVERAGE(I178,G178)</f>
        <v>135</v>
      </c>
      <c r="J146" s="899">
        <f>(I178+K178)*0.5</f>
        <v>136</v>
      </c>
      <c r="K146" s="900">
        <f>AVERAGE(K178,H178)</f>
        <v>135</v>
      </c>
      <c r="L146" s="899">
        <f>AVERAGE(L178,J178)</f>
        <v>137.5</v>
      </c>
      <c r="M146" s="899">
        <f>(L178+N178)*0.5</f>
        <v>139</v>
      </c>
      <c r="N146" s="899">
        <f>AVERAGE(N178,K178)</f>
        <v>137.5</v>
      </c>
      <c r="O146" s="899">
        <f>AVERAGE(O178,M178)</f>
        <v>140</v>
      </c>
      <c r="P146" s="899">
        <f>(O178+P178)*0.5</f>
        <v>141.5</v>
      </c>
      <c r="Q146" s="899">
        <f>AVERAGE(Q178,N178)</f>
        <v>140.5</v>
      </c>
      <c r="R146" s="899">
        <f>AVERAGE(R178,P178)</f>
        <v>143.5</v>
      </c>
      <c r="S146" s="899">
        <f>(R178+S178)*0.5</f>
        <v>146</v>
      </c>
      <c r="T146" s="899">
        <f>AVERAGE(T178,Q178)</f>
        <v>144.5</v>
      </c>
      <c r="U146" s="899">
        <f>AVERAGE(U178,S178)</f>
        <v>148.5</v>
      </c>
      <c r="V146" s="899">
        <f>(U178+V178)*0.5</f>
        <v>153.5</v>
      </c>
      <c r="W146" s="899">
        <f>AVERAGE(W178,T178)</f>
        <v>152</v>
      </c>
      <c r="X146" s="899">
        <f>AVERAGE(X178,V178)</f>
        <v>159.5</v>
      </c>
      <c r="Y146" s="899">
        <f>(X178+Y178)*0.5</f>
        <v>162</v>
      </c>
      <c r="Z146" s="899">
        <f>AVERAGE(Z178,W178)</f>
        <v>159.5</v>
      </c>
      <c r="AA146" s="899">
        <f>AVERAGE(AA178,Y178)</f>
        <v>162</v>
      </c>
      <c r="AB146" s="899">
        <f>(AA178+AB178)*0.5</f>
        <v>163.5</v>
      </c>
      <c r="AC146" s="901">
        <f>AVERAGE(AC178,Z178)</f>
        <v>163.5</v>
      </c>
      <c r="AD146" s="899">
        <f>AVERAGE(AD178,AB178)</f>
        <v>166</v>
      </c>
      <c r="AE146" s="899">
        <f>(AD178+AE178)*0.5</f>
        <v>168</v>
      </c>
      <c r="AF146" s="899">
        <f>AVERAGE(AF178,AC178)</f>
        <v>167</v>
      </c>
      <c r="AG146" s="899">
        <f>AVERAGE(AG178,AE178)</f>
        <v>170</v>
      </c>
      <c r="AH146" s="899">
        <f>(AG178+AH178)*0.5</f>
        <v>172</v>
      </c>
      <c r="AI146" s="899">
        <f>AVERAGE(AI178,AF178)</f>
        <v>171</v>
      </c>
      <c r="AJ146" s="899"/>
      <c r="AK146" s="899"/>
      <c r="AL146" s="899">
        <f>AVERAGE(AL178,AI178)</f>
        <v>174</v>
      </c>
      <c r="AM146" s="899"/>
      <c r="AN146" s="899"/>
      <c r="AO146" s="899">
        <f>AVERAGE(AO178,AL178)</f>
        <v>176</v>
      </c>
      <c r="AP146" s="899"/>
      <c r="AQ146" s="899"/>
      <c r="AR146" s="899">
        <f>AVERAGE(AR178,AO178)</f>
        <v>177</v>
      </c>
      <c r="AS146" s="899"/>
      <c r="AT146" s="899"/>
      <c r="AU146" s="899">
        <f>AVERAGE(AU178,AR178)</f>
        <v>177</v>
      </c>
      <c r="AV146" s="899"/>
      <c r="AW146" s="899"/>
      <c r="AX146" s="899">
        <f>AVERAGE(AX178,AU178)</f>
        <v>177</v>
      </c>
      <c r="AY146" s="899"/>
      <c r="AZ146" s="899"/>
      <c r="BA146" s="899">
        <f>AVERAGE(BA178,AX178)</f>
        <v>177</v>
      </c>
      <c r="BB146" s="899"/>
      <c r="BC146" s="899"/>
      <c r="BD146" s="899">
        <f>AVERAGE(BD178,BA178)</f>
        <v>177</v>
      </c>
      <c r="BE146" s="899"/>
      <c r="BF146" s="899"/>
      <c r="BG146" s="899">
        <f>AVERAGE(BG178,BD178)</f>
        <v>177</v>
      </c>
      <c r="BH146" s="899"/>
      <c r="BI146" s="899"/>
      <c r="BJ146" s="899">
        <f t="shared" ref="BJ146" si="391">AVERAGE(BJ178,BG178)</f>
        <v>177</v>
      </c>
    </row>
    <row r="147" spans="1:64">
      <c r="A147" s="812" t="s">
        <v>944</v>
      </c>
      <c r="B147" s="812" t="s">
        <v>175</v>
      </c>
      <c r="C147" s="834">
        <v>2.2855873015873014</v>
      </c>
      <c r="D147" s="834">
        <v>1.4372951310861422</v>
      </c>
      <c r="E147" s="834">
        <v>3.9013243902439023</v>
      </c>
      <c r="F147" s="834">
        <f>F152/F146</f>
        <v>2.0471558792076179</v>
      </c>
      <c r="G147" s="834">
        <f>G152/G146</f>
        <v>1.6515372907153734</v>
      </c>
      <c r="H147" s="834">
        <f>H152/((H146+E146)*0.5)</f>
        <v>3.8038167938931298</v>
      </c>
      <c r="I147" s="834">
        <f>I152/I146</f>
        <v>2.0844444444444443</v>
      </c>
      <c r="J147" s="834">
        <f>K147-I147</f>
        <v>1.7344794887652033</v>
      </c>
      <c r="K147" s="835">
        <f>K152/((K146+H146)*0.5)</f>
        <v>3.8189239332096476</v>
      </c>
      <c r="L147" s="834">
        <f>L152/((L146+I146)*0.5)</f>
        <v>2.0807339449541282</v>
      </c>
      <c r="M147" s="834">
        <f>M152/((M146+J146)*0.5)</f>
        <v>1.8290909090909091</v>
      </c>
      <c r="N147" s="834">
        <f>N152/((N146+K146)*0.5)</f>
        <v>3.926605504587156</v>
      </c>
      <c r="O147" s="834">
        <f>O152/((O146+L146)*0.5)</f>
        <v>3.0825225225225226</v>
      </c>
      <c r="P147" s="834">
        <f>Q147-O147</f>
        <v>2.5950575486518548</v>
      </c>
      <c r="Q147" s="834">
        <f>Q152/Q146</f>
        <v>5.6775800711743774</v>
      </c>
      <c r="R147" s="834">
        <f>R152/R146</f>
        <v>2.9163763066202089</v>
      </c>
      <c r="S147" s="834">
        <f>T147-R147</f>
        <v>2.8254922054905185</v>
      </c>
      <c r="T147" s="834">
        <f>T152/T146</f>
        <v>5.7418685121107274</v>
      </c>
      <c r="U147" s="834">
        <f>U152/U146</f>
        <v>3.0141414141414145</v>
      </c>
      <c r="V147" s="834">
        <f>W147-U147</f>
        <v>2.5115164805954273</v>
      </c>
      <c r="W147" s="834">
        <f>W152/W146</f>
        <v>5.5256578947368418</v>
      </c>
      <c r="X147" s="834">
        <f>X152/X146</f>
        <v>3.0326018808777429</v>
      </c>
      <c r="Y147" s="834">
        <f>Z147-X147</f>
        <v>2.4789968652037624</v>
      </c>
      <c r="Z147" s="834">
        <f>Z152/Z146</f>
        <v>5.5115987460815052</v>
      </c>
      <c r="AA147" s="834">
        <f>AA152/AA146</f>
        <v>3.1999999999999997</v>
      </c>
      <c r="AB147" s="834">
        <f>AC147-AA147</f>
        <v>2.6244648318042816</v>
      </c>
      <c r="AC147" s="836">
        <f>AC152/AC146</f>
        <v>5.8244648318042813</v>
      </c>
      <c r="AD147" s="834">
        <f>AA147*(1+AD148)</f>
        <v>3.1840199999999999</v>
      </c>
      <c r="AE147" s="834">
        <f>AF147-AD147</f>
        <v>2.6988350917431174</v>
      </c>
      <c r="AF147" s="834">
        <f>AC147*(1+AF148)</f>
        <v>5.8828550917431173</v>
      </c>
      <c r="AG147" s="834">
        <f>AD147*(1+AG148)</f>
        <v>3.2480188019999998</v>
      </c>
      <c r="AH147" s="834">
        <f>AI147-AG147</f>
        <v>2.7530816770871542</v>
      </c>
      <c r="AI147" s="834">
        <f>AF147*(1+AI148)</f>
        <v>6.001100479087154</v>
      </c>
      <c r="AJ147" s="834"/>
      <c r="AK147" s="834"/>
      <c r="AL147" s="834">
        <f>AI147*(1+AL148)</f>
        <v>6.2129393259989296</v>
      </c>
      <c r="AM147" s="834"/>
      <c r="AN147" s="834"/>
      <c r="AO147" s="834">
        <f>AL147*(1+AO148)</f>
        <v>6.4322560842066911</v>
      </c>
      <c r="AP147" s="834"/>
      <c r="AQ147" s="834"/>
      <c r="AR147" s="834">
        <f>AO147*(1+AR148)</f>
        <v>6.659314723979187</v>
      </c>
      <c r="AS147" s="834"/>
      <c r="AT147" s="834"/>
      <c r="AU147" s="834">
        <f>AR147*(1+AU148)</f>
        <v>6.8943885337356514</v>
      </c>
      <c r="AV147" s="834"/>
      <c r="AW147" s="834"/>
      <c r="AX147" s="834">
        <f>AU147*(1+AX148)</f>
        <v>7.1377604489765192</v>
      </c>
      <c r="AY147" s="834"/>
      <c r="AZ147" s="834"/>
      <c r="BA147" s="834">
        <f>AX147*(1+BA148)</f>
        <v>7.3897233928253891</v>
      </c>
      <c r="BB147" s="834"/>
      <c r="BC147" s="834"/>
      <c r="BD147" s="834">
        <f>BA147*(1+BD148)</f>
        <v>7.6505806285921247</v>
      </c>
      <c r="BE147" s="834"/>
      <c r="BF147" s="834"/>
      <c r="BG147" s="834">
        <f>BD147*(1+BG148)</f>
        <v>7.9206461247814257</v>
      </c>
      <c r="BH147" s="834"/>
      <c r="BI147" s="834"/>
      <c r="BJ147" s="834">
        <f t="shared" ref="BJ147" si="392">BG147*(1+BJ148)</f>
        <v>8.2002449329862088</v>
      </c>
    </row>
    <row r="148" spans="1:64">
      <c r="B148" s="828" t="s">
        <v>219</v>
      </c>
      <c r="C148" s="1055">
        <v>0.16898622604520441</v>
      </c>
      <c r="D148" s="851">
        <v>-0.26554929013726625</v>
      </c>
      <c r="E148" s="1055">
        <v>-2.5671815967495681E-2</v>
      </c>
      <c r="F148" s="1055">
        <f t="shared" ref="F148:AC148" si="393">F147/C147-1</f>
        <v>-0.10431954282126832</v>
      </c>
      <c r="G148" s="851">
        <f t="shared" si="393"/>
        <v>0.14905926764486543</v>
      </c>
      <c r="H148" s="1055">
        <f t="shared" si="393"/>
        <v>-2.4993460321989902E-2</v>
      </c>
      <c r="I148" s="1055">
        <f t="shared" si="393"/>
        <v>1.8214814814814906E-2</v>
      </c>
      <c r="J148" s="851">
        <f t="shared" si="393"/>
        <v>5.022120815322495E-2</v>
      </c>
      <c r="K148" s="1056">
        <f t="shared" si="393"/>
        <v>3.9715738520245125E-3</v>
      </c>
      <c r="L148" s="1055">
        <f t="shared" si="393"/>
        <v>-1.7800903738189877E-3</v>
      </c>
      <c r="M148" s="857">
        <f t="shared" si="393"/>
        <v>5.4547442583515737E-2</v>
      </c>
      <c r="N148" s="1055">
        <f t="shared" si="393"/>
        <v>2.8196835878583792E-2</v>
      </c>
      <c r="O148" s="1055">
        <f t="shared" si="393"/>
        <v>0.48145923701479276</v>
      </c>
      <c r="P148" s="1055">
        <f t="shared" si="393"/>
        <v>0.41876903753332018</v>
      </c>
      <c r="Q148" s="1055">
        <f t="shared" si="393"/>
        <v>0.44592576578973619</v>
      </c>
      <c r="R148" s="1055">
        <f t="shared" si="393"/>
        <v>-5.3899432911961753E-2</v>
      </c>
      <c r="S148" s="1055">
        <f t="shared" si="393"/>
        <v>8.8797513164351916E-2</v>
      </c>
      <c r="T148" s="1055">
        <f t="shared" si="393"/>
        <v>1.1323211673006428E-2</v>
      </c>
      <c r="U148" s="1055">
        <f t="shared" si="393"/>
        <v>3.3522802698430221E-2</v>
      </c>
      <c r="V148" s="857">
        <f>V147/S147-1</f>
        <v>-0.11112248842342265</v>
      </c>
      <c r="W148" s="1055">
        <f t="shared" si="393"/>
        <v>-3.765509727675842E-2</v>
      </c>
      <c r="X148" s="1055">
        <f t="shared" si="393"/>
        <v>6.1246186558194804E-3</v>
      </c>
      <c r="Y148" s="857">
        <f>Y147/V147-1</f>
        <v>-1.2948199083270717E-2</v>
      </c>
      <c r="Z148" s="951">
        <f t="shared" si="393"/>
        <v>-2.5443393208848253E-3</v>
      </c>
      <c r="AA148" s="1055">
        <f t="shared" si="393"/>
        <v>5.5199503824684637E-2</v>
      </c>
      <c r="AB148" s="857">
        <f>AB147/Y147-1</f>
        <v>5.8680173679268588E-2</v>
      </c>
      <c r="AC148" s="953">
        <f t="shared" si="393"/>
        <v>5.6765033184828617E-2</v>
      </c>
      <c r="AD148" s="951">
        <f>(1+AD149)*(1+AD150)-1</f>
        <v>-4.993749999999908E-3</v>
      </c>
      <c r="AE148" s="857">
        <f>AE147/AB147-1</f>
        <v>2.8337304824049614E-2</v>
      </c>
      <c r="AF148" s="951">
        <f t="shared" ref="AF148:AU148" si="394">(1+AF149)*(1+AF150)-1</f>
        <v>1.0024999999999729E-2</v>
      </c>
      <c r="AG148" s="857">
        <f>AI148</f>
        <v>2.0100000000000007E-2</v>
      </c>
      <c r="AH148" s="857">
        <f>AH147/AE147-1</f>
        <v>2.0100000000000007E-2</v>
      </c>
      <c r="AI148" s="951">
        <f t="shared" si="394"/>
        <v>2.0100000000000007E-2</v>
      </c>
      <c r="AJ148" s="951"/>
      <c r="AK148" s="951"/>
      <c r="AL148" s="951">
        <f t="shared" si="394"/>
        <v>3.5299999999999887E-2</v>
      </c>
      <c r="AM148" s="951"/>
      <c r="AN148" s="951"/>
      <c r="AO148" s="951">
        <f t="shared" si="394"/>
        <v>3.5299999999999887E-2</v>
      </c>
      <c r="AP148" s="951"/>
      <c r="AQ148" s="951"/>
      <c r="AR148" s="951">
        <f t="shared" si="394"/>
        <v>3.5299999999999887E-2</v>
      </c>
      <c r="AS148" s="951"/>
      <c r="AT148" s="951"/>
      <c r="AU148" s="951">
        <f t="shared" si="394"/>
        <v>3.5299999999999887E-2</v>
      </c>
      <c r="AV148" s="951"/>
      <c r="AW148" s="951"/>
      <c r="AX148" s="951">
        <f t="shared" ref="AX148:BA148" si="395">(1+AX149)*(1+AX150)-1</f>
        <v>3.5299999999999887E-2</v>
      </c>
      <c r="AY148" s="951"/>
      <c r="AZ148" s="951"/>
      <c r="BA148" s="951">
        <f t="shared" si="395"/>
        <v>3.5299999999999887E-2</v>
      </c>
      <c r="BB148" s="951"/>
      <c r="BC148" s="951"/>
      <c r="BD148" s="951">
        <f t="shared" ref="BD148:BG148" si="396">(1+BD149)*(1+BD150)-1</f>
        <v>3.5299999999999887E-2</v>
      </c>
      <c r="BE148" s="951"/>
      <c r="BF148" s="951"/>
      <c r="BG148" s="951">
        <f t="shared" si="396"/>
        <v>3.5299999999999887E-2</v>
      </c>
      <c r="BH148" s="951"/>
      <c r="BI148" s="951"/>
      <c r="BJ148" s="951">
        <f t="shared" ref="BJ148" si="397">(1+BJ149)*(1+BJ150)-1</f>
        <v>3.5299999999999887E-2</v>
      </c>
    </row>
    <row r="149" spans="1:64" ht="12" customHeight="1">
      <c r="B149" s="812" t="s">
        <v>803</v>
      </c>
      <c r="C149" s="907"/>
      <c r="D149" s="908"/>
      <c r="E149" s="907"/>
      <c r="F149" s="907"/>
      <c r="G149" s="907"/>
      <c r="H149" s="907"/>
      <c r="I149" s="907"/>
      <c r="J149" s="852"/>
      <c r="K149" s="904"/>
      <c r="L149" s="907"/>
      <c r="M149" s="852"/>
      <c r="N149" s="907"/>
      <c r="O149" s="907"/>
      <c r="P149" s="907"/>
      <c r="Q149" s="907"/>
      <c r="R149" s="907"/>
      <c r="S149" s="907"/>
      <c r="T149" s="907"/>
      <c r="U149" s="907"/>
      <c r="V149" s="852"/>
      <c r="W149" s="907"/>
      <c r="X149" s="907"/>
      <c r="Y149" s="852"/>
      <c r="Z149" s="907" t="s">
        <v>994</v>
      </c>
      <c r="AA149" s="943"/>
      <c r="AB149" s="852"/>
      <c r="AC149" s="909"/>
      <c r="AD149" s="911">
        <v>-2.5000000000000001E-3</v>
      </c>
      <c r="AE149" s="957"/>
      <c r="AF149" s="911">
        <v>5.0000000000000001E-3</v>
      </c>
      <c r="AG149" s="911">
        <v>5.0000000000000001E-3</v>
      </c>
      <c r="AH149" s="957"/>
      <c r="AI149" s="911">
        <v>0.01</v>
      </c>
      <c r="AJ149" s="911"/>
      <c r="AK149" s="911"/>
      <c r="AL149" s="911">
        <v>1.4999999999999999E-2</v>
      </c>
      <c r="AM149" s="911"/>
      <c r="AN149" s="911"/>
      <c r="AO149" s="911">
        <v>1.4999999999999999E-2</v>
      </c>
      <c r="AP149" s="911"/>
      <c r="AQ149" s="911"/>
      <c r="AR149" s="911">
        <v>1.4999999999999999E-2</v>
      </c>
      <c r="AS149" s="911"/>
      <c r="AT149" s="911"/>
      <c r="AU149" s="911">
        <v>1.4999999999999999E-2</v>
      </c>
      <c r="AV149" s="911"/>
      <c r="AW149" s="911"/>
      <c r="AX149" s="911">
        <v>1.4999999999999999E-2</v>
      </c>
      <c r="AY149" s="911"/>
      <c r="AZ149" s="911"/>
      <c r="BA149" s="911">
        <v>1.4999999999999999E-2</v>
      </c>
      <c r="BB149" s="911"/>
      <c r="BC149" s="911"/>
      <c r="BD149" s="911">
        <v>1.4999999999999999E-2</v>
      </c>
      <c r="BE149" s="911"/>
      <c r="BF149" s="911"/>
      <c r="BG149" s="911">
        <v>1.4999999999999999E-2</v>
      </c>
      <c r="BH149" s="911"/>
      <c r="BI149" s="911"/>
      <c r="BJ149" s="911">
        <v>1.4999999999999999E-2</v>
      </c>
      <c r="BK149" s="906"/>
    </row>
    <row r="150" spans="1:64" ht="12" customHeight="1">
      <c r="B150" s="812" t="s">
        <v>804</v>
      </c>
      <c r="C150" s="907"/>
      <c r="D150" s="908"/>
      <c r="E150" s="907"/>
      <c r="F150" s="907"/>
      <c r="G150" s="907"/>
      <c r="H150" s="907"/>
      <c r="I150" s="907"/>
      <c r="J150" s="852"/>
      <c r="K150" s="904"/>
      <c r="L150" s="907"/>
      <c r="M150" s="852"/>
      <c r="N150" s="907"/>
      <c r="O150" s="907"/>
      <c r="P150" s="907"/>
      <c r="Q150" s="907"/>
      <c r="R150" s="907"/>
      <c r="S150" s="907"/>
      <c r="T150" s="946"/>
      <c r="U150" s="907"/>
      <c r="V150" s="852"/>
      <c r="W150" s="946"/>
      <c r="X150" s="907"/>
      <c r="Y150" s="852"/>
      <c r="Z150" s="907" t="s">
        <v>1062</v>
      </c>
      <c r="AA150" s="943"/>
      <c r="AB150" s="852"/>
      <c r="AC150" s="909"/>
      <c r="AD150" s="911">
        <v>-2.5000000000000001E-3</v>
      </c>
      <c r="AE150" s="957"/>
      <c r="AF150" s="911">
        <v>5.0000000000000001E-3</v>
      </c>
      <c r="AG150" s="911">
        <f>AI150</f>
        <v>0.01</v>
      </c>
      <c r="AH150" s="957"/>
      <c r="AI150" s="911">
        <v>0.01</v>
      </c>
      <c r="AJ150" s="911"/>
      <c r="AK150" s="911"/>
      <c r="AL150" s="911">
        <v>0.02</v>
      </c>
      <c r="AM150" s="911"/>
      <c r="AN150" s="911"/>
      <c r="AO150" s="911">
        <v>0.02</v>
      </c>
      <c r="AP150" s="911"/>
      <c r="AQ150" s="911"/>
      <c r="AR150" s="911">
        <v>0.02</v>
      </c>
      <c r="AS150" s="911"/>
      <c r="AT150" s="911"/>
      <c r="AU150" s="911">
        <v>0.02</v>
      </c>
      <c r="AV150" s="911"/>
      <c r="AW150" s="911"/>
      <c r="AX150" s="911">
        <v>0.02</v>
      </c>
      <c r="AY150" s="911"/>
      <c r="AZ150" s="911"/>
      <c r="BA150" s="911">
        <v>0.02</v>
      </c>
      <c r="BB150" s="911"/>
      <c r="BC150" s="911"/>
      <c r="BD150" s="911">
        <v>0.02</v>
      </c>
      <c r="BE150" s="911"/>
      <c r="BF150" s="911"/>
      <c r="BG150" s="911">
        <v>0.02</v>
      </c>
      <c r="BH150" s="911"/>
      <c r="BI150" s="911"/>
      <c r="BJ150" s="911">
        <v>0.02</v>
      </c>
      <c r="BK150" s="906"/>
    </row>
    <row r="151" spans="1:64" s="912" customFormat="1" ht="12" customHeight="1">
      <c r="B151" s="919"/>
      <c r="C151" s="913"/>
      <c r="D151" s="914"/>
      <c r="E151" s="913"/>
      <c r="F151" s="913"/>
      <c r="G151" s="913"/>
      <c r="H151" s="913"/>
      <c r="I151" s="913"/>
      <c r="J151" s="867"/>
      <c r="K151" s="915"/>
      <c r="L151" s="913"/>
      <c r="M151" s="867"/>
      <c r="N151" s="913"/>
      <c r="O151" s="913"/>
      <c r="P151" s="913"/>
      <c r="Q151" s="913"/>
      <c r="R151" s="913"/>
      <c r="S151" s="913"/>
      <c r="T151" s="913"/>
      <c r="U151" s="913"/>
      <c r="V151" s="913"/>
      <c r="W151" s="913"/>
      <c r="X151" s="913"/>
      <c r="Y151" s="913"/>
      <c r="Z151" s="913"/>
      <c r="AA151" s="913"/>
      <c r="AB151" s="913"/>
      <c r="AC151" s="916"/>
      <c r="AD151" s="913"/>
      <c r="AE151" s="913"/>
      <c r="AF151" s="913"/>
      <c r="AG151" s="913"/>
      <c r="AH151" s="913"/>
      <c r="AI151" s="913">
        <f>(AI147/AC147)^(1/2)-1</f>
        <v>1.5049999999999786E-2</v>
      </c>
      <c r="AJ151" s="913"/>
      <c r="AK151" s="913"/>
      <c r="AL151" s="913"/>
      <c r="AM151" s="913"/>
      <c r="AN151" s="913"/>
      <c r="AO151" s="913"/>
      <c r="AP151" s="913"/>
      <c r="AQ151" s="913"/>
      <c r="AR151" s="913"/>
      <c r="AS151" s="913"/>
      <c r="AT151" s="913"/>
      <c r="AU151" s="913"/>
      <c r="AV151" s="913"/>
      <c r="AW151" s="913"/>
      <c r="AX151" s="913"/>
      <c r="AY151" s="913"/>
      <c r="AZ151" s="913"/>
      <c r="BA151" s="913"/>
      <c r="BB151" s="913"/>
      <c r="BC151" s="913"/>
      <c r="BD151" s="913"/>
      <c r="BE151" s="913"/>
      <c r="BF151" s="913"/>
      <c r="BG151" s="913"/>
      <c r="BH151" s="913"/>
      <c r="BI151" s="913"/>
      <c r="BJ151" s="913"/>
      <c r="BK151" s="917"/>
      <c r="BL151" s="918"/>
    </row>
    <row r="152" spans="1:64" s="839" customFormat="1">
      <c r="B152" s="920" t="s">
        <v>38</v>
      </c>
      <c r="C152" s="1057">
        <f>311-C205</f>
        <v>287.98399999999998</v>
      </c>
      <c r="D152" s="922">
        <f>E152-C152</f>
        <v>191.87889999999999</v>
      </c>
      <c r="E152" s="1058">
        <f>H152*(1-0.037)</f>
        <v>479.86289999999997</v>
      </c>
      <c r="F152" s="922">
        <f>I152/1.022</f>
        <v>275.34246575342462</v>
      </c>
      <c r="G152" s="922">
        <f>H152-F152</f>
        <v>222.95753424657539</v>
      </c>
      <c r="H152" s="1058">
        <v>498.3</v>
      </c>
      <c r="I152" s="1058">
        <v>281.39999999999998</v>
      </c>
      <c r="J152" s="922">
        <f>K152-I152</f>
        <v>233.20000000000005</v>
      </c>
      <c r="K152" s="1059">
        <v>514.6</v>
      </c>
      <c r="L152" s="1058">
        <v>283.5</v>
      </c>
      <c r="M152" s="922">
        <f>N152-L152</f>
        <v>251.5</v>
      </c>
      <c r="N152" s="1058">
        <v>535</v>
      </c>
      <c r="O152" s="1058">
        <v>427.7</v>
      </c>
      <c r="P152" s="1058">
        <f>Q152-O152</f>
        <v>370.00000000000006</v>
      </c>
      <c r="Q152" s="1058">
        <v>797.7</v>
      </c>
      <c r="R152" s="1058">
        <v>418.5</v>
      </c>
      <c r="S152" s="1058">
        <f>T152-R152</f>
        <v>411.20000000000005</v>
      </c>
      <c r="T152" s="1058">
        <v>829.7</v>
      </c>
      <c r="U152" s="1058">
        <v>447.6</v>
      </c>
      <c r="V152" s="922">
        <f>W152-U152</f>
        <v>392.29999999999995</v>
      </c>
      <c r="W152" s="1058">
        <v>839.9</v>
      </c>
      <c r="X152" s="1058">
        <v>483.7</v>
      </c>
      <c r="Y152" s="922">
        <f>Z152-X152</f>
        <v>395.40000000000003</v>
      </c>
      <c r="Z152" s="1058">
        <v>879.1</v>
      </c>
      <c r="AA152" s="1058">
        <v>518.4</v>
      </c>
      <c r="AB152" s="922">
        <f>AC152-AA152</f>
        <v>433.9</v>
      </c>
      <c r="AC152" s="1060">
        <v>952.3</v>
      </c>
      <c r="AD152" s="922">
        <f>AD146*AD147</f>
        <v>528.54732000000001</v>
      </c>
      <c r="AE152" s="922">
        <f>AF152-AD152</f>
        <v>453.88948032110056</v>
      </c>
      <c r="AF152" s="922">
        <f>AF146*AF147</f>
        <v>982.43680032110058</v>
      </c>
      <c r="AG152" s="922">
        <f>AG146*AG147</f>
        <v>552.16319634000001</v>
      </c>
      <c r="AH152" s="922">
        <f>AI152-AG152</f>
        <v>474.02498558390334</v>
      </c>
      <c r="AI152" s="922">
        <f>AI146*AI147</f>
        <v>1026.1881819239034</v>
      </c>
      <c r="AJ152" s="922"/>
      <c r="AK152" s="922"/>
      <c r="AL152" s="922">
        <f>AL146*AL147</f>
        <v>1081.0514427238138</v>
      </c>
      <c r="AM152" s="922"/>
      <c r="AN152" s="922"/>
      <c r="AO152" s="922">
        <f>AO146*AO147</f>
        <v>1132.0770708203777</v>
      </c>
      <c r="AP152" s="922"/>
      <c r="AQ152" s="922"/>
      <c r="AR152" s="922">
        <f>AR146*AR147</f>
        <v>1178.698706144316</v>
      </c>
      <c r="AS152" s="922"/>
      <c r="AT152" s="922"/>
      <c r="AU152" s="922">
        <f>AU146*AU147</f>
        <v>1220.3067704712103</v>
      </c>
      <c r="AV152" s="922"/>
      <c r="AW152" s="922"/>
      <c r="AX152" s="922">
        <f>AX146*AX147</f>
        <v>1263.3835994688438</v>
      </c>
      <c r="AY152" s="922"/>
      <c r="AZ152" s="922"/>
      <c r="BA152" s="922">
        <f>BA146*BA147</f>
        <v>1307.9810405300939</v>
      </c>
      <c r="BB152" s="922"/>
      <c r="BC152" s="922"/>
      <c r="BD152" s="922">
        <f>BD146*BD147</f>
        <v>1354.152771260806</v>
      </c>
      <c r="BE152" s="922"/>
      <c r="BF152" s="922"/>
      <c r="BG152" s="922">
        <f>BG146*BG147</f>
        <v>1401.9543640863124</v>
      </c>
      <c r="BH152" s="922"/>
      <c r="BI152" s="922"/>
      <c r="BJ152" s="922">
        <f>BJ146*BJ147</f>
        <v>1451.4433531385589</v>
      </c>
      <c r="BK152" s="864"/>
      <c r="BL152" s="838"/>
    </row>
    <row r="153" spans="1:64">
      <c r="B153" s="812" t="s">
        <v>251</v>
      </c>
      <c r="C153" s="958"/>
      <c r="D153" s="830"/>
      <c r="E153" s="1037"/>
      <c r="F153" s="830">
        <f t="shared" ref="F153:W153" si="398">F152/C152-1</f>
        <v>-4.389665483698868E-2</v>
      </c>
      <c r="G153" s="830">
        <f t="shared" si="398"/>
        <v>0.16197004593300979</v>
      </c>
      <c r="H153" s="944">
        <f t="shared" si="398"/>
        <v>3.842159916926291E-2</v>
      </c>
      <c r="I153" s="944">
        <f t="shared" si="398"/>
        <v>2.200000000000002E-2</v>
      </c>
      <c r="J153" s="944">
        <f t="shared" si="398"/>
        <v>4.5939087853820615E-2</v>
      </c>
      <c r="K153" s="944">
        <f t="shared" si="398"/>
        <v>3.2711218141681764E-2</v>
      </c>
      <c r="L153" s="944">
        <f t="shared" si="398"/>
        <v>7.4626865671643117E-3</v>
      </c>
      <c r="M153" s="944">
        <f t="shared" si="398"/>
        <v>7.8473413379073653E-2</v>
      </c>
      <c r="N153" s="944">
        <f t="shared" si="398"/>
        <v>3.9642440730664585E-2</v>
      </c>
      <c r="O153" s="944">
        <f t="shared" si="398"/>
        <v>0.50864197530864197</v>
      </c>
      <c r="P153" s="944">
        <f t="shared" si="398"/>
        <v>0.47117296222664029</v>
      </c>
      <c r="Q153" s="944">
        <f t="shared" si="398"/>
        <v>0.49102803738317768</v>
      </c>
      <c r="R153" s="944">
        <f t="shared" si="398"/>
        <v>-2.1510404489127888E-2</v>
      </c>
      <c r="S153" s="944">
        <f t="shared" si="398"/>
        <v>0.11135135135135132</v>
      </c>
      <c r="T153" s="944">
        <f t="shared" si="398"/>
        <v>4.0115331578287616E-2</v>
      </c>
      <c r="U153" s="944">
        <f t="shared" si="398"/>
        <v>6.9534050179211437E-2</v>
      </c>
      <c r="V153" s="944">
        <f>V152/S152-1</f>
        <v>-4.5963035019455423E-2</v>
      </c>
      <c r="W153" s="944">
        <f t="shared" si="398"/>
        <v>1.2293600096420221E-2</v>
      </c>
      <c r="X153" s="944">
        <f t="shared" ref="X153:AC153" si="399">X152/U152-1</f>
        <v>8.0652368185880174E-2</v>
      </c>
      <c r="Y153" s="944">
        <f t="shared" si="399"/>
        <v>7.9021157277596732E-3</v>
      </c>
      <c r="Z153" s="852">
        <f t="shared" si="399"/>
        <v>4.6672222883676673E-2</v>
      </c>
      <c r="AA153" s="944">
        <f t="shared" si="399"/>
        <v>7.1738681000620197E-2</v>
      </c>
      <c r="AB153" s="944">
        <f t="shared" si="399"/>
        <v>9.7369752149721656E-2</v>
      </c>
      <c r="AC153" s="853">
        <f t="shared" si="399"/>
        <v>8.3266977590717772E-2</v>
      </c>
      <c r="AD153" s="944">
        <f t="shared" ref="AD153" si="400">AD152/AA152-1</f>
        <v>1.9574305555555727E-2</v>
      </c>
      <c r="AE153" s="944">
        <f>AE152/AB152-1</f>
        <v>4.6069325469233924E-2</v>
      </c>
      <c r="AF153" s="852">
        <f>AF152/AC152-1</f>
        <v>3.1646330275229007E-2</v>
      </c>
      <c r="AG153" s="944">
        <f t="shared" ref="AG153" si="401">AG152/AD152-1</f>
        <v>4.4680722891566216E-2</v>
      </c>
      <c r="AH153" s="944">
        <f>AH152/AE152-1</f>
        <v>4.4362132492161033E-2</v>
      </c>
      <c r="AI153" s="852">
        <f>AI152/AF152-1</f>
        <v>4.453353293413187E-2</v>
      </c>
      <c r="AJ153" s="852"/>
      <c r="AK153" s="852"/>
      <c r="AL153" s="852">
        <f>AL152/AI152-1</f>
        <v>5.3463157894736657E-2</v>
      </c>
      <c r="AM153" s="852"/>
      <c r="AN153" s="852"/>
      <c r="AO153" s="852">
        <f>AO152/AL152-1</f>
        <v>4.7199999999999909E-2</v>
      </c>
      <c r="AP153" s="852"/>
      <c r="AQ153" s="852"/>
      <c r="AR153" s="852">
        <f>AR152/AO152-1</f>
        <v>4.1182386363636247E-2</v>
      </c>
      <c r="AS153" s="852"/>
      <c r="AT153" s="852"/>
      <c r="AU153" s="852">
        <f>AU152/AR152-1</f>
        <v>3.5299999999999887E-2</v>
      </c>
      <c r="AV153" s="852"/>
      <c r="AW153" s="852"/>
      <c r="AX153" s="852">
        <f>AX152/AU152-1</f>
        <v>3.5299999999999887E-2</v>
      </c>
      <c r="AY153" s="852"/>
      <c r="AZ153" s="852"/>
      <c r="BA153" s="852">
        <f>BA152/AX152-1</f>
        <v>3.5299999999999887E-2</v>
      </c>
      <c r="BB153" s="852"/>
      <c r="BC153" s="852"/>
      <c r="BD153" s="852">
        <f t="shared" ref="BD153" si="402">BD152/BA152-1</f>
        <v>3.5299999999999887E-2</v>
      </c>
      <c r="BE153" s="852"/>
      <c r="BF153" s="852"/>
      <c r="BG153" s="852">
        <f>BG152/BD152-1</f>
        <v>3.5299999999999887E-2</v>
      </c>
      <c r="BH153" s="852"/>
      <c r="BI153" s="852"/>
      <c r="BJ153" s="852">
        <f>BJ152/BG152-1</f>
        <v>3.5299999999999887E-2</v>
      </c>
    </row>
    <row r="154" spans="1:64" s="942" customFormat="1">
      <c r="B154" s="942" t="s">
        <v>176</v>
      </c>
      <c r="C154" s="951"/>
      <c r="D154" s="1055"/>
      <c r="E154" s="1061"/>
      <c r="F154" s="1055"/>
      <c r="G154" s="1055"/>
      <c r="H154" s="1061"/>
      <c r="I154" s="951">
        <v>2.1000000000000001E-2</v>
      </c>
      <c r="J154" s="1055"/>
      <c r="K154" s="952">
        <v>3.2000000000000001E-2</v>
      </c>
      <c r="L154" s="951">
        <v>-5.0000000000000001E-3</v>
      </c>
      <c r="M154" s="1055"/>
      <c r="N154" s="1062">
        <v>0.03</v>
      </c>
      <c r="O154" s="951">
        <v>0.50800000000000001</v>
      </c>
      <c r="P154" s="951"/>
      <c r="Q154" s="1062">
        <v>0.48</v>
      </c>
      <c r="R154" s="951">
        <v>-3.6999999999999998E-2</v>
      </c>
      <c r="S154" s="951">
        <v>6.7000000000000004E-2</v>
      </c>
      <c r="T154" s="1062">
        <v>1.0999999999999999E-2</v>
      </c>
      <c r="U154" s="951">
        <v>0.02</v>
      </c>
      <c r="V154" s="951">
        <v>0.03</v>
      </c>
      <c r="W154" s="1062">
        <v>0</v>
      </c>
      <c r="X154" s="1062">
        <v>0.02</v>
      </c>
      <c r="Y154" s="951">
        <f t="shared" ref="Y154" si="403">(1+Y153)/((1+Y155)*(1+Y156))-1</f>
        <v>-3.043821041416872E-2</v>
      </c>
      <c r="Z154" s="1062">
        <v>-8.0000000000000002E-3</v>
      </c>
      <c r="AA154" s="1062">
        <v>3.9E-2</v>
      </c>
      <c r="AB154" s="1062">
        <v>7.1999999999999995E-2</v>
      </c>
      <c r="AC154" s="1063">
        <v>5.3999999999999999E-2</v>
      </c>
      <c r="AD154" s="951">
        <f>(1+AD153)/((1+AD155)*(1+AD156))-1</f>
        <v>6.2814070351802087E-6</v>
      </c>
      <c r="AE154" s="951">
        <f t="shared" ref="AD154:AE154" si="404">(1+AE153)/((1+AE155)*(1+AE156))-1</f>
        <v>2.5103072904979262E-2</v>
      </c>
      <c r="AF154" s="951">
        <f t="shared" ref="AF154:AU154" si="405">(1+AF153)/((1+AF155)*(1+AF156))-1</f>
        <v>1.5459415833973589E-2</v>
      </c>
      <c r="AG154" s="951">
        <f t="shared" si="405"/>
        <v>2.6282424242424218E-2</v>
      </c>
      <c r="AH154" s="951">
        <f t="shared" si="405"/>
        <v>2.6182872422321202E-2</v>
      </c>
      <c r="AI154" s="951">
        <f t="shared" si="405"/>
        <v>2.6245180722891615E-2</v>
      </c>
      <c r="AJ154" s="951"/>
      <c r="AK154" s="951"/>
      <c r="AL154" s="951">
        <f t="shared" si="405"/>
        <v>3.9860792951541768E-2</v>
      </c>
      <c r="AM154" s="951"/>
      <c r="AN154" s="951"/>
      <c r="AO154" s="951">
        <f t="shared" si="405"/>
        <v>3.8283573487031708E-2</v>
      </c>
      <c r="AP154" s="951"/>
      <c r="AQ154" s="951"/>
      <c r="AR154" s="951">
        <f t="shared" si="405"/>
        <v>3.6772688477951565E-2</v>
      </c>
      <c r="AS154" s="951"/>
      <c r="AT154" s="951"/>
      <c r="AU154" s="951">
        <f t="shared" si="405"/>
        <v>3.5299999999999887E-2</v>
      </c>
      <c r="AV154" s="951"/>
      <c r="AW154" s="951"/>
      <c r="AX154" s="951">
        <f t="shared" ref="AX154:BA154" si="406">(1+AX153)/((1+AX155)*(1+AX156))-1</f>
        <v>3.5299999999999887E-2</v>
      </c>
      <c r="AY154" s="951"/>
      <c r="AZ154" s="951"/>
      <c r="BA154" s="951">
        <f t="shared" si="406"/>
        <v>3.5299999999999887E-2</v>
      </c>
      <c r="BB154" s="951"/>
      <c r="BC154" s="951"/>
      <c r="BD154" s="951">
        <f t="shared" ref="BD154:BG154" si="407">(1+BD153)/((1+BD155)*(1+BD156))-1</f>
        <v>3.5299999999999887E-2</v>
      </c>
      <c r="BE154" s="951"/>
      <c r="BF154" s="951"/>
      <c r="BG154" s="951">
        <f t="shared" si="407"/>
        <v>3.5299999999999887E-2</v>
      </c>
      <c r="BH154" s="951"/>
      <c r="BI154" s="951"/>
      <c r="BJ154" s="951">
        <f t="shared" ref="BJ154" si="408">(1+BJ153)/((1+BJ155)*(1+BJ156))-1</f>
        <v>3.5299999999999887E-2</v>
      </c>
      <c r="BK154" s="1039"/>
      <c r="BL154" s="1040"/>
    </row>
    <row r="155" spans="1:64" s="950" customFormat="1">
      <c r="B155" s="950" t="s">
        <v>808</v>
      </c>
      <c r="C155" s="902"/>
      <c r="D155" s="830"/>
      <c r="E155" s="1064"/>
      <c r="F155" s="830">
        <f t="shared" ref="F155:AI155" si="409">F146/C146-1</f>
        <v>6.7460317460317443E-2</v>
      </c>
      <c r="G155" s="830">
        <f t="shared" si="409"/>
        <v>1.1235955056179803E-2</v>
      </c>
      <c r="H155" s="1064">
        <f t="shared" si="409"/>
        <v>5.4901960784313752E-2</v>
      </c>
      <c r="I155" s="902">
        <f t="shared" si="409"/>
        <v>3.7174721189590088E-3</v>
      </c>
      <c r="J155" s="830">
        <f t="shared" si="409"/>
        <v>7.4074074074073071E-3</v>
      </c>
      <c r="K155" s="904">
        <f t="shared" si="409"/>
        <v>3.7174721189590088E-3</v>
      </c>
      <c r="L155" s="902">
        <f t="shared" si="409"/>
        <v>1.8518518518518601E-2</v>
      </c>
      <c r="M155" s="902">
        <f t="shared" si="409"/>
        <v>2.2058823529411686E-2</v>
      </c>
      <c r="N155" s="902">
        <f t="shared" si="409"/>
        <v>1.8518518518518601E-2</v>
      </c>
      <c r="O155" s="902">
        <f t="shared" si="409"/>
        <v>1.8181818181818077E-2</v>
      </c>
      <c r="P155" s="902">
        <f t="shared" si="409"/>
        <v>1.7985611510791477E-2</v>
      </c>
      <c r="Q155" s="902">
        <f t="shared" si="409"/>
        <v>2.1818181818181737E-2</v>
      </c>
      <c r="R155" s="902">
        <f t="shared" si="409"/>
        <v>2.4999999999999911E-2</v>
      </c>
      <c r="S155" s="902">
        <f t="shared" si="409"/>
        <v>3.180212014134276E-2</v>
      </c>
      <c r="T155" s="902">
        <f t="shared" si="409"/>
        <v>2.8469750889679624E-2</v>
      </c>
      <c r="U155" s="902">
        <f t="shared" si="409"/>
        <v>3.4843205574912828E-2</v>
      </c>
      <c r="V155" s="902">
        <f t="shared" si="409"/>
        <v>5.1369863013698724E-2</v>
      </c>
      <c r="W155" s="902">
        <f t="shared" si="409"/>
        <v>5.1903114186851118E-2</v>
      </c>
      <c r="X155" s="902">
        <f t="shared" si="409"/>
        <v>7.4074074074074181E-2</v>
      </c>
      <c r="Y155" s="902">
        <f t="shared" si="409"/>
        <v>5.5374592833876246E-2</v>
      </c>
      <c r="Z155" s="902">
        <f t="shared" si="409"/>
        <v>4.9342105263157965E-2</v>
      </c>
      <c r="AA155" s="902">
        <f t="shared" si="409"/>
        <v>1.5673981191222541E-2</v>
      </c>
      <c r="AB155" s="902">
        <f t="shared" si="409"/>
        <v>9.2592592592593004E-3</v>
      </c>
      <c r="AC155" s="905">
        <f t="shared" si="409"/>
        <v>2.5078369905956022E-2</v>
      </c>
      <c r="AD155" s="902">
        <f t="shared" si="409"/>
        <v>2.4691358024691468E-2</v>
      </c>
      <c r="AE155" s="902">
        <f t="shared" si="409"/>
        <v>2.7522935779816571E-2</v>
      </c>
      <c r="AF155" s="902">
        <f t="shared" si="409"/>
        <v>2.1406727828746197E-2</v>
      </c>
      <c r="AG155" s="902">
        <f t="shared" si="409"/>
        <v>2.4096385542168752E-2</v>
      </c>
      <c r="AH155" s="902">
        <f t="shared" si="409"/>
        <v>2.3809523809523725E-2</v>
      </c>
      <c r="AI155" s="902">
        <f t="shared" si="409"/>
        <v>2.39520958083832E-2</v>
      </c>
      <c r="AJ155" s="902"/>
      <c r="AK155" s="902"/>
      <c r="AL155" s="902">
        <f>AL146/AI146-1</f>
        <v>1.7543859649122862E-2</v>
      </c>
      <c r="AM155" s="902"/>
      <c r="AN155" s="902"/>
      <c r="AO155" s="902">
        <f>AO146/AL146-1</f>
        <v>1.1494252873563315E-2</v>
      </c>
      <c r="AP155" s="902"/>
      <c r="AQ155" s="902"/>
      <c r="AR155" s="902">
        <f>AR146/AO146-1</f>
        <v>5.6818181818181213E-3</v>
      </c>
      <c r="AS155" s="902"/>
      <c r="AT155" s="902"/>
      <c r="AU155" s="902">
        <f>AU146/AR146-1</f>
        <v>0</v>
      </c>
      <c r="AV155" s="902"/>
      <c r="AW155" s="902"/>
      <c r="AX155" s="902">
        <f>AX146/AU146-1</f>
        <v>0</v>
      </c>
      <c r="AY155" s="902"/>
      <c r="AZ155" s="902"/>
      <c r="BA155" s="902">
        <f>BA146/AX146-1</f>
        <v>0</v>
      </c>
      <c r="BB155" s="902"/>
      <c r="BC155" s="902"/>
      <c r="BD155" s="902">
        <f>BD146/BA146-1</f>
        <v>0</v>
      </c>
      <c r="BE155" s="902"/>
      <c r="BF155" s="902"/>
      <c r="BG155" s="902">
        <f>BG146/BD146-1</f>
        <v>0</v>
      </c>
      <c r="BH155" s="902"/>
      <c r="BI155" s="902"/>
      <c r="BJ155" s="902">
        <f>BJ146/BG146-1</f>
        <v>0</v>
      </c>
      <c r="BK155" s="1039"/>
      <c r="BL155" s="1040"/>
    </row>
    <row r="156" spans="1:64" s="950" customFormat="1">
      <c r="B156" s="950" t="s">
        <v>807</v>
      </c>
      <c r="C156" s="958"/>
      <c r="D156" s="1037"/>
      <c r="E156" s="1065"/>
      <c r="F156" s="1037">
        <f t="shared" ref="F156:L156" si="410">(1+F153)/((1+F154)*(1+F155))-1</f>
        <v>-0.10431954282126821</v>
      </c>
      <c r="G156" s="1037">
        <f t="shared" si="410"/>
        <v>0.14905926764486521</v>
      </c>
      <c r="H156" s="893">
        <f t="shared" si="410"/>
        <v>-1.5622647627650421E-2</v>
      </c>
      <c r="I156" s="902">
        <f t="shared" si="410"/>
        <v>-2.7278992998873708E-3</v>
      </c>
      <c r="J156" s="830">
        <f t="shared" si="410"/>
        <v>3.8248359266660259E-2</v>
      </c>
      <c r="K156" s="904">
        <f t="shared" si="410"/>
        <v>-3.0170913001995592E-3</v>
      </c>
      <c r="L156" s="902">
        <f t="shared" si="410"/>
        <v>-5.8842380150412321E-3</v>
      </c>
      <c r="M156" s="830"/>
      <c r="N156" s="902">
        <f>(1+N153)/((1+N154)*(1+N155))-1</f>
        <v>-8.9904360201963351E-3</v>
      </c>
      <c r="O156" s="902">
        <f>(1+O153)/((1+O154)*(1+O155))-1</f>
        <v>-1.7439031806847693E-2</v>
      </c>
      <c r="P156" s="902"/>
      <c r="Q156" s="902">
        <f>(1+Q153)/((1+Q154)*(1+Q155))-1</f>
        <v>-1.4060040683913866E-2</v>
      </c>
      <c r="R156" s="902">
        <f>(1+R153)/((1+R154)*(1+R155))-1</f>
        <v>-8.6978238625512461E-3</v>
      </c>
      <c r="S156" s="902">
        <f t="shared" ref="S156:T156" si="411">(1+S153)/((1+S154)*(1+S155))-1</f>
        <v>9.4633283448422034E-3</v>
      </c>
      <c r="T156" s="902">
        <f t="shared" si="411"/>
        <v>3.1969502770179403E-4</v>
      </c>
      <c r="U156" s="902">
        <f>(1+U153)/((1+U154)*(1+U155))-1</f>
        <v>1.3257649704343288E-2</v>
      </c>
      <c r="V156" s="902">
        <v>-0.01</v>
      </c>
      <c r="W156" s="902">
        <f t="shared" ref="W156" si="412">(1+W153)/((1+W154)*(1+W155))-1</f>
        <v>-3.7655097276758309E-2</v>
      </c>
      <c r="X156" s="902">
        <f>(1+X153)/((1+X154)*(1+X155))-1</f>
        <v>-1.3603315043314246E-2</v>
      </c>
      <c r="Y156" s="902">
        <v>-1.4999999999999999E-2</v>
      </c>
      <c r="Z156" s="902">
        <f t="shared" ref="Z156" si="413">(1+Z153)/((1+Z154)*(1+Z155))-1</f>
        <v>5.4996579426562775E-3</v>
      </c>
      <c r="AA156" s="902">
        <f>(1+AA153)/((1+AA154)*(1+AA155))-1</f>
        <v>1.5591437752343396E-2</v>
      </c>
      <c r="AB156" s="902">
        <f>(1+AB153)/((1+AB154)*(1+AB155))-1</f>
        <v>1.4274384090184888E-2</v>
      </c>
      <c r="AC156" s="905">
        <f>(1+AC153)/((1+AC154)*(1+AC155))-1</f>
        <v>2.623371143101183E-3</v>
      </c>
      <c r="AD156" s="911">
        <v>-5.0000000000000001E-3</v>
      </c>
      <c r="AE156" s="911">
        <f t="shared" ref="AE156:BG156" si="414">AE155*-0.25</f>
        <v>-6.8807339449541427E-3</v>
      </c>
      <c r="AF156" s="911">
        <f t="shared" si="414"/>
        <v>-5.3516819571865493E-3</v>
      </c>
      <c r="AG156" s="911">
        <f t="shared" ref="AG156:AH156" si="415">AG155*-0.25</f>
        <v>-6.0240963855421881E-3</v>
      </c>
      <c r="AH156" s="911">
        <f t="shared" si="415"/>
        <v>-5.9523809523809312E-3</v>
      </c>
      <c r="AI156" s="911">
        <f t="shared" si="414"/>
        <v>-5.9880239520958001E-3</v>
      </c>
      <c r="AJ156" s="911"/>
      <c r="AK156" s="911"/>
      <c r="AL156" s="911">
        <f t="shared" si="414"/>
        <v>-4.3859649122807154E-3</v>
      </c>
      <c r="AM156" s="911"/>
      <c r="AN156" s="911"/>
      <c r="AO156" s="911">
        <f t="shared" si="414"/>
        <v>-2.8735632183908288E-3</v>
      </c>
      <c r="AP156" s="911"/>
      <c r="AQ156" s="911"/>
      <c r="AR156" s="911">
        <f t="shared" si="414"/>
        <v>-1.4204545454545303E-3</v>
      </c>
      <c r="AS156" s="911"/>
      <c r="AT156" s="911"/>
      <c r="AU156" s="911">
        <f t="shared" si="414"/>
        <v>0</v>
      </c>
      <c r="AV156" s="911"/>
      <c r="AW156" s="911"/>
      <c r="AX156" s="911">
        <f t="shared" si="414"/>
        <v>0</v>
      </c>
      <c r="AY156" s="911"/>
      <c r="AZ156" s="911"/>
      <c r="BA156" s="911">
        <f t="shared" si="414"/>
        <v>0</v>
      </c>
      <c r="BB156" s="911"/>
      <c r="BC156" s="911"/>
      <c r="BD156" s="911">
        <f t="shared" si="414"/>
        <v>0</v>
      </c>
      <c r="BE156" s="911"/>
      <c r="BF156" s="911"/>
      <c r="BG156" s="911">
        <f t="shared" si="414"/>
        <v>0</v>
      </c>
      <c r="BH156" s="911"/>
      <c r="BI156" s="911"/>
      <c r="BJ156" s="911">
        <f t="shared" ref="BJ156" si="416">BJ155*-0.25</f>
        <v>0</v>
      </c>
      <c r="BK156" s="1039"/>
      <c r="BL156" s="1040"/>
    </row>
    <row r="157" spans="1:64" s="950" customFormat="1">
      <c r="C157" s="958"/>
      <c r="D157" s="1037"/>
      <c r="E157" s="1065"/>
      <c r="F157" s="1037"/>
      <c r="G157" s="1037"/>
      <c r="H157" s="1065"/>
      <c r="I157" s="1037"/>
      <c r="J157" s="1037"/>
      <c r="K157" s="960"/>
      <c r="L157" s="1037"/>
      <c r="M157" s="1037"/>
      <c r="N157" s="958"/>
      <c r="O157" s="958"/>
      <c r="P157" s="958"/>
      <c r="Q157" s="958"/>
      <c r="R157" s="958"/>
      <c r="S157" s="958"/>
      <c r="T157" s="958"/>
      <c r="U157" s="1037"/>
      <c r="V157" s="958"/>
      <c r="W157" s="958"/>
      <c r="X157" s="1037"/>
      <c r="Y157" s="1037"/>
      <c r="Z157" s="958"/>
      <c r="AA157" s="1037"/>
      <c r="AB157" s="1037"/>
      <c r="AC157" s="1200"/>
      <c r="AD157" s="1037"/>
      <c r="AE157" s="1037"/>
      <c r="AF157" s="958"/>
      <c r="AG157" s="1037"/>
      <c r="AH157" s="1037"/>
      <c r="AI157" s="958"/>
      <c r="AJ157" s="958"/>
      <c r="AK157" s="958"/>
      <c r="AL157" s="958"/>
      <c r="AM157" s="958"/>
      <c r="AN157" s="958"/>
      <c r="AO157" s="958"/>
      <c r="AP157" s="958"/>
      <c r="AQ157" s="958"/>
      <c r="AR157" s="958"/>
      <c r="AS157" s="958"/>
      <c r="AT157" s="958"/>
      <c r="AU157" s="958"/>
      <c r="AV157" s="958"/>
      <c r="AW157" s="958"/>
      <c r="AX157" s="958"/>
      <c r="AY157" s="958"/>
      <c r="AZ157" s="958"/>
      <c r="BA157" s="958"/>
      <c r="BB157" s="958"/>
      <c r="BC157" s="958"/>
      <c r="BD157" s="958"/>
      <c r="BE157" s="958"/>
      <c r="BF157" s="958"/>
      <c r="BG157" s="958"/>
      <c r="BH157" s="958"/>
      <c r="BI157" s="958"/>
      <c r="BJ157" s="958"/>
      <c r="BK157" s="1039"/>
      <c r="BL157" s="1040"/>
    </row>
    <row r="158" spans="1:64" s="950" customFormat="1">
      <c r="B158" s="950" t="s">
        <v>684</v>
      </c>
      <c r="C158" s="834">
        <f>C152*C273</f>
        <v>123.83311999999999</v>
      </c>
      <c r="D158" s="834">
        <f>D152*D273</f>
        <v>69.369167682474242</v>
      </c>
      <c r="E158" s="840">
        <f>E152*E273</f>
        <v>191.94515999999999</v>
      </c>
      <c r="F158" s="840">
        <v>121.15068493150683</v>
      </c>
      <c r="G158" s="840">
        <v>84.285414282298191</v>
      </c>
      <c r="H158" s="840">
        <v>204.30300000000003</v>
      </c>
      <c r="I158" s="991">
        <v>124.09739999999999</v>
      </c>
      <c r="J158" s="991">
        <v>91.846764578550392</v>
      </c>
      <c r="K158" s="1306">
        <v>215.61740000000003</v>
      </c>
      <c r="L158" s="991">
        <v>122</v>
      </c>
      <c r="M158" s="834">
        <f>N158-L158</f>
        <v>99.490000000000009</v>
      </c>
      <c r="N158" s="991">
        <v>221.49</v>
      </c>
      <c r="O158" s="834">
        <f>O159*O152</f>
        <v>186.1928209876543</v>
      </c>
      <c r="P158" s="834">
        <f>Q158-O158</f>
        <v>148.04347901234573</v>
      </c>
      <c r="Q158" s="834">
        <f>Q159*Q152</f>
        <v>334.23630000000003</v>
      </c>
      <c r="R158" s="834">
        <f>R152*R159</f>
        <v>169.63273809523807</v>
      </c>
      <c r="S158" s="834">
        <f>T158-R158</f>
        <v>153.12056190476196</v>
      </c>
      <c r="T158" s="834">
        <f>T152*T159</f>
        <v>322.75330000000002</v>
      </c>
      <c r="U158" s="834">
        <f>U152*U159</f>
        <v>172.02838941798939</v>
      </c>
      <c r="V158" s="834">
        <f>W158-U158</f>
        <v>139.57451058201059</v>
      </c>
      <c r="W158" s="834">
        <f t="shared" ref="W158:AX158" si="417">W152*W159</f>
        <v>311.60289999999998</v>
      </c>
      <c r="X158" s="834">
        <f t="shared" si="417"/>
        <v>195.09318641975307</v>
      </c>
      <c r="Y158" s="834">
        <f>Z158-X158</f>
        <v>143.36031358024695</v>
      </c>
      <c r="Z158" s="834">
        <f t="shared" si="417"/>
        <v>338.45350000000002</v>
      </c>
      <c r="AA158" s="834">
        <f t="shared" ref="AA158" si="418">AA152*AA159</f>
        <v>206.28955428571425</v>
      </c>
      <c r="AB158" s="834">
        <f>AC158-AA158</f>
        <v>154.15599571428572</v>
      </c>
      <c r="AC158" s="836">
        <f t="shared" si="417"/>
        <v>360.44554999999997</v>
      </c>
      <c r="AD158" s="834">
        <f t="shared" si="417"/>
        <v>209.53470807422218</v>
      </c>
      <c r="AE158" s="834">
        <f>AF158-AD158</f>
        <v>160.84396564683271</v>
      </c>
      <c r="AF158" s="834">
        <f t="shared" si="417"/>
        <v>370.37867372105489</v>
      </c>
      <c r="AG158" s="834">
        <f t="shared" ref="AG158" si="419">AG152*AG159</f>
        <v>218.89687030185175</v>
      </c>
      <c r="AH158" s="834">
        <f>AI158-AG158</f>
        <v>167.97607428345984</v>
      </c>
      <c r="AI158" s="834">
        <f t="shared" si="417"/>
        <v>386.87294458531159</v>
      </c>
      <c r="AJ158" s="834"/>
      <c r="AK158" s="834"/>
      <c r="AL158" s="834">
        <f t="shared" si="417"/>
        <v>407.55639390687782</v>
      </c>
      <c r="AM158" s="834"/>
      <c r="AN158" s="834"/>
      <c r="AO158" s="834">
        <f t="shared" si="417"/>
        <v>426.79305569928238</v>
      </c>
      <c r="AP158" s="834"/>
      <c r="AQ158" s="834"/>
      <c r="AR158" s="834">
        <f t="shared" si="417"/>
        <v>444.36941221640717</v>
      </c>
      <c r="AS158" s="834"/>
      <c r="AT158" s="834"/>
      <c r="AU158" s="834">
        <f t="shared" si="417"/>
        <v>460.05565246764627</v>
      </c>
      <c r="AV158" s="834"/>
      <c r="AW158" s="834"/>
      <c r="AX158" s="834">
        <f t="shared" si="417"/>
        <v>476.29561699975415</v>
      </c>
      <c r="AY158" s="834"/>
      <c r="AZ158" s="834"/>
      <c r="BA158" s="834">
        <f t="shared" ref="BA158:BD158" si="420">BA152*BA159</f>
        <v>493.10885227984539</v>
      </c>
      <c r="BB158" s="834"/>
      <c r="BC158" s="834"/>
      <c r="BD158" s="834">
        <f t="shared" si="420"/>
        <v>510.5155947653239</v>
      </c>
      <c r="BE158" s="834"/>
      <c r="BF158" s="834"/>
      <c r="BG158" s="834">
        <f t="shared" ref="BG158:BJ158" si="421">BG152*BG159</f>
        <v>528.53679526053975</v>
      </c>
      <c r="BH158" s="834"/>
      <c r="BI158" s="834"/>
      <c r="BJ158" s="834">
        <f t="shared" si="421"/>
        <v>547.1941441332367</v>
      </c>
      <c r="BK158" s="1039"/>
      <c r="BL158" s="1040"/>
    </row>
    <row r="159" spans="1:64" s="647" customFormat="1">
      <c r="B159" s="647" t="s">
        <v>809</v>
      </c>
      <c r="C159" s="852"/>
      <c r="D159" s="852"/>
      <c r="E159" s="852">
        <f t="shared" ref="E159:P159" si="422">E158/E152</f>
        <v>0.4</v>
      </c>
      <c r="F159" s="852">
        <f t="shared" si="422"/>
        <v>0.44</v>
      </c>
      <c r="G159" s="852">
        <f t="shared" si="422"/>
        <v>0.37803348770929818</v>
      </c>
      <c r="H159" s="852">
        <f t="shared" si="422"/>
        <v>0.41000000000000003</v>
      </c>
      <c r="I159" s="852">
        <f t="shared" si="422"/>
        <v>0.441</v>
      </c>
      <c r="J159" s="852">
        <f t="shared" si="422"/>
        <v>0.39385405050836353</v>
      </c>
      <c r="K159" s="988">
        <f t="shared" si="422"/>
        <v>0.41900000000000004</v>
      </c>
      <c r="L159" s="852">
        <f>L158/L152</f>
        <v>0.43033509700176364</v>
      </c>
      <c r="M159" s="852">
        <f t="shared" si="422"/>
        <v>0.39558648111332012</v>
      </c>
      <c r="N159" s="852">
        <f t="shared" si="422"/>
        <v>0.41400000000000003</v>
      </c>
      <c r="O159" s="955">
        <f>L159+0.5%</f>
        <v>0.43533509700176365</v>
      </c>
      <c r="P159" s="852">
        <f t="shared" si="422"/>
        <v>0.40011751084417757</v>
      </c>
      <c r="Q159" s="955">
        <f>N159+0.5%</f>
        <v>0.41900000000000004</v>
      </c>
      <c r="R159" s="955">
        <f>O159-3%</f>
        <v>0.40533509700176362</v>
      </c>
      <c r="S159" s="852">
        <f>S158/S152</f>
        <v>0.37237490735593859</v>
      </c>
      <c r="T159" s="955">
        <f>Q159-0.03</f>
        <v>0.38900000000000001</v>
      </c>
      <c r="U159" s="955">
        <f>R159-2.1%</f>
        <v>0.3843350970017636</v>
      </c>
      <c r="V159" s="955">
        <f>V158/V152</f>
        <v>0.35578514040787818</v>
      </c>
      <c r="W159" s="955">
        <f>T159-1.8%</f>
        <v>0.371</v>
      </c>
      <c r="X159" s="1067">
        <f>U159+1.9%</f>
        <v>0.40333509700176362</v>
      </c>
      <c r="Y159" s="955">
        <f>Y158/Y152</f>
        <v>0.36257034289389717</v>
      </c>
      <c r="Z159" s="955">
        <f>W159+1.4%</f>
        <v>0.38500000000000001</v>
      </c>
      <c r="AA159" s="1067">
        <f>X159-0.54%</f>
        <v>0.3979350970017636</v>
      </c>
      <c r="AB159" s="955">
        <f>AB158/AB152</f>
        <v>0.35528000856023445</v>
      </c>
      <c r="AC159" s="1113">
        <f>Z159-0.65%</f>
        <v>0.3785</v>
      </c>
      <c r="AD159" s="957">
        <f>AA159-0.15%</f>
        <v>0.3964350970017636</v>
      </c>
      <c r="AE159" s="957">
        <f>AE158/AE152</f>
        <v>0.35436812841100634</v>
      </c>
      <c r="AF159" s="957">
        <f>AC159-0.15%</f>
        <v>0.377</v>
      </c>
      <c r="AG159" s="957">
        <f>AD159</f>
        <v>0.3964350970017636</v>
      </c>
      <c r="AH159" s="957">
        <f>AH158/AH152</f>
        <v>0.35436122439104584</v>
      </c>
      <c r="AI159" s="957">
        <f>AF159</f>
        <v>0.377</v>
      </c>
      <c r="AJ159" s="957"/>
      <c r="AK159" s="957"/>
      <c r="AL159" s="957">
        <f>AI159</f>
        <v>0.377</v>
      </c>
      <c r="AM159" s="957"/>
      <c r="AN159" s="957"/>
      <c r="AO159" s="957">
        <f>AL159</f>
        <v>0.377</v>
      </c>
      <c r="AP159" s="957"/>
      <c r="AQ159" s="957"/>
      <c r="AR159" s="957">
        <f>AO159</f>
        <v>0.377</v>
      </c>
      <c r="AS159" s="957"/>
      <c r="AT159" s="957"/>
      <c r="AU159" s="957">
        <f>AR159</f>
        <v>0.377</v>
      </c>
      <c r="AV159" s="957"/>
      <c r="AW159" s="957"/>
      <c r="AX159" s="957">
        <f>AU159</f>
        <v>0.377</v>
      </c>
      <c r="AY159" s="957"/>
      <c r="AZ159" s="957"/>
      <c r="BA159" s="957">
        <f>AX159</f>
        <v>0.377</v>
      </c>
      <c r="BB159" s="957"/>
      <c r="BC159" s="957"/>
      <c r="BD159" s="957">
        <f>BA159</f>
        <v>0.377</v>
      </c>
      <c r="BE159" s="957"/>
      <c r="BF159" s="957"/>
      <c r="BG159" s="957">
        <f>BD159</f>
        <v>0.377</v>
      </c>
      <c r="BH159" s="957"/>
      <c r="BI159" s="957"/>
      <c r="BJ159" s="957">
        <f t="shared" ref="BJ159" si="423">BG159</f>
        <v>0.377</v>
      </c>
      <c r="BK159" s="1068"/>
      <c r="BL159" s="838"/>
    </row>
    <row r="160" spans="1:64" s="950" customFormat="1">
      <c r="C160" s="958"/>
      <c r="D160" s="1037"/>
      <c r="E160" s="1065"/>
      <c r="F160" s="1037"/>
      <c r="G160" s="1037"/>
      <c r="H160" s="1065"/>
      <c r="I160" s="1037"/>
      <c r="J160" s="1037"/>
      <c r="K160" s="960"/>
      <c r="L160" s="1037"/>
      <c r="M160" s="1037"/>
      <c r="N160" s="958"/>
      <c r="O160" s="958"/>
      <c r="P160" s="958"/>
      <c r="Q160" s="958"/>
      <c r="R160" s="958"/>
      <c r="S160" s="958"/>
      <c r="T160" s="958"/>
      <c r="U160" s="1037"/>
      <c r="V160" s="1037"/>
      <c r="W160" s="958"/>
      <c r="X160" s="1037"/>
      <c r="Y160" s="1037"/>
      <c r="Z160" s="958"/>
      <c r="AA160" s="1037"/>
      <c r="AB160" s="1037"/>
      <c r="AC160" s="1200"/>
      <c r="AD160" s="1037"/>
      <c r="AE160" s="1037"/>
      <c r="AF160" s="958"/>
      <c r="AG160" s="1037"/>
      <c r="AH160" s="1037"/>
      <c r="AI160" s="958"/>
      <c r="AJ160" s="958"/>
      <c r="AK160" s="958"/>
      <c r="AL160" s="958"/>
      <c r="AM160" s="958"/>
      <c r="AN160" s="958"/>
      <c r="AO160" s="958"/>
      <c r="AP160" s="958"/>
      <c r="AQ160" s="958"/>
      <c r="AR160" s="958"/>
      <c r="AS160" s="958"/>
      <c r="AT160" s="958"/>
      <c r="AU160" s="958"/>
      <c r="AV160" s="958"/>
      <c r="AW160" s="958"/>
      <c r="AX160" s="958"/>
      <c r="AY160" s="958"/>
      <c r="AZ160" s="958"/>
      <c r="BA160" s="958"/>
      <c r="BB160" s="958"/>
      <c r="BC160" s="958"/>
      <c r="BD160" s="958"/>
      <c r="BE160" s="958"/>
      <c r="BF160" s="958"/>
      <c r="BG160" s="958"/>
      <c r="BH160" s="958"/>
      <c r="BI160" s="958"/>
      <c r="BJ160" s="958"/>
      <c r="BK160" s="1039"/>
      <c r="BL160" s="1040"/>
    </row>
    <row r="161" spans="2:64" s="950" customFormat="1">
      <c r="B161" s="950" t="s">
        <v>769</v>
      </c>
      <c r="C161" s="958"/>
      <c r="D161" s="1037"/>
      <c r="E161" s="1065"/>
      <c r="F161" s="834">
        <f t="shared" ref="F161:W161" si="424">F166-F158</f>
        <v>-95.850684931506834</v>
      </c>
      <c r="G161" s="834">
        <f t="shared" si="424"/>
        <v>-65.385414282298186</v>
      </c>
      <c r="H161" s="834">
        <f t="shared" si="424"/>
        <v>-160.10300000000001</v>
      </c>
      <c r="I161" s="834">
        <f>I166-I158</f>
        <v>-99.297399999999996</v>
      </c>
      <c r="J161" s="834">
        <f t="shared" si="424"/>
        <v>-76.446764578550386</v>
      </c>
      <c r="K161" s="835">
        <f t="shared" si="424"/>
        <v>-175.41740000000004</v>
      </c>
      <c r="L161" s="834">
        <f t="shared" si="424"/>
        <v>-77.400000000000006</v>
      </c>
      <c r="M161" s="834">
        <f t="shared" si="424"/>
        <v>-64.79000000000002</v>
      </c>
      <c r="N161" s="834">
        <f t="shared" si="424"/>
        <v>-142.19</v>
      </c>
      <c r="O161" s="834">
        <f t="shared" si="424"/>
        <v>-89.492820987654298</v>
      </c>
      <c r="P161" s="834">
        <f t="shared" si="424"/>
        <v>-77.643479012345736</v>
      </c>
      <c r="Q161" s="834">
        <f t="shared" si="424"/>
        <v>-167.13630000000003</v>
      </c>
      <c r="R161" s="834">
        <f t="shared" si="424"/>
        <v>-102.83273809523807</v>
      </c>
      <c r="S161" s="834">
        <f>T161-R161</f>
        <v>-86.520561904761948</v>
      </c>
      <c r="T161" s="834">
        <f>T166-T158</f>
        <v>-189.35330000000002</v>
      </c>
      <c r="U161" s="834">
        <f t="shared" si="424"/>
        <v>-103.12838941798938</v>
      </c>
      <c r="V161" s="834">
        <f>W161-U161</f>
        <v>-79.974510582010595</v>
      </c>
      <c r="W161" s="834">
        <f t="shared" si="424"/>
        <v>-183.10289999999998</v>
      </c>
      <c r="X161" s="834">
        <f t="shared" ref="X161" si="425">X166-X158</f>
        <v>-111.89318641975306</v>
      </c>
      <c r="Y161" s="834">
        <f>Z161-X161</f>
        <v>-86.760313580246944</v>
      </c>
      <c r="Z161" s="834">
        <f t="shared" ref="Z161:AC161" si="426">Z166-Z158</f>
        <v>-198.65350000000001</v>
      </c>
      <c r="AA161" s="834">
        <f t="shared" si="426"/>
        <v>-117.58955428571424</v>
      </c>
      <c r="AB161" s="834">
        <f>AC161-AA161</f>
        <v>-92.155995714285737</v>
      </c>
      <c r="AC161" s="836">
        <f t="shared" si="426"/>
        <v>-209.74554999999998</v>
      </c>
      <c r="AD161" s="834">
        <f t="shared" ref="AD161" si="427">AD152*AD163</f>
        <v>-119.46845029544441</v>
      </c>
      <c r="AE161" s="834">
        <f>AF161-AD161</f>
        <v>-96.128827213358264</v>
      </c>
      <c r="AF161" s="834">
        <f t="shared" ref="AF161:AU161" si="428">AF152*AF163</f>
        <v>-215.59727750880268</v>
      </c>
      <c r="AG161" s="834">
        <f t="shared" si="428"/>
        <v>-125.35855021372002</v>
      </c>
      <c r="AH161" s="834">
        <f>AI161-AG161</f>
        <v>-99.224322844375749</v>
      </c>
      <c r="AI161" s="834">
        <f t="shared" si="428"/>
        <v>-224.58287305809577</v>
      </c>
      <c r="AJ161" s="834"/>
      <c r="AK161" s="834"/>
      <c r="AL161" s="834">
        <f t="shared" si="428"/>
        <v>-236.48167751658198</v>
      </c>
      <c r="AM161" s="834"/>
      <c r="AN161" s="834"/>
      <c r="AO161" s="834">
        <f t="shared" si="428"/>
        <v>-247.53040498828258</v>
      </c>
      <c r="AP161" s="834"/>
      <c r="AQ161" s="834"/>
      <c r="AR161" s="834">
        <f t="shared" si="428"/>
        <v>-257.60642789264296</v>
      </c>
      <c r="AS161" s="834"/>
      <c r="AT161" s="834"/>
      <c r="AU161" s="834">
        <f t="shared" si="428"/>
        <v>-266.57790412020614</v>
      </c>
      <c r="AV161" s="834"/>
      <c r="AW161" s="834"/>
      <c r="AX161" s="834">
        <f t="shared" ref="AX161:BA161" si="429">AX152*AX163</f>
        <v>-275.86176577570251</v>
      </c>
      <c r="AY161" s="834"/>
      <c r="AZ161" s="834"/>
      <c r="BA161" s="834">
        <f t="shared" si="429"/>
        <v>-285.46888800353179</v>
      </c>
      <c r="BB161" s="834"/>
      <c r="BC161" s="834"/>
      <c r="BD161" s="834">
        <f t="shared" ref="BD161:BG161" si="430">BD152*BD163</f>
        <v>-295.41052447293038</v>
      </c>
      <c r="BE161" s="834"/>
      <c r="BF161" s="834"/>
      <c r="BG161" s="834">
        <f t="shared" si="430"/>
        <v>-305.69832055041616</v>
      </c>
      <c r="BH161" s="834"/>
      <c r="BI161" s="834"/>
      <c r="BJ161" s="834">
        <f t="shared" ref="BJ161" si="431">BJ152*BJ163</f>
        <v>-316.34432693053191</v>
      </c>
      <c r="BK161" s="1039"/>
      <c r="BL161" s="1040"/>
    </row>
    <row r="162" spans="2:64">
      <c r="B162" s="812" t="s">
        <v>42</v>
      </c>
      <c r="C162" s="969">
        <v>6.2279374684820921E-2</v>
      </c>
      <c r="D162" s="969">
        <v>5.5979643765902143E-3</v>
      </c>
      <c r="E162" s="902">
        <v>3.4067882472137878E-2</v>
      </c>
      <c r="F162" s="902" t="e">
        <f t="shared" ref="F162" si="432">F161/C161-1</f>
        <v>#DIV/0!</v>
      </c>
      <c r="G162" s="902" t="e">
        <f t="shared" ref="G162" si="433">G161/D161-1</f>
        <v>#DIV/0!</v>
      </c>
      <c r="H162" s="902" t="e">
        <f t="shared" ref="H162" si="434">H161/E161-1</f>
        <v>#DIV/0!</v>
      </c>
      <c r="I162" s="902">
        <f t="shared" ref="I162" si="435">I161/F161-1</f>
        <v>3.5959211673407765E-2</v>
      </c>
      <c r="J162" s="902">
        <f t="shared" ref="J162" si="436">J161/G161-1</f>
        <v>0.16917152575489358</v>
      </c>
      <c r="K162" s="904">
        <f t="shared" ref="K162" si="437">K161/H161-1</f>
        <v>9.5653423108873925E-2</v>
      </c>
      <c r="L162" s="902">
        <f t="shared" ref="L162" si="438">L161/I161-1</f>
        <v>-0.22052339739006244</v>
      </c>
      <c r="M162" s="902">
        <f t="shared" ref="M162" si="439">M161/J161-1</f>
        <v>-0.15248211801786371</v>
      </c>
      <c r="N162" s="902">
        <f t="shared" ref="N162" si="440">N161/K161-1</f>
        <v>-0.18941906561150734</v>
      </c>
      <c r="O162" s="902">
        <f t="shared" ref="O162" si="441">O161/L161-1</f>
        <v>0.15623799725651533</v>
      </c>
      <c r="P162" s="902">
        <f t="shared" ref="P162" si="442">P161/M161-1</f>
        <v>0.19838677284064987</v>
      </c>
      <c r="Q162" s="902">
        <f t="shared" ref="Q162" si="443">Q161/N161-1</f>
        <v>0.17544342077501951</v>
      </c>
      <c r="R162" s="902">
        <f t="shared" ref="R162" si="444">R161/O161-1</f>
        <v>0.14906130972700082</v>
      </c>
      <c r="S162" s="902">
        <f t="shared" ref="S162" si="445">S161/P161-1</f>
        <v>0.11433133864345146</v>
      </c>
      <c r="T162" s="902">
        <f t="shared" ref="T162" si="446">T161/Q161-1</f>
        <v>0.13292743706783017</v>
      </c>
      <c r="U162" s="902">
        <f t="shared" ref="U162" si="447">U161/R161-1</f>
        <v>2.875070023687254E-3</v>
      </c>
      <c r="V162" s="902">
        <f t="shared" ref="V162" si="448">V161/S161-1</f>
        <v>-7.5658909034328259E-2</v>
      </c>
      <c r="W162" s="902">
        <f t="shared" ref="W162" si="449">W161/T161-1</f>
        <v>-3.3009194981022505E-2</v>
      </c>
      <c r="X162" s="902">
        <f t="shared" ref="X162" si="450">X161/U161-1</f>
        <v>8.4989177579794406E-2</v>
      </c>
      <c r="Y162" s="902">
        <f t="shared" ref="Y162" si="451">Y161/V161-1</f>
        <v>8.4849572055558653E-2</v>
      </c>
      <c r="Z162" s="902">
        <f t="shared" ref="Z162" si="452">Z161/W161-1</f>
        <v>8.4928201574087758E-2</v>
      </c>
      <c r="AA162" s="902">
        <f t="shared" ref="AA162:AB162" si="453">AA161/X161-1</f>
        <v>5.090897889521151E-2</v>
      </c>
      <c r="AB162" s="902">
        <f t="shared" si="453"/>
        <v>6.2190671188021796E-2</v>
      </c>
      <c r="AC162" s="905">
        <f>AC161/Z161-1</f>
        <v>5.5836166994288838E-2</v>
      </c>
      <c r="AD162" s="902">
        <f t="shared" ref="AD162" si="454">AD161/AA161-1</f>
        <v>1.5978426154800385E-2</v>
      </c>
      <c r="AE162" s="902">
        <f t="shared" ref="AE162" si="455">AE161/AB161-1</f>
        <v>4.3109853767839823E-2</v>
      </c>
      <c r="AF162" s="902">
        <f>AF161/AC161-1</f>
        <v>2.7899173588201043E-2</v>
      </c>
      <c r="AG162" s="902">
        <f t="shared" ref="AG162" si="456">AG161/AD161-1</f>
        <v>4.9302555643012447E-2</v>
      </c>
      <c r="AH162" s="902">
        <f t="shared" ref="AH162" si="457">AH161/AE161-1</f>
        <v>3.2201533304333507E-2</v>
      </c>
      <c r="AI162" s="902">
        <f t="shared" ref="AI162" si="458">AI161/AF161-1</f>
        <v>4.1677685604941006E-2</v>
      </c>
      <c r="AJ162" s="902"/>
      <c r="AK162" s="902"/>
      <c r="AL162" s="902">
        <f t="shared" ref="AL162" si="459">AL161/AI161-1</f>
        <v>5.2981798195306684E-2</v>
      </c>
      <c r="AM162" s="902"/>
      <c r="AN162" s="902"/>
      <c r="AO162" s="902">
        <f t="shared" ref="AO162" si="460">AO161/AL161-1</f>
        <v>4.6721283389601576E-2</v>
      </c>
      <c r="AP162" s="902"/>
      <c r="AQ162" s="902"/>
      <c r="AR162" s="902">
        <f t="shared" ref="AR162" si="461">AR161/AO161-1</f>
        <v>4.0706202960550719E-2</v>
      </c>
      <c r="AS162" s="902"/>
      <c r="AT162" s="902"/>
      <c r="AU162" s="902">
        <f t="shared" ref="AU162" si="462">AU161/AR161-1</f>
        <v>3.4826290248091363E-2</v>
      </c>
      <c r="AV162" s="902"/>
      <c r="AW162" s="902"/>
      <c r="AX162" s="902">
        <f t="shared" ref="AX162" si="463">AX161/AU161-1</f>
        <v>3.4826073399204294E-2</v>
      </c>
      <c r="AY162" s="902"/>
      <c r="AZ162" s="902"/>
      <c r="BA162" s="902">
        <f t="shared" ref="BA162" si="464">BA161/AX161-1</f>
        <v>3.4825856351694107E-2</v>
      </c>
      <c r="BB162" s="902"/>
      <c r="BC162" s="902"/>
      <c r="BD162" s="902">
        <f t="shared" ref="BD162" si="465">BD161/BA161-1</f>
        <v>3.4825639105287021E-2</v>
      </c>
      <c r="BE162" s="902"/>
      <c r="BF162" s="902"/>
      <c r="BG162" s="902">
        <f>BG161/BD161-1</f>
        <v>3.4825421659709699E-2</v>
      </c>
      <c r="BH162" s="902"/>
      <c r="BI162" s="902"/>
      <c r="BJ162" s="902">
        <f t="shared" ref="BJ162" si="466">BJ161/BG161-1</f>
        <v>3.4825204014688138E-2</v>
      </c>
      <c r="BK162" s="873"/>
    </row>
    <row r="163" spans="2:64" s="1075" customFormat="1">
      <c r="B163" s="1069" t="s">
        <v>768</v>
      </c>
      <c r="C163" s="1070"/>
      <c r="D163" s="1070"/>
      <c r="E163" s="1070"/>
      <c r="F163" s="1070">
        <f>-F161/F152</f>
        <v>0.34811442786069652</v>
      </c>
      <c r="G163" s="1070">
        <f>-G161/G152</f>
        <v>0.29326398187551944</v>
      </c>
      <c r="H163" s="1070">
        <f t="shared" ref="H163:W163" si="467">H161/H152</f>
        <v>-0.3212984146096729</v>
      </c>
      <c r="I163" s="1070">
        <f t="shared" si="467"/>
        <v>-0.35286922530206116</v>
      </c>
      <c r="J163" s="1070">
        <f t="shared" si="467"/>
        <v>-0.32781631465930688</v>
      </c>
      <c r="K163" s="915">
        <f t="shared" si="467"/>
        <v>-0.34088107267780809</v>
      </c>
      <c r="L163" s="1070">
        <f t="shared" si="467"/>
        <v>-0.27301587301587305</v>
      </c>
      <c r="M163" s="1070">
        <f t="shared" si="467"/>
        <v>-0.25761431411530822</v>
      </c>
      <c r="N163" s="1070">
        <f t="shared" si="467"/>
        <v>-0.26577570093457942</v>
      </c>
      <c r="O163" s="1070">
        <f t="shared" si="467"/>
        <v>-0.20924204112147371</v>
      </c>
      <c r="P163" s="1070">
        <f t="shared" si="467"/>
        <v>-0.20984724057390736</v>
      </c>
      <c r="Q163" s="1070">
        <f t="shared" si="467"/>
        <v>-0.2095227529146296</v>
      </c>
      <c r="R163" s="1070">
        <f t="shared" si="467"/>
        <v>-0.24571741480343626</v>
      </c>
      <c r="S163" s="1070">
        <f t="shared" si="467"/>
        <v>-0.21040992681119147</v>
      </c>
      <c r="T163" s="1070">
        <f t="shared" si="467"/>
        <v>-0.2282189948174039</v>
      </c>
      <c r="U163" s="1070">
        <f t="shared" si="467"/>
        <v>-0.23040301478549904</v>
      </c>
      <c r="V163" s="1070">
        <f>V161/V152</f>
        <v>-0.20386059286773031</v>
      </c>
      <c r="W163" s="1070">
        <f t="shared" si="467"/>
        <v>-0.21800559590427429</v>
      </c>
      <c r="X163" s="1070">
        <f t="shared" ref="X163" si="468">X161/X152</f>
        <v>-0.23132765437203445</v>
      </c>
      <c r="Y163" s="1070">
        <f>Y161/Y152</f>
        <v>-0.219424161811449</v>
      </c>
      <c r="Z163" s="1070">
        <f t="shared" ref="Z163:AC163" si="469">Z161/Z152</f>
        <v>-0.22597372312592423</v>
      </c>
      <c r="AA163" s="1070">
        <f t="shared" si="469"/>
        <v>-0.22683170194003521</v>
      </c>
      <c r="AB163" s="1070">
        <f>AB161/AB152</f>
        <v>-0.21238994172455805</v>
      </c>
      <c r="AC163" s="1071">
        <f t="shared" si="469"/>
        <v>-0.22025154888165493</v>
      </c>
      <c r="AD163" s="1072">
        <f>AA163+0.08%</f>
        <v>-0.22603170194003522</v>
      </c>
      <c r="AE163" s="1072">
        <f>AE161/AE152</f>
        <v>-0.21178906183362672</v>
      </c>
      <c r="AF163" s="1072">
        <f>AC163+0.08%</f>
        <v>-0.21945154888165494</v>
      </c>
      <c r="AG163" s="1072">
        <f>AD163-0.1%</f>
        <v>-0.22703170194003522</v>
      </c>
      <c r="AH163" s="1072">
        <f>AH161/AH152</f>
        <v>-0.20932298056430793</v>
      </c>
      <c r="AI163" s="1072">
        <f>AF163+0.06%</f>
        <v>-0.21885154888165495</v>
      </c>
      <c r="AJ163" s="1072"/>
      <c r="AK163" s="1072"/>
      <c r="AL163" s="1072">
        <f>AI163+0.01%</f>
        <v>-0.21875154888165496</v>
      </c>
      <c r="AM163" s="1072">
        <f t="shared" ref="AM163:BJ163" si="470">AJ163+0.01%</f>
        <v>1E-4</v>
      </c>
      <c r="AN163" s="1072">
        <f t="shared" si="470"/>
        <v>1E-4</v>
      </c>
      <c r="AO163" s="1072">
        <f t="shared" si="470"/>
        <v>-0.21865154888165497</v>
      </c>
      <c r="AP163" s="1072">
        <f t="shared" si="470"/>
        <v>2.0000000000000001E-4</v>
      </c>
      <c r="AQ163" s="1072">
        <f t="shared" si="470"/>
        <v>2.0000000000000001E-4</v>
      </c>
      <c r="AR163" s="1072">
        <f t="shared" si="470"/>
        <v>-0.21855154888165498</v>
      </c>
      <c r="AS163" s="1072">
        <f t="shared" si="470"/>
        <v>3.0000000000000003E-4</v>
      </c>
      <c r="AT163" s="1072">
        <f t="shared" si="470"/>
        <v>3.0000000000000003E-4</v>
      </c>
      <c r="AU163" s="1072">
        <f t="shared" si="470"/>
        <v>-0.21845154888165499</v>
      </c>
      <c r="AV163" s="1072">
        <f t="shared" si="470"/>
        <v>4.0000000000000002E-4</v>
      </c>
      <c r="AW163" s="1072">
        <f t="shared" si="470"/>
        <v>4.0000000000000002E-4</v>
      </c>
      <c r="AX163" s="1072">
        <f t="shared" si="470"/>
        <v>-0.21835154888165501</v>
      </c>
      <c r="AY163" s="1072">
        <f t="shared" si="470"/>
        <v>5.0000000000000001E-4</v>
      </c>
      <c r="AZ163" s="1072">
        <f t="shared" si="470"/>
        <v>5.0000000000000001E-4</v>
      </c>
      <c r="BA163" s="1072">
        <f t="shared" si="470"/>
        <v>-0.21825154888165502</v>
      </c>
      <c r="BB163" s="1072">
        <f t="shared" si="470"/>
        <v>6.0000000000000006E-4</v>
      </c>
      <c r="BC163" s="1072">
        <f t="shared" si="470"/>
        <v>6.0000000000000006E-4</v>
      </c>
      <c r="BD163" s="1072">
        <f t="shared" si="470"/>
        <v>-0.21815154888165503</v>
      </c>
      <c r="BE163" s="1072">
        <f t="shared" si="470"/>
        <v>7.000000000000001E-4</v>
      </c>
      <c r="BF163" s="1072">
        <f t="shared" si="470"/>
        <v>7.000000000000001E-4</v>
      </c>
      <c r="BG163" s="1072">
        <f t="shared" si="470"/>
        <v>-0.21805154888165504</v>
      </c>
      <c r="BH163" s="1072">
        <f t="shared" si="470"/>
        <v>8.0000000000000015E-4</v>
      </c>
      <c r="BI163" s="1072">
        <f t="shared" si="470"/>
        <v>8.0000000000000015E-4</v>
      </c>
      <c r="BJ163" s="1072">
        <f t="shared" si="470"/>
        <v>-0.21795154888165505</v>
      </c>
      <c r="BK163" s="1073"/>
      <c r="BL163" s="1074"/>
    </row>
    <row r="164" spans="2:64" s="1075" customFormat="1">
      <c r="B164" s="1069"/>
      <c r="C164" s="1070"/>
      <c r="D164" s="1070"/>
      <c r="E164" s="1070"/>
      <c r="F164" s="1070"/>
      <c r="G164" s="1070"/>
      <c r="H164" s="1070"/>
      <c r="I164" s="1070"/>
      <c r="J164" s="1070"/>
      <c r="K164" s="915"/>
      <c r="L164" s="1070"/>
      <c r="M164" s="1070"/>
      <c r="N164" s="1070"/>
      <c r="O164" s="1070"/>
      <c r="P164" s="1070"/>
      <c r="Q164" s="1070"/>
      <c r="R164" s="1070"/>
      <c r="S164" s="1070"/>
      <c r="T164" s="1070"/>
      <c r="U164" s="1070"/>
      <c r="V164" s="1070"/>
      <c r="W164" s="1070"/>
      <c r="X164" s="1070"/>
      <c r="Y164" s="1070"/>
      <c r="Z164" s="1070"/>
      <c r="AA164" s="1070"/>
      <c r="AB164" s="1070"/>
      <c r="AC164" s="1071"/>
      <c r="AD164" s="1310"/>
      <c r="AE164" s="1310"/>
      <c r="AF164" s="1310"/>
      <c r="AG164" s="1310"/>
      <c r="AH164" s="1310"/>
      <c r="AI164" s="1310"/>
      <c r="AJ164" s="1310"/>
      <c r="AK164" s="1310"/>
      <c r="AL164" s="1310"/>
      <c r="AM164" s="1310"/>
      <c r="AN164" s="1310"/>
      <c r="AO164" s="1310"/>
      <c r="AP164" s="1310"/>
      <c r="AQ164" s="1310"/>
      <c r="AR164" s="1310"/>
      <c r="AS164" s="1310"/>
      <c r="AT164" s="1310"/>
      <c r="AU164" s="1310"/>
      <c r="AV164" s="1310"/>
      <c r="AW164" s="1310"/>
      <c r="AX164" s="1310"/>
      <c r="AY164" s="1310"/>
      <c r="AZ164" s="1310"/>
      <c r="BA164" s="1310"/>
      <c r="BB164" s="1310"/>
      <c r="BC164" s="1310"/>
      <c r="BD164" s="1310"/>
      <c r="BE164" s="1310"/>
      <c r="BF164" s="1310"/>
      <c r="BG164" s="1310"/>
      <c r="BH164" s="1310"/>
      <c r="BI164" s="1310"/>
      <c r="BJ164" s="1310"/>
      <c r="BK164" s="1073"/>
      <c r="BL164" s="1074"/>
    </row>
    <row r="165" spans="2:64" s="950" customFormat="1">
      <c r="C165" s="958"/>
      <c r="D165" s="1037"/>
      <c r="E165" s="1065"/>
      <c r="F165" s="1037"/>
      <c r="G165" s="1037"/>
      <c r="H165" s="834"/>
      <c r="I165" s="834"/>
      <c r="J165" s="834"/>
      <c r="K165" s="835"/>
      <c r="L165" s="834"/>
      <c r="M165" s="834"/>
      <c r="N165" s="834"/>
      <c r="O165" s="834"/>
      <c r="P165" s="834"/>
      <c r="Q165" s="834"/>
      <c r="R165" s="834"/>
      <c r="S165" s="834"/>
      <c r="T165" s="834"/>
      <c r="U165" s="834"/>
      <c r="V165" s="834"/>
      <c r="W165" s="834"/>
      <c r="X165" s="862">
        <f>X161/U161-1</f>
        <v>8.4989177579794406E-2</v>
      </c>
      <c r="Y165" s="862">
        <f>Y161/V161-1</f>
        <v>8.4849572055558653E-2</v>
      </c>
      <c r="Z165" s="862"/>
      <c r="AA165" s="862"/>
      <c r="AB165" s="862">
        <f>AB161/Y161-1</f>
        <v>6.2190671188021796E-2</v>
      </c>
      <c r="AC165" s="863"/>
      <c r="AD165" s="862"/>
      <c r="AE165" s="862"/>
      <c r="AF165" s="862"/>
      <c r="AG165" s="862"/>
      <c r="AH165" s="862"/>
      <c r="AI165" s="862"/>
      <c r="AJ165" s="862"/>
      <c r="AK165" s="862"/>
      <c r="AL165" s="862"/>
      <c r="AM165" s="862"/>
      <c r="AN165" s="862"/>
      <c r="AO165" s="862"/>
      <c r="AP165" s="862"/>
      <c r="AQ165" s="862"/>
      <c r="AR165" s="958"/>
      <c r="AS165" s="958"/>
      <c r="AT165" s="958"/>
      <c r="AU165" s="958"/>
      <c r="AV165" s="958"/>
      <c r="AW165" s="958"/>
      <c r="AX165" s="958"/>
      <c r="AY165" s="958"/>
      <c r="AZ165" s="958"/>
      <c r="BA165" s="958"/>
      <c r="BB165" s="958"/>
      <c r="BC165" s="958"/>
      <c r="BD165" s="958"/>
      <c r="BE165" s="958"/>
      <c r="BF165" s="958"/>
      <c r="BG165" s="958"/>
      <c r="BH165" s="958"/>
      <c r="BI165" s="958"/>
      <c r="BJ165" s="958"/>
      <c r="BK165" s="1039"/>
      <c r="BL165" s="1040"/>
    </row>
    <row r="166" spans="2:64" s="839" customFormat="1">
      <c r="B166" s="839" t="s">
        <v>66</v>
      </c>
      <c r="C166" s="1041"/>
      <c r="D166" s="1041"/>
      <c r="E166" s="1041"/>
      <c r="F166" s="1041">
        <f>25.3</f>
        <v>25.3</v>
      </c>
      <c r="G166" s="1041">
        <f>H166-F166</f>
        <v>18.900000000000002</v>
      </c>
      <c r="H166" s="1041">
        <v>44.2</v>
      </c>
      <c r="I166" s="1041">
        <v>24.8</v>
      </c>
      <c r="J166" s="834">
        <f>K166-I166</f>
        <v>15.400000000000002</v>
      </c>
      <c r="K166" s="1042">
        <v>40.200000000000003</v>
      </c>
      <c r="L166" s="1041">
        <v>44.6</v>
      </c>
      <c r="M166" s="834">
        <f>N166-L166</f>
        <v>34.699999999999996</v>
      </c>
      <c r="N166" s="1041">
        <v>79.3</v>
      </c>
      <c r="O166" s="1041">
        <v>96.7</v>
      </c>
      <c r="P166" s="1041">
        <f>Q166-O166</f>
        <v>70.399999999999991</v>
      </c>
      <c r="Q166" s="1041">
        <v>167.1</v>
      </c>
      <c r="R166" s="1041">
        <v>66.8</v>
      </c>
      <c r="S166" s="1041">
        <f>T166-R166</f>
        <v>66.600000000000009</v>
      </c>
      <c r="T166" s="1041">
        <v>133.4</v>
      </c>
      <c r="U166" s="840">
        <v>68.900000000000006</v>
      </c>
      <c r="V166" s="834">
        <f t="shared" ref="V166:AU166" si="471">V158+V161</f>
        <v>59.599999999999994</v>
      </c>
      <c r="W166" s="1041">
        <v>128.5</v>
      </c>
      <c r="X166" s="840">
        <v>83.2</v>
      </c>
      <c r="Y166" s="834">
        <f>Y158+Y161</f>
        <v>56.600000000000009</v>
      </c>
      <c r="Z166" s="840">
        <v>139.80000000000001</v>
      </c>
      <c r="AA166" s="840">
        <v>88.7</v>
      </c>
      <c r="AB166" s="834">
        <f>AB158+AB161</f>
        <v>61.999999999999986</v>
      </c>
      <c r="AC166" s="841">
        <v>150.69999999999999</v>
      </c>
      <c r="AD166" s="834">
        <f t="shared" ref="AD166" si="472">AD158+AD161</f>
        <v>90.066257778777768</v>
      </c>
      <c r="AE166" s="834">
        <f>AE158+AE161</f>
        <v>64.715138433474451</v>
      </c>
      <c r="AF166" s="834">
        <f t="shared" si="471"/>
        <v>154.78139621225222</v>
      </c>
      <c r="AG166" s="834">
        <f t="shared" si="471"/>
        <v>93.538320088131726</v>
      </c>
      <c r="AH166" s="834">
        <f>AH158+AH161</f>
        <v>68.751751439084089</v>
      </c>
      <c r="AI166" s="834">
        <f t="shared" si="471"/>
        <v>162.29007152721582</v>
      </c>
      <c r="AJ166" s="834"/>
      <c r="AK166" s="834"/>
      <c r="AL166" s="834">
        <f t="shared" si="471"/>
        <v>171.07471639029583</v>
      </c>
      <c r="AM166" s="834"/>
      <c r="AN166" s="834"/>
      <c r="AO166" s="834">
        <f t="shared" si="471"/>
        <v>179.26265071099979</v>
      </c>
      <c r="AP166" s="834"/>
      <c r="AQ166" s="834"/>
      <c r="AR166" s="834">
        <f t="shared" si="471"/>
        <v>186.76298432376421</v>
      </c>
      <c r="AS166" s="834"/>
      <c r="AT166" s="834"/>
      <c r="AU166" s="834">
        <f t="shared" si="471"/>
        <v>193.47774834744013</v>
      </c>
      <c r="AV166" s="834"/>
      <c r="AW166" s="834"/>
      <c r="AX166" s="834">
        <f t="shared" ref="AX166:BA166" si="473">AX158+AX161</f>
        <v>200.43385122405164</v>
      </c>
      <c r="AY166" s="834"/>
      <c r="AZ166" s="834"/>
      <c r="BA166" s="834">
        <f t="shared" si="473"/>
        <v>207.63996427631361</v>
      </c>
      <c r="BB166" s="834"/>
      <c r="BC166" s="834"/>
      <c r="BD166" s="834">
        <f t="shared" ref="BD166:BG166" si="474">BD158+BD161</f>
        <v>215.10507029239352</v>
      </c>
      <c r="BE166" s="834"/>
      <c r="BF166" s="834"/>
      <c r="BG166" s="834">
        <f t="shared" si="474"/>
        <v>222.83847471012359</v>
      </c>
      <c r="BH166" s="834"/>
      <c r="BI166" s="834"/>
      <c r="BJ166" s="834">
        <f t="shared" ref="BJ166" si="475">BJ158+BJ161</f>
        <v>230.8498172027048</v>
      </c>
      <c r="BK166" s="864"/>
      <c r="BL166" s="865"/>
    </row>
    <row r="167" spans="2:64" s="950" customFormat="1">
      <c r="B167" s="950" t="s">
        <v>286</v>
      </c>
      <c r="C167" s="958"/>
      <c r="D167" s="1037"/>
      <c r="E167" s="1065"/>
      <c r="F167" s="902">
        <f>F166/F152</f>
        <v>9.1885572139303498E-2</v>
      </c>
      <c r="G167" s="902">
        <f>G166/G152</f>
        <v>8.4769505833778763E-2</v>
      </c>
      <c r="H167" s="902">
        <f>H166/H152</f>
        <v>8.8701585390327117E-2</v>
      </c>
      <c r="I167" s="902">
        <f>I166/I152</f>
        <v>8.8130774697938882E-2</v>
      </c>
      <c r="J167" s="1037"/>
      <c r="K167" s="904">
        <f t="shared" ref="K167:AX167" si="476">K166/K152</f>
        <v>7.8118927322192E-2</v>
      </c>
      <c r="L167" s="902">
        <f t="shared" si="476"/>
        <v>0.15731922398589065</v>
      </c>
      <c r="M167" s="902">
        <f t="shared" si="476"/>
        <v>0.1379721669980119</v>
      </c>
      <c r="N167" s="902">
        <f t="shared" si="476"/>
        <v>0.14822429906542056</v>
      </c>
      <c r="O167" s="902">
        <f t="shared" si="476"/>
        <v>0.22609305588028994</v>
      </c>
      <c r="P167" s="902">
        <f t="shared" si="476"/>
        <v>0.19027027027027021</v>
      </c>
      <c r="Q167" s="902">
        <f t="shared" si="476"/>
        <v>0.20947724708537041</v>
      </c>
      <c r="R167" s="902">
        <f t="shared" si="476"/>
        <v>0.15961768219832737</v>
      </c>
      <c r="S167" s="902">
        <f t="shared" si="476"/>
        <v>0.16196498054474709</v>
      </c>
      <c r="T167" s="902">
        <f t="shared" si="476"/>
        <v>0.16078100518259611</v>
      </c>
      <c r="U167" s="958">
        <f t="shared" si="476"/>
        <v>0.15393208221626453</v>
      </c>
      <c r="V167" s="902">
        <f t="shared" si="476"/>
        <v>0.15192454754014784</v>
      </c>
      <c r="W167" s="902">
        <f t="shared" si="476"/>
        <v>0.15299440409572568</v>
      </c>
      <c r="X167" s="902">
        <f t="shared" si="476"/>
        <v>0.17200744262972917</v>
      </c>
      <c r="Y167" s="902">
        <f t="shared" si="476"/>
        <v>0.14314618108244817</v>
      </c>
      <c r="Z167" s="852">
        <f t="shared" si="476"/>
        <v>0.15902627687407578</v>
      </c>
      <c r="AA167" s="902">
        <f t="shared" ref="AA167:AB167" si="477">AA166/AA152</f>
        <v>0.17110339506172842</v>
      </c>
      <c r="AB167" s="902">
        <f t="shared" si="477"/>
        <v>0.1428900668356764</v>
      </c>
      <c r="AC167" s="853">
        <f t="shared" si="476"/>
        <v>0.15824845111834507</v>
      </c>
      <c r="AD167" s="902">
        <f t="shared" si="476"/>
        <v>0.17040339506172839</v>
      </c>
      <c r="AE167" s="902">
        <f t="shared" si="476"/>
        <v>0.14257906657737965</v>
      </c>
      <c r="AF167" s="852">
        <f t="shared" si="476"/>
        <v>0.15754845111834503</v>
      </c>
      <c r="AG167" s="902">
        <f t="shared" ref="AG167:AH167" si="478">AG166/AG152</f>
        <v>0.16940339506172841</v>
      </c>
      <c r="AH167" s="902">
        <f t="shared" si="478"/>
        <v>0.14503824382673788</v>
      </c>
      <c r="AI167" s="852">
        <f t="shared" si="476"/>
        <v>0.15814845111834505</v>
      </c>
      <c r="AJ167" s="852"/>
      <c r="AK167" s="852"/>
      <c r="AL167" s="852">
        <f t="shared" si="476"/>
        <v>0.15824845111834504</v>
      </c>
      <c r="AM167" s="852"/>
      <c r="AN167" s="852"/>
      <c r="AO167" s="852">
        <f t="shared" si="476"/>
        <v>0.15834845111834503</v>
      </c>
      <c r="AP167" s="852"/>
      <c r="AQ167" s="852"/>
      <c r="AR167" s="852">
        <f t="shared" si="476"/>
        <v>0.15844845111834505</v>
      </c>
      <c r="AS167" s="852"/>
      <c r="AT167" s="852"/>
      <c r="AU167" s="852">
        <f t="shared" si="476"/>
        <v>0.15854845111834501</v>
      </c>
      <c r="AV167" s="852"/>
      <c r="AW167" s="852"/>
      <c r="AX167" s="852">
        <f t="shared" si="476"/>
        <v>0.158648451118345</v>
      </c>
      <c r="AY167" s="852"/>
      <c r="AZ167" s="852"/>
      <c r="BA167" s="852">
        <f t="shared" ref="BA167:BD167" si="479">BA166/BA152</f>
        <v>0.15874845111834499</v>
      </c>
      <c r="BB167" s="852"/>
      <c r="BC167" s="852"/>
      <c r="BD167" s="852">
        <f t="shared" si="479"/>
        <v>0.15884845111834497</v>
      </c>
      <c r="BE167" s="852"/>
      <c r="BF167" s="852"/>
      <c r="BG167" s="852">
        <f t="shared" ref="BG167:BJ167" si="480">BG166/BG152</f>
        <v>0.15894845111834494</v>
      </c>
      <c r="BH167" s="852"/>
      <c r="BI167" s="852"/>
      <c r="BJ167" s="852">
        <f t="shared" si="480"/>
        <v>0.15904845111834498</v>
      </c>
      <c r="BK167" s="906"/>
      <c r="BL167" s="1040"/>
    </row>
    <row r="168" spans="2:64" s="650" customFormat="1">
      <c r="C168" s="1076"/>
      <c r="D168" s="1076"/>
      <c r="E168" s="1076"/>
      <c r="F168" s="1076"/>
      <c r="G168" s="1076"/>
      <c r="H168" s="1076"/>
      <c r="I168" s="1076"/>
      <c r="J168" s="1076"/>
      <c r="K168" s="1077"/>
      <c r="L168" s="1076"/>
      <c r="M168" s="1076"/>
      <c r="N168" s="1076"/>
      <c r="O168" s="1076"/>
      <c r="P168" s="1076"/>
      <c r="Q168" s="1076"/>
      <c r="R168" s="1076"/>
      <c r="S168" s="1076"/>
      <c r="T168" s="1076"/>
      <c r="U168" s="1076"/>
      <c r="V168" s="1076"/>
      <c r="W168" s="1076"/>
      <c r="X168" s="1076"/>
      <c r="Y168" s="1076"/>
      <c r="Z168" s="1076"/>
      <c r="AA168" s="1266"/>
      <c r="AB168" s="1076"/>
      <c r="AC168" s="1078"/>
      <c r="AD168" s="1076"/>
      <c r="AE168" s="1076"/>
      <c r="AF168" s="1076"/>
      <c r="AG168" s="1076"/>
      <c r="AH168" s="1076"/>
      <c r="AI168" s="1076"/>
      <c r="AJ168" s="1076"/>
      <c r="AK168" s="1076"/>
      <c r="AL168" s="1076"/>
      <c r="AM168" s="1076"/>
      <c r="AN168" s="1076"/>
      <c r="AO168" s="1076"/>
      <c r="AP168" s="1076"/>
      <c r="AQ168" s="1076"/>
      <c r="AR168" s="1076"/>
      <c r="AS168" s="1076"/>
      <c r="AT168" s="1076"/>
      <c r="AU168" s="1076"/>
      <c r="AV168" s="1076"/>
      <c r="AW168" s="1076"/>
      <c r="AX168" s="1076"/>
      <c r="AY168" s="1076"/>
      <c r="AZ168" s="1076"/>
      <c r="BA168" s="1076"/>
      <c r="BB168" s="1076"/>
      <c r="BC168" s="1076"/>
      <c r="BD168" s="1076"/>
      <c r="BE168" s="1076"/>
      <c r="BF168" s="1076"/>
      <c r="BG168" s="1076"/>
      <c r="BH168" s="1076"/>
      <c r="BI168" s="1076"/>
      <c r="BJ168" s="1076"/>
      <c r="BL168" s="999"/>
    </row>
    <row r="169" spans="2:64" s="950" customFormat="1">
      <c r="B169" s="950" t="s">
        <v>39</v>
      </c>
      <c r="C169" s="958"/>
      <c r="D169" s="1037"/>
      <c r="E169" s="1065"/>
      <c r="F169" s="834">
        <f>F172-F166</f>
        <v>-5.4000000000000021</v>
      </c>
      <c r="G169" s="834">
        <f>G172-G166</f>
        <v>-11.5</v>
      </c>
      <c r="H169" s="834">
        <f>H172-H166</f>
        <v>-16.900000000000002</v>
      </c>
      <c r="I169" s="834">
        <f>I172-I166</f>
        <v>-9.4</v>
      </c>
      <c r="J169" s="834">
        <f>K169-I169</f>
        <v>-10.000000000000002</v>
      </c>
      <c r="K169" s="835">
        <f>20.8-40.2</f>
        <v>-19.400000000000002</v>
      </c>
      <c r="L169" s="834">
        <f>L172-L166</f>
        <v>-28.200000000000003</v>
      </c>
      <c r="M169" s="834">
        <f>M172-M166</f>
        <v>-27.699999999999996</v>
      </c>
      <c r="N169" s="834">
        <v>-55.9</v>
      </c>
      <c r="O169" s="834">
        <v>-29.1</v>
      </c>
      <c r="P169" s="834">
        <f>Q169-O169</f>
        <v>-32.799999999999997</v>
      </c>
      <c r="Q169" s="834">
        <v>-61.9</v>
      </c>
      <c r="R169" s="834">
        <v>-31.2</v>
      </c>
      <c r="S169" s="834">
        <f>T169-R169</f>
        <v>-33.299999999999997</v>
      </c>
      <c r="T169" s="840">
        <v>-64.5</v>
      </c>
      <c r="U169" s="840">
        <v>-33</v>
      </c>
      <c r="V169" s="834">
        <f>W169-U169</f>
        <v>-34.5</v>
      </c>
      <c r="W169" s="840">
        <v>-67.5</v>
      </c>
      <c r="X169" s="840">
        <v>-36.299999999999997</v>
      </c>
      <c r="Y169" s="834">
        <f>Z169-X169</f>
        <v>-36.700000000000003</v>
      </c>
      <c r="Z169" s="840">
        <v>-73</v>
      </c>
      <c r="AA169" s="840">
        <v>-37</v>
      </c>
      <c r="AB169" s="834">
        <f>AC169-AA169</f>
        <v>-38.299999999999997</v>
      </c>
      <c r="AC169" s="841">
        <v>-75.3</v>
      </c>
      <c r="AD169" s="834">
        <f t="shared" ref="AD169" si="481">AD152*AD170</f>
        <v>-37.724249305555553</v>
      </c>
      <c r="AE169" s="834">
        <f>AF169-AD169</f>
        <v>-39.958719364169191</v>
      </c>
      <c r="AF169" s="834">
        <f t="shared" ref="AF169:AU169" si="482">AF152*AF170</f>
        <v>-77.682968669724744</v>
      </c>
      <c r="AG169" s="834">
        <f t="shared" si="482"/>
        <v>-39.409796035069441</v>
      </c>
      <c r="AH169" s="834">
        <f>AI169-AG169</f>
        <v>-41.732669678329607</v>
      </c>
      <c r="AI169" s="834">
        <f t="shared" si="482"/>
        <v>-81.142465713399048</v>
      </c>
      <c r="AJ169" s="834"/>
      <c r="AK169" s="834"/>
      <c r="AL169" s="834">
        <f t="shared" si="482"/>
        <v>-85.480598169802761</v>
      </c>
      <c r="AM169" s="834"/>
      <c r="AN169" s="834"/>
      <c r="AO169" s="834">
        <f t="shared" si="482"/>
        <v>-89.515282403417444</v>
      </c>
      <c r="AP169" s="834"/>
      <c r="AQ169" s="834"/>
      <c r="AR169" s="834">
        <f t="shared" si="482"/>
        <v>-93.201735348804988</v>
      </c>
      <c r="AS169" s="834"/>
      <c r="AT169" s="834"/>
      <c r="AU169" s="834">
        <f t="shared" si="482"/>
        <v>-96.491756606617798</v>
      </c>
      <c r="AV169" s="834"/>
      <c r="AW169" s="834"/>
      <c r="AX169" s="834">
        <f t="shared" ref="AX169:BA169" si="483">AX152*AX170</f>
        <v>-99.89791561483139</v>
      </c>
      <c r="AY169" s="834"/>
      <c r="AZ169" s="834"/>
      <c r="BA169" s="834">
        <f t="shared" si="483"/>
        <v>-103.42431203603493</v>
      </c>
      <c r="BB169" s="834"/>
      <c r="BC169" s="834"/>
      <c r="BD169" s="834">
        <f t="shared" ref="BD169:BG169" si="484">BD152*BD170</f>
        <v>-107.07519025090696</v>
      </c>
      <c r="BE169" s="834"/>
      <c r="BF169" s="834"/>
      <c r="BG169" s="834">
        <f t="shared" si="484"/>
        <v>-110.85494446676395</v>
      </c>
      <c r="BH169" s="834"/>
      <c r="BI169" s="834"/>
      <c r="BJ169" s="834">
        <f t="shared" ref="BJ169" si="485">BJ152*BJ170</f>
        <v>-114.7681240064407</v>
      </c>
      <c r="BK169" s="1039"/>
      <c r="BL169" s="1040"/>
    </row>
    <row r="170" spans="2:64" s="1075" customFormat="1">
      <c r="B170" s="1069" t="s">
        <v>768</v>
      </c>
      <c r="C170" s="1070"/>
      <c r="D170" s="1070"/>
      <c r="E170" s="1070"/>
      <c r="F170" s="1070">
        <f>-F169/F152</f>
        <v>1.9611940298507474E-2</v>
      </c>
      <c r="G170" s="1070">
        <f>-G169/G152</f>
        <v>5.1579328946479139E-2</v>
      </c>
      <c r="H170" s="1070">
        <f t="shared" ref="H170:W170" si="486">H169/H152</f>
        <v>-3.3915312061007431E-2</v>
      </c>
      <c r="I170" s="1070">
        <f t="shared" si="486"/>
        <v>-3.3404406538734902E-2</v>
      </c>
      <c r="J170" s="1070">
        <f t="shared" si="486"/>
        <v>-4.2881646655231559E-2</v>
      </c>
      <c r="K170" s="915">
        <f t="shared" si="486"/>
        <v>-3.7699183832102606E-2</v>
      </c>
      <c r="L170" s="1070">
        <f t="shared" si="486"/>
        <v>-9.9470899470899488E-2</v>
      </c>
      <c r="M170" s="1070">
        <f t="shared" si="486"/>
        <v>-0.11013916500994034</v>
      </c>
      <c r="N170" s="1070">
        <f t="shared" si="486"/>
        <v>-0.10448598130841122</v>
      </c>
      <c r="O170" s="1070">
        <f t="shared" si="486"/>
        <v>-6.8038344634089323E-2</v>
      </c>
      <c r="P170" s="1070">
        <f t="shared" si="486"/>
        <v>-8.8648648648648631E-2</v>
      </c>
      <c r="Q170" s="1070">
        <f t="shared" si="486"/>
        <v>-7.7598094521750025E-2</v>
      </c>
      <c r="R170" s="1070">
        <f t="shared" si="486"/>
        <v>-7.4551971326164868E-2</v>
      </c>
      <c r="S170" s="1070">
        <f t="shared" si="486"/>
        <v>-8.0982490272373531E-2</v>
      </c>
      <c r="T170" s="1070">
        <f t="shared" si="486"/>
        <v>-7.7738941786187774E-2</v>
      </c>
      <c r="U170" s="1070">
        <f t="shared" si="486"/>
        <v>-7.3726541554959779E-2</v>
      </c>
      <c r="V170" s="852">
        <f>V169/V152</f>
        <v>-8.7942900841192981E-2</v>
      </c>
      <c r="W170" s="1070">
        <f t="shared" si="486"/>
        <v>-8.0366710322657464E-2</v>
      </c>
      <c r="X170" s="1070">
        <f t="shared" ref="X170" si="487">X169/X152</f>
        <v>-7.5046516435807314E-2</v>
      </c>
      <c r="Y170" s="852">
        <f>Y169/Y152</f>
        <v>-9.2817400101163378E-2</v>
      </c>
      <c r="Z170" s="852">
        <f t="shared" ref="Z170:AC170" si="488">Z169/Z152</f>
        <v>-8.303947218746445E-2</v>
      </c>
      <c r="AA170" s="1070">
        <f t="shared" si="488"/>
        <v>-7.1373456790123455E-2</v>
      </c>
      <c r="AB170" s="852">
        <f>AB169/AB152</f>
        <v>-8.8269186448490439E-2</v>
      </c>
      <c r="AC170" s="853">
        <f t="shared" si="488"/>
        <v>-7.9071721096293179E-2</v>
      </c>
      <c r="AD170" s="957">
        <f>AA170</f>
        <v>-7.1373456790123455E-2</v>
      </c>
      <c r="AE170" s="957">
        <f>AE169/AE152</f>
        <v>-8.8036231498250864E-2</v>
      </c>
      <c r="AF170" s="957">
        <f>AC170</f>
        <v>-7.9071721096293179E-2</v>
      </c>
      <c r="AG170" s="957">
        <f>AD170</f>
        <v>-7.1373456790123455E-2</v>
      </c>
      <c r="AH170" s="957">
        <f>AH169/AH152</f>
        <v>-8.8038966188508733E-2</v>
      </c>
      <c r="AI170" s="957">
        <f t="shared" ref="AI170:BJ170" si="489">AF170</f>
        <v>-7.9071721096293179E-2</v>
      </c>
      <c r="AJ170" s="957">
        <f t="shared" si="489"/>
        <v>-7.1373456790123455E-2</v>
      </c>
      <c r="AK170" s="957">
        <f t="shared" si="489"/>
        <v>-8.8038966188508733E-2</v>
      </c>
      <c r="AL170" s="957">
        <f t="shared" si="489"/>
        <v>-7.9071721096293179E-2</v>
      </c>
      <c r="AM170" s="957">
        <f t="shared" si="489"/>
        <v>-7.1373456790123455E-2</v>
      </c>
      <c r="AN170" s="957">
        <f t="shared" si="489"/>
        <v>-8.8038966188508733E-2</v>
      </c>
      <c r="AO170" s="957">
        <f t="shared" si="489"/>
        <v>-7.9071721096293179E-2</v>
      </c>
      <c r="AP170" s="957">
        <f t="shared" si="489"/>
        <v>-7.1373456790123455E-2</v>
      </c>
      <c r="AQ170" s="957">
        <f t="shared" si="489"/>
        <v>-8.8038966188508733E-2</v>
      </c>
      <c r="AR170" s="957">
        <f t="shared" si="489"/>
        <v>-7.9071721096293179E-2</v>
      </c>
      <c r="AS170" s="957">
        <f t="shared" si="489"/>
        <v>-7.1373456790123455E-2</v>
      </c>
      <c r="AT170" s="957">
        <f t="shared" si="489"/>
        <v>-8.8038966188508733E-2</v>
      </c>
      <c r="AU170" s="957">
        <f t="shared" si="489"/>
        <v>-7.9071721096293179E-2</v>
      </c>
      <c r="AV170" s="957">
        <f t="shared" si="489"/>
        <v>-7.1373456790123455E-2</v>
      </c>
      <c r="AW170" s="957">
        <f t="shared" si="489"/>
        <v>-8.8038966188508733E-2</v>
      </c>
      <c r="AX170" s="957">
        <f t="shared" si="489"/>
        <v>-7.9071721096293179E-2</v>
      </c>
      <c r="AY170" s="957">
        <f t="shared" si="489"/>
        <v>-7.1373456790123455E-2</v>
      </c>
      <c r="AZ170" s="957">
        <f t="shared" si="489"/>
        <v>-8.8038966188508733E-2</v>
      </c>
      <c r="BA170" s="957">
        <f t="shared" si="489"/>
        <v>-7.9071721096293179E-2</v>
      </c>
      <c r="BB170" s="957">
        <f t="shared" si="489"/>
        <v>-7.1373456790123455E-2</v>
      </c>
      <c r="BC170" s="957">
        <f t="shared" si="489"/>
        <v>-8.8038966188508733E-2</v>
      </c>
      <c r="BD170" s="957">
        <f t="shared" si="489"/>
        <v>-7.9071721096293179E-2</v>
      </c>
      <c r="BE170" s="957">
        <f t="shared" si="489"/>
        <v>-7.1373456790123455E-2</v>
      </c>
      <c r="BF170" s="957">
        <f t="shared" si="489"/>
        <v>-8.8038966188508733E-2</v>
      </c>
      <c r="BG170" s="957">
        <f t="shared" si="489"/>
        <v>-7.9071721096293179E-2</v>
      </c>
      <c r="BH170" s="957">
        <f t="shared" si="489"/>
        <v>-7.1373456790123455E-2</v>
      </c>
      <c r="BI170" s="957">
        <f t="shared" si="489"/>
        <v>-8.8038966188508733E-2</v>
      </c>
      <c r="BJ170" s="957">
        <f t="shared" si="489"/>
        <v>-7.9071721096293179E-2</v>
      </c>
      <c r="BK170" s="1073"/>
      <c r="BL170" s="1074"/>
    </row>
    <row r="171" spans="2:64" s="950" customFormat="1">
      <c r="C171" s="958"/>
      <c r="D171" s="1037"/>
      <c r="E171" s="1065"/>
      <c r="F171" s="1037"/>
      <c r="G171" s="1037"/>
      <c r="H171" s="1065"/>
      <c r="I171" s="1037"/>
      <c r="J171" s="1037"/>
      <c r="K171" s="960"/>
      <c r="L171" s="1037"/>
      <c r="M171" s="1037"/>
      <c r="N171" s="958"/>
      <c r="O171" s="958"/>
      <c r="P171" s="958"/>
      <c r="Q171" s="958"/>
      <c r="R171" s="958"/>
      <c r="S171" s="958"/>
      <c r="T171" s="958"/>
      <c r="U171" s="1037"/>
      <c r="V171" s="958"/>
      <c r="W171" s="958"/>
      <c r="X171" s="1037"/>
      <c r="Y171" s="1037"/>
      <c r="Z171" s="958"/>
      <c r="AA171" s="1037"/>
      <c r="AB171" s="1037"/>
      <c r="AC171" s="1200"/>
      <c r="AD171" s="1037"/>
      <c r="AE171" s="1037"/>
      <c r="AF171" s="958"/>
      <c r="AG171" s="1037"/>
      <c r="AH171" s="1037"/>
      <c r="AI171" s="958"/>
      <c r="AJ171" s="958"/>
      <c r="AK171" s="958"/>
      <c r="AL171" s="958"/>
      <c r="AM171" s="958"/>
      <c r="AN171" s="958"/>
      <c r="AO171" s="958"/>
      <c r="AP171" s="958"/>
      <c r="AQ171" s="958"/>
      <c r="AR171" s="958"/>
      <c r="AS171" s="958"/>
      <c r="AT171" s="958"/>
      <c r="AU171" s="958"/>
      <c r="AV171" s="958"/>
      <c r="AW171" s="958"/>
      <c r="AX171" s="958"/>
      <c r="AY171" s="958"/>
      <c r="AZ171" s="958"/>
      <c r="BA171" s="958"/>
      <c r="BB171" s="958"/>
      <c r="BC171" s="958"/>
      <c r="BD171" s="958"/>
      <c r="BE171" s="958"/>
      <c r="BF171" s="958"/>
      <c r="BG171" s="958"/>
      <c r="BH171" s="958"/>
      <c r="BI171" s="958"/>
      <c r="BJ171" s="958"/>
      <c r="BK171" s="1039"/>
      <c r="BL171" s="1040"/>
    </row>
    <row r="172" spans="2:64">
      <c r="B172" s="828" t="s">
        <v>70</v>
      </c>
      <c r="C172" s="1079">
        <f>C293-C227</f>
        <v>22.6</v>
      </c>
      <c r="D172" s="834">
        <f>E172-C172</f>
        <v>8.5910884999999979</v>
      </c>
      <c r="E172" s="1080">
        <f>0.065*E152</f>
        <v>31.191088499999999</v>
      </c>
      <c r="F172" s="1004">
        <f>16.4+3.5</f>
        <v>19.899999999999999</v>
      </c>
      <c r="G172" s="1081">
        <f>H172-F172</f>
        <v>7.4000000000000021</v>
      </c>
      <c r="H172" s="1082">
        <v>27.3</v>
      </c>
      <c r="I172" s="1004">
        <v>15.4</v>
      </c>
      <c r="J172" s="845">
        <f>K172-I172</f>
        <v>5.4</v>
      </c>
      <c r="K172" s="1083">
        <v>20.8</v>
      </c>
      <c r="L172" s="1004">
        <v>16.399999999999999</v>
      </c>
      <c r="M172" s="845">
        <f>N172-L172</f>
        <v>7</v>
      </c>
      <c r="N172" s="1004">
        <f>N166+N169</f>
        <v>23.4</v>
      </c>
      <c r="O172" s="1004">
        <v>67.599999999999994</v>
      </c>
      <c r="P172" s="1004">
        <f>Q172-O172</f>
        <v>37.599999999999994</v>
      </c>
      <c r="Q172" s="1004">
        <f t="shared" ref="Q172:AU172" si="490">Q166+Q169</f>
        <v>105.19999999999999</v>
      </c>
      <c r="R172" s="1004">
        <f t="shared" si="490"/>
        <v>35.599999999999994</v>
      </c>
      <c r="S172" s="1004">
        <f t="shared" si="490"/>
        <v>33.300000000000011</v>
      </c>
      <c r="T172" s="1004">
        <f t="shared" si="490"/>
        <v>68.900000000000006</v>
      </c>
      <c r="U172" s="1082">
        <v>35.9</v>
      </c>
      <c r="V172" s="976">
        <f t="shared" si="490"/>
        <v>25.099999999999994</v>
      </c>
      <c r="W172" s="1004">
        <v>61</v>
      </c>
      <c r="X172" s="1082">
        <f>X166+X169</f>
        <v>46.900000000000006</v>
      </c>
      <c r="Y172" s="976">
        <f t="shared" ref="Y172" si="491">Y166+Y169</f>
        <v>19.900000000000006</v>
      </c>
      <c r="Z172" s="1082">
        <v>66.8</v>
      </c>
      <c r="AA172" s="976">
        <f>AA166+AA169</f>
        <v>51.7</v>
      </c>
      <c r="AB172" s="976">
        <f t="shared" ref="AB172" si="492">AB166+AB169</f>
        <v>23.699999999999989</v>
      </c>
      <c r="AC172" s="1376">
        <v>75.400000000000006</v>
      </c>
      <c r="AD172" s="976">
        <f t="shared" ref="AD172:AE172" si="493">AD166+AD169</f>
        <v>52.342008473222215</v>
      </c>
      <c r="AE172" s="976">
        <f t="shared" si="493"/>
        <v>24.756419069305259</v>
      </c>
      <c r="AF172" s="976">
        <f t="shared" si="490"/>
        <v>77.098427542527475</v>
      </c>
      <c r="AG172" s="976">
        <f t="shared" si="490"/>
        <v>54.128524053062286</v>
      </c>
      <c r="AH172" s="976">
        <f t="shared" si="490"/>
        <v>27.019081760754482</v>
      </c>
      <c r="AI172" s="976">
        <f t="shared" si="490"/>
        <v>81.147605813816767</v>
      </c>
      <c r="AJ172" s="976"/>
      <c r="AK172" s="976"/>
      <c r="AL172" s="976">
        <f t="shared" si="490"/>
        <v>85.594118220493073</v>
      </c>
      <c r="AM172" s="976"/>
      <c r="AN172" s="976"/>
      <c r="AO172" s="976">
        <f t="shared" si="490"/>
        <v>89.747368307582349</v>
      </c>
      <c r="AP172" s="976"/>
      <c r="AQ172" s="976"/>
      <c r="AR172" s="976">
        <f t="shared" si="490"/>
        <v>93.561248974959227</v>
      </c>
      <c r="AS172" s="976"/>
      <c r="AT172" s="976"/>
      <c r="AU172" s="976">
        <f t="shared" si="490"/>
        <v>96.985991740822328</v>
      </c>
      <c r="AV172" s="976"/>
      <c r="AW172" s="976"/>
      <c r="AX172" s="976">
        <f t="shared" ref="AX172:BA172" si="494">AX166+AX169</f>
        <v>100.53593560922025</v>
      </c>
      <c r="AY172" s="976"/>
      <c r="AZ172" s="976"/>
      <c r="BA172" s="976">
        <f t="shared" si="494"/>
        <v>104.21565224027867</v>
      </c>
      <c r="BB172" s="976"/>
      <c r="BC172" s="976"/>
      <c r="BD172" s="976">
        <f t="shared" ref="BD172:BG172" si="495">BD166+BD169</f>
        <v>108.02988004148656</v>
      </c>
      <c r="BE172" s="976"/>
      <c r="BF172" s="976"/>
      <c r="BG172" s="976">
        <f t="shared" si="495"/>
        <v>111.98353024335964</v>
      </c>
      <c r="BH172" s="976"/>
      <c r="BI172" s="976"/>
      <c r="BJ172" s="976">
        <f t="shared" ref="BJ172" si="496">BJ166+BJ169</f>
        <v>116.0816931962641</v>
      </c>
    </row>
    <row r="173" spans="2:64">
      <c r="B173" s="828" t="s">
        <v>285</v>
      </c>
      <c r="C173" s="852">
        <f t="shared" ref="C173:AX173" si="497">C172/C152</f>
        <v>7.8476582032335138E-2</v>
      </c>
      <c r="D173" s="852">
        <f t="shared" si="497"/>
        <v>4.4773492551812621E-2</v>
      </c>
      <c r="E173" s="852">
        <f t="shared" si="497"/>
        <v>6.5000000000000002E-2</v>
      </c>
      <c r="F173" s="852">
        <f t="shared" si="497"/>
        <v>7.2273631840796021E-2</v>
      </c>
      <c r="G173" s="852">
        <f t="shared" si="497"/>
        <v>3.3190176887299631E-2</v>
      </c>
      <c r="H173" s="852">
        <f t="shared" si="497"/>
        <v>5.4786273329319686E-2</v>
      </c>
      <c r="I173" s="852">
        <f t="shared" si="497"/>
        <v>5.4726368159203988E-2</v>
      </c>
      <c r="J173" s="852">
        <f t="shared" si="497"/>
        <v>2.3156089193825041E-2</v>
      </c>
      <c r="K173" s="988">
        <f t="shared" si="497"/>
        <v>4.0419743490089387E-2</v>
      </c>
      <c r="L173" s="852">
        <f t="shared" si="497"/>
        <v>5.7848324514991174E-2</v>
      </c>
      <c r="M173" s="852">
        <f t="shared" si="497"/>
        <v>2.7833001988071572E-2</v>
      </c>
      <c r="N173" s="852">
        <f t="shared" si="497"/>
        <v>4.3738317757009343E-2</v>
      </c>
      <c r="O173" s="852">
        <f t="shared" si="497"/>
        <v>0.1580547112462006</v>
      </c>
      <c r="P173" s="852">
        <f t="shared" si="497"/>
        <v>0.1016216216216216</v>
      </c>
      <c r="Q173" s="852">
        <f t="shared" si="497"/>
        <v>0.1318791525636204</v>
      </c>
      <c r="R173" s="852">
        <f t="shared" si="497"/>
        <v>8.506571087216247E-2</v>
      </c>
      <c r="S173" s="852">
        <f t="shared" si="497"/>
        <v>8.0982490272373558E-2</v>
      </c>
      <c r="T173" s="852">
        <f t="shared" si="497"/>
        <v>8.3042063396408336E-2</v>
      </c>
      <c r="U173" s="852">
        <f t="shared" si="497"/>
        <v>8.0205540661304725E-2</v>
      </c>
      <c r="V173" s="852">
        <f t="shared" si="497"/>
        <v>6.3981646698954869E-2</v>
      </c>
      <c r="W173" s="852">
        <f>W172/W152</f>
        <v>7.2627693773068228E-2</v>
      </c>
      <c r="X173" s="852">
        <f t="shared" ref="X173" si="498">X172/X152</f>
        <v>9.6960926193921868E-2</v>
      </c>
      <c r="Y173" s="852">
        <f t="shared" si="497"/>
        <v>5.0328780981284786E-2</v>
      </c>
      <c r="Z173" s="852">
        <f t="shared" si="497"/>
        <v>7.5986804686611301E-2</v>
      </c>
      <c r="AA173" s="852">
        <f t="shared" ref="AA173:AB173" si="499">AA172/AA152</f>
        <v>9.9729938271604951E-2</v>
      </c>
      <c r="AB173" s="852">
        <f t="shared" si="499"/>
        <v>5.4620880387185967E-2</v>
      </c>
      <c r="AC173" s="853">
        <f t="shared" si="497"/>
        <v>7.9176730022051889E-2</v>
      </c>
      <c r="AD173" s="852">
        <f t="shared" si="497"/>
        <v>9.9029938271604917E-2</v>
      </c>
      <c r="AE173" s="852">
        <f t="shared" si="497"/>
        <v>5.4542835079128785E-2</v>
      </c>
      <c r="AF173" s="852">
        <f t="shared" si="497"/>
        <v>7.8476730022051855E-2</v>
      </c>
      <c r="AG173" s="852">
        <f t="shared" ref="AG173:AH173" si="500">AG172/AG152</f>
        <v>9.8029938271604944E-2</v>
      </c>
      <c r="AH173" s="852">
        <f t="shared" si="500"/>
        <v>5.6999277638229158E-2</v>
      </c>
      <c r="AI173" s="852">
        <f t="shared" si="497"/>
        <v>7.9076730022051886E-2</v>
      </c>
      <c r="AJ173" s="852"/>
      <c r="AK173" s="852"/>
      <c r="AL173" s="852">
        <f t="shared" si="497"/>
        <v>7.9176730022051861E-2</v>
      </c>
      <c r="AM173" s="852"/>
      <c r="AN173" s="852"/>
      <c r="AO173" s="852">
        <f t="shared" si="497"/>
        <v>7.927673002205185E-2</v>
      </c>
      <c r="AP173" s="852"/>
      <c r="AQ173" s="852"/>
      <c r="AR173" s="852">
        <f t="shared" si="497"/>
        <v>7.9376730022051867E-2</v>
      </c>
      <c r="AS173" s="852"/>
      <c r="AT173" s="852"/>
      <c r="AU173" s="852">
        <f t="shared" si="497"/>
        <v>7.9476730022051814E-2</v>
      </c>
      <c r="AV173" s="852"/>
      <c r="AW173" s="852"/>
      <c r="AX173" s="852">
        <f t="shared" si="497"/>
        <v>7.9576730022051831E-2</v>
      </c>
      <c r="AY173" s="852"/>
      <c r="AZ173" s="852"/>
      <c r="BA173" s="852">
        <f t="shared" ref="BA173:BD173" si="501">BA172/BA152</f>
        <v>7.9676730022051792E-2</v>
      </c>
      <c r="BB173" s="852"/>
      <c r="BC173" s="852"/>
      <c r="BD173" s="852">
        <f t="shared" si="501"/>
        <v>7.9776730022051781E-2</v>
      </c>
      <c r="BE173" s="852"/>
      <c r="BF173" s="852"/>
      <c r="BG173" s="852">
        <f t="shared" ref="BG173:BJ173" si="502">BG172/BG152</f>
        <v>7.987673002205177E-2</v>
      </c>
      <c r="BH173" s="852"/>
      <c r="BI173" s="852"/>
      <c r="BJ173" s="852">
        <f t="shared" si="502"/>
        <v>7.9976730022051787E-2</v>
      </c>
      <c r="BK173" s="812"/>
    </row>
    <row r="174" spans="2:64">
      <c r="B174" s="812" t="s">
        <v>42</v>
      </c>
      <c r="C174" s="1079"/>
      <c r="D174" s="834"/>
      <c r="E174" s="1034"/>
      <c r="F174" s="1034">
        <f t="shared" ref="F174:AB174" si="503">F172/C172-1</f>
        <v>-0.11946902654867264</v>
      </c>
      <c r="G174" s="1034">
        <f t="shared" si="503"/>
        <v>-0.1386423268716177</v>
      </c>
      <c r="H174" s="1034">
        <f t="shared" si="503"/>
        <v>-0.1247500067206696</v>
      </c>
      <c r="I174" s="1034">
        <f t="shared" si="503"/>
        <v>-0.22613065326633164</v>
      </c>
      <c r="J174" s="1034">
        <f t="shared" si="503"/>
        <v>-0.2702702702702704</v>
      </c>
      <c r="K174" s="1034">
        <f t="shared" si="503"/>
        <v>-0.23809523809523814</v>
      </c>
      <c r="L174" s="1034">
        <f t="shared" si="503"/>
        <v>6.4935064935064846E-2</v>
      </c>
      <c r="M174" s="1034">
        <f t="shared" si="503"/>
        <v>0.29629629629629628</v>
      </c>
      <c r="N174" s="1034">
        <f t="shared" si="503"/>
        <v>0.125</v>
      </c>
      <c r="O174" s="1034">
        <f t="shared" si="503"/>
        <v>3.1219512195121952</v>
      </c>
      <c r="P174" s="1034">
        <f t="shared" si="503"/>
        <v>4.371428571428571</v>
      </c>
      <c r="Q174" s="1034">
        <f t="shared" si="503"/>
        <v>3.4957264957264957</v>
      </c>
      <c r="R174" s="1034">
        <f t="shared" si="503"/>
        <v>-0.47337278106508884</v>
      </c>
      <c r="S174" s="1034">
        <f t="shared" si="503"/>
        <v>-0.11436170212765917</v>
      </c>
      <c r="T174" s="1034">
        <f t="shared" si="503"/>
        <v>-0.34505703422053224</v>
      </c>
      <c r="U174" s="1034">
        <f t="shared" si="503"/>
        <v>8.4269662921350186E-3</v>
      </c>
      <c r="V174" s="1034">
        <f t="shared" si="503"/>
        <v>-0.24624624624624669</v>
      </c>
      <c r="W174" s="1034">
        <f t="shared" si="503"/>
        <v>-0.11465892597968075</v>
      </c>
      <c r="X174" s="1034">
        <f t="shared" si="503"/>
        <v>0.30640668523676906</v>
      </c>
      <c r="Y174" s="1034">
        <f t="shared" si="503"/>
        <v>-0.20717131474103545</v>
      </c>
      <c r="Z174" s="1034">
        <f t="shared" si="503"/>
        <v>9.5081967213114682E-2</v>
      </c>
      <c r="AA174" s="1034">
        <f>AA172/X172-1</f>
        <v>0.10234541577825151</v>
      </c>
      <c r="AB174" s="1034">
        <f t="shared" si="503"/>
        <v>0.19095477386934578</v>
      </c>
      <c r="AC174" s="1152">
        <f t="shared" ref="AC174:BJ174" si="504">AC172/Z172-1</f>
        <v>0.12874251497006006</v>
      </c>
      <c r="AD174" s="1034">
        <f t="shared" si="504"/>
        <v>1.2417958863098821E-2</v>
      </c>
      <c r="AE174" s="1034">
        <f t="shared" si="504"/>
        <v>4.4574644274484099E-2</v>
      </c>
      <c r="AF174" s="1034">
        <f t="shared" si="504"/>
        <v>2.2525564224502137E-2</v>
      </c>
      <c r="AG174" s="1034">
        <f t="shared" si="504"/>
        <v>3.4131582488930334E-2</v>
      </c>
      <c r="AH174" s="1034">
        <f t="shared" si="504"/>
        <v>9.1397010412326951E-2</v>
      </c>
      <c r="AI174" s="1034">
        <f t="shared" si="504"/>
        <v>5.2519596058632434E-2</v>
      </c>
      <c r="AJ174" s="1034">
        <f t="shared" si="504"/>
        <v>-1</v>
      </c>
      <c r="AK174" s="1034">
        <f t="shared" si="504"/>
        <v>-1</v>
      </c>
      <c r="AL174" s="1034">
        <f t="shared" si="504"/>
        <v>5.479536163862031E-2</v>
      </c>
      <c r="AM174" s="1034" t="e">
        <f t="shared" si="504"/>
        <v>#DIV/0!</v>
      </c>
      <c r="AN174" s="1034" t="e">
        <f t="shared" si="504"/>
        <v>#DIV/0!</v>
      </c>
      <c r="AO174" s="1034">
        <f t="shared" si="504"/>
        <v>4.852261082228071E-2</v>
      </c>
      <c r="AP174" s="1034" t="e">
        <f t="shared" si="504"/>
        <v>#DIV/0!</v>
      </c>
      <c r="AQ174" s="1034" t="e">
        <f t="shared" si="504"/>
        <v>#DIV/0!</v>
      </c>
      <c r="AR174" s="1034">
        <f t="shared" si="504"/>
        <v>4.2495738195976296E-2</v>
      </c>
      <c r="AS174" s="1034" t="e">
        <f t="shared" si="504"/>
        <v>#DIV/0!</v>
      </c>
      <c r="AT174" s="1034" t="e">
        <f t="shared" si="504"/>
        <v>#DIV/0!</v>
      </c>
      <c r="AU174" s="1034">
        <f t="shared" si="504"/>
        <v>3.6604286532982311E-2</v>
      </c>
      <c r="AV174" s="1034" t="e">
        <f t="shared" si="504"/>
        <v>#DIV/0!</v>
      </c>
      <c r="AW174" s="1034" t="e">
        <f t="shared" si="504"/>
        <v>#DIV/0!</v>
      </c>
      <c r="AX174" s="1034">
        <f t="shared" si="504"/>
        <v>3.6602645440637405E-2</v>
      </c>
      <c r="AY174" s="1034" t="e">
        <f t="shared" si="504"/>
        <v>#DIV/0!</v>
      </c>
      <c r="AZ174" s="1034" t="e">
        <f t="shared" si="504"/>
        <v>#DIV/0!</v>
      </c>
      <c r="BA174" s="1034">
        <f t="shared" si="504"/>
        <v>3.6601008472844532E-2</v>
      </c>
      <c r="BB174" s="1034" t="e">
        <f t="shared" si="504"/>
        <v>#DIV/0!</v>
      </c>
      <c r="BC174" s="1034" t="e">
        <f t="shared" si="504"/>
        <v>#DIV/0!</v>
      </c>
      <c r="BD174" s="1034">
        <f t="shared" si="504"/>
        <v>3.6599375614076113E-2</v>
      </c>
      <c r="BE174" s="1034" t="e">
        <f t="shared" si="504"/>
        <v>#DIV/0!</v>
      </c>
      <c r="BF174" s="1034" t="e">
        <f t="shared" si="504"/>
        <v>#DIV/0!</v>
      </c>
      <c r="BG174" s="1034">
        <f t="shared" si="504"/>
        <v>3.6597746848878954E-2</v>
      </c>
      <c r="BH174" s="1034" t="e">
        <f t="shared" si="504"/>
        <v>#DIV/0!</v>
      </c>
      <c r="BI174" s="1034" t="e">
        <f t="shared" si="504"/>
        <v>#DIV/0!</v>
      </c>
      <c r="BJ174" s="1034">
        <f t="shared" si="504"/>
        <v>3.6596122161878908E-2</v>
      </c>
    </row>
    <row r="175" spans="2:64">
      <c r="B175" s="828"/>
      <c r="C175" s="1079"/>
      <c r="D175" s="834"/>
      <c r="E175" s="1084"/>
      <c r="F175" s="834"/>
      <c r="G175" s="834"/>
      <c r="H175" s="1079"/>
      <c r="I175" s="840"/>
      <c r="J175" s="834"/>
      <c r="K175" s="1085"/>
      <c r="L175" s="834"/>
      <c r="M175" s="834"/>
      <c r="N175" s="834"/>
      <c r="O175" s="834"/>
      <c r="P175" s="834"/>
      <c r="Q175" s="834"/>
      <c r="R175" s="834"/>
      <c r="S175" s="834"/>
      <c r="T175" s="834"/>
      <c r="U175" s="834"/>
      <c r="V175" s="834"/>
      <c r="W175" s="834"/>
      <c r="X175" s="834"/>
      <c r="Y175" s="834"/>
      <c r="Z175" s="862"/>
      <c r="AA175" s="1034"/>
      <c r="AB175" s="834"/>
      <c r="AC175" s="863"/>
      <c r="AD175" s="862"/>
      <c r="AE175" s="862"/>
      <c r="AF175" s="862"/>
      <c r="AG175" s="862"/>
      <c r="AH175" s="862"/>
      <c r="AI175" s="862"/>
      <c r="AJ175" s="862"/>
      <c r="AK175" s="862"/>
      <c r="AL175" s="862"/>
      <c r="AM175" s="862"/>
      <c r="AN175" s="862"/>
      <c r="AO175" s="1079"/>
      <c r="AP175" s="1079"/>
      <c r="AQ175" s="1079"/>
      <c r="AR175" s="1079"/>
      <c r="AS175" s="1079"/>
      <c r="AT175" s="1079"/>
      <c r="AU175" s="1079"/>
      <c r="AV175" s="1079"/>
      <c r="AW175" s="1079"/>
      <c r="AX175" s="1079"/>
      <c r="AY175" s="1079"/>
      <c r="AZ175" s="1079"/>
      <c r="BA175" s="1079"/>
      <c r="BB175" s="1079"/>
      <c r="BC175" s="1079"/>
      <c r="BD175" s="1079"/>
      <c r="BE175" s="1079"/>
      <c r="BF175" s="1079"/>
      <c r="BG175" s="1079"/>
      <c r="BH175" s="1079"/>
      <c r="BI175" s="1079"/>
      <c r="BJ175" s="1079"/>
    </row>
    <row r="176" spans="2:64">
      <c r="B176" s="812" t="s">
        <v>252</v>
      </c>
      <c r="C176" s="1079">
        <v>120</v>
      </c>
      <c r="D176" s="834">
        <f>C178</f>
        <v>132</v>
      </c>
      <c r="E176" s="1079">
        <v>120</v>
      </c>
      <c r="F176" s="1079">
        <f>E178</f>
        <v>135</v>
      </c>
      <c r="G176" s="834">
        <f>F178</f>
        <v>136</v>
      </c>
      <c r="H176" s="1079">
        <f>E178</f>
        <v>135</v>
      </c>
      <c r="I176" s="1079">
        <f>H178</f>
        <v>134</v>
      </c>
      <c r="J176" s="834">
        <f>I178</f>
        <v>136</v>
      </c>
      <c r="K176" s="1085">
        <f>H178</f>
        <v>134</v>
      </c>
      <c r="L176" s="1079">
        <f>K178</f>
        <v>136</v>
      </c>
      <c r="M176" s="834">
        <f>L178</f>
        <v>139</v>
      </c>
      <c r="N176" s="1079">
        <f>K178</f>
        <v>136</v>
      </c>
      <c r="O176" s="1079">
        <f>N178</f>
        <v>139</v>
      </c>
      <c r="P176" s="1079">
        <f>O178</f>
        <v>141</v>
      </c>
      <c r="Q176" s="1079">
        <f>N178</f>
        <v>139</v>
      </c>
      <c r="R176" s="1079">
        <f>Q178</f>
        <v>142</v>
      </c>
      <c r="S176" s="1079">
        <f>R178</f>
        <v>145</v>
      </c>
      <c r="T176" s="1079">
        <f>Q178</f>
        <v>142</v>
      </c>
      <c r="U176" s="1079">
        <f>T178</f>
        <v>147</v>
      </c>
      <c r="V176" s="834">
        <f>U178</f>
        <v>150</v>
      </c>
      <c r="W176" s="1079">
        <f>T178</f>
        <v>147</v>
      </c>
      <c r="X176" s="1079">
        <f>W178</f>
        <v>157</v>
      </c>
      <c r="Y176" s="834">
        <f>X178</f>
        <v>162</v>
      </c>
      <c r="Z176" s="1079">
        <f>W178</f>
        <v>157</v>
      </c>
      <c r="AA176" s="1079">
        <f>Z178</f>
        <v>162</v>
      </c>
      <c r="AB176" s="834">
        <f>AA178</f>
        <v>162</v>
      </c>
      <c r="AC176" s="1086">
        <f>Z178</f>
        <v>162</v>
      </c>
      <c r="AD176" s="1079">
        <f>AC178</f>
        <v>165</v>
      </c>
      <c r="AE176" s="834">
        <f>AD178</f>
        <v>167</v>
      </c>
      <c r="AF176" s="1079">
        <f>AC178</f>
        <v>165</v>
      </c>
      <c r="AG176" s="1079">
        <f>AF178</f>
        <v>169</v>
      </c>
      <c r="AH176" s="834">
        <f>AG178</f>
        <v>171</v>
      </c>
      <c r="AI176" s="1079">
        <f>AF178</f>
        <v>169</v>
      </c>
      <c r="AJ176" s="1079"/>
      <c r="AK176" s="1079"/>
      <c r="AL176" s="1079">
        <f>AI178</f>
        <v>173</v>
      </c>
      <c r="AM176" s="1079"/>
      <c r="AN176" s="1079"/>
      <c r="AO176" s="1079">
        <f>AL178</f>
        <v>175</v>
      </c>
      <c r="AP176" s="1079"/>
      <c r="AQ176" s="1079"/>
      <c r="AR176" s="1079">
        <f>AO178</f>
        <v>177</v>
      </c>
      <c r="AS176" s="1079"/>
      <c r="AT176" s="1079"/>
      <c r="AU176" s="1079">
        <f>AR178</f>
        <v>177</v>
      </c>
      <c r="AV176" s="1079"/>
      <c r="AW176" s="1079"/>
      <c r="AX176" s="1079">
        <f>AU178</f>
        <v>177</v>
      </c>
      <c r="AY176" s="1079"/>
      <c r="AZ176" s="1079"/>
      <c r="BA176" s="1079">
        <f>AX178</f>
        <v>177</v>
      </c>
      <c r="BB176" s="1079"/>
      <c r="BC176" s="1079"/>
      <c r="BD176" s="1079">
        <f>BA178</f>
        <v>177</v>
      </c>
      <c r="BE176" s="1079"/>
      <c r="BF176" s="1079"/>
      <c r="BG176" s="1079">
        <f>BD178</f>
        <v>177</v>
      </c>
      <c r="BH176" s="1079"/>
      <c r="BI176" s="1079"/>
      <c r="BJ176" s="1079">
        <f t="shared" ref="BJ176" si="505">BG178</f>
        <v>177</v>
      </c>
    </row>
    <row r="177" spans="2:64">
      <c r="B177" s="812" t="s">
        <v>253</v>
      </c>
      <c r="C177" s="932">
        <v>12</v>
      </c>
      <c r="D177" s="932">
        <v>1</v>
      </c>
      <c r="E177" s="931">
        <f>4-1+12</f>
        <v>15</v>
      </c>
      <c r="F177" s="932">
        <v>1</v>
      </c>
      <c r="G177" s="899">
        <f>H177-F177</f>
        <v>-2</v>
      </c>
      <c r="H177" s="931">
        <f>-1</f>
        <v>-1</v>
      </c>
      <c r="I177" s="931">
        <f>3-1</f>
        <v>2</v>
      </c>
      <c r="J177" s="931">
        <f>K177-I177</f>
        <v>0</v>
      </c>
      <c r="K177" s="934">
        <f>3-1</f>
        <v>2</v>
      </c>
      <c r="L177" s="931">
        <f>4-1</f>
        <v>3</v>
      </c>
      <c r="M177" s="931">
        <f>N177-L177</f>
        <v>0</v>
      </c>
      <c r="N177" s="931">
        <f>4-1</f>
        <v>3</v>
      </c>
      <c r="O177" s="931">
        <v>2</v>
      </c>
      <c r="P177" s="931">
        <f>Q177-O177</f>
        <v>1</v>
      </c>
      <c r="Q177" s="931">
        <v>3</v>
      </c>
      <c r="R177" s="931">
        <v>3</v>
      </c>
      <c r="S177" s="931">
        <f>T177-R177</f>
        <v>2</v>
      </c>
      <c r="T177" s="931">
        <v>5</v>
      </c>
      <c r="U177" s="931">
        <v>3</v>
      </c>
      <c r="V177" s="931">
        <f>W177-U177</f>
        <v>7</v>
      </c>
      <c r="W177" s="931">
        <v>10</v>
      </c>
      <c r="X177" s="931">
        <v>5</v>
      </c>
      <c r="Y177" s="931">
        <f>Z177-X177</f>
        <v>0</v>
      </c>
      <c r="Z177" s="931">
        <v>5</v>
      </c>
      <c r="AA177" s="931">
        <v>0</v>
      </c>
      <c r="AB177" s="931">
        <f>AC177-AA177</f>
        <v>3</v>
      </c>
      <c r="AC177" s="935">
        <v>3</v>
      </c>
      <c r="AD177" s="1087">
        <v>2</v>
      </c>
      <c r="AE177" s="1087">
        <f>AF177-AD177</f>
        <v>2</v>
      </c>
      <c r="AF177" s="1087">
        <v>4</v>
      </c>
      <c r="AG177" s="1087">
        <v>2</v>
      </c>
      <c r="AH177" s="1087">
        <f>AI177-AG177</f>
        <v>2</v>
      </c>
      <c r="AI177" s="1087">
        <v>4</v>
      </c>
      <c r="AJ177" s="1087"/>
      <c r="AK177" s="1087"/>
      <c r="AL177" s="1087">
        <v>2</v>
      </c>
      <c r="AM177" s="1087">
        <v>2</v>
      </c>
      <c r="AN177" s="1087">
        <v>2</v>
      </c>
      <c r="AO177" s="1087">
        <v>2</v>
      </c>
      <c r="AP177" s="1087">
        <v>0</v>
      </c>
      <c r="AQ177" s="1087">
        <v>0</v>
      </c>
      <c r="AR177" s="1087">
        <v>0</v>
      </c>
      <c r="AS177" s="1087">
        <v>0</v>
      </c>
      <c r="AT177" s="1087">
        <v>0</v>
      </c>
      <c r="AU177" s="1087">
        <v>0</v>
      </c>
      <c r="AV177" s="1087">
        <v>0</v>
      </c>
      <c r="AW177" s="1087">
        <v>0</v>
      </c>
      <c r="AX177" s="1087">
        <v>0</v>
      </c>
      <c r="AY177" s="1087">
        <v>0</v>
      </c>
      <c r="AZ177" s="1087">
        <v>0</v>
      </c>
      <c r="BA177" s="1087">
        <v>0</v>
      </c>
      <c r="BB177" s="1087">
        <v>0</v>
      </c>
      <c r="BC177" s="1087">
        <v>0</v>
      </c>
      <c r="BD177" s="1087">
        <v>0</v>
      </c>
      <c r="BE177" s="1087">
        <v>0</v>
      </c>
      <c r="BF177" s="1087">
        <v>0</v>
      </c>
      <c r="BG177" s="1087">
        <v>0</v>
      </c>
      <c r="BH177" s="1087">
        <v>0</v>
      </c>
      <c r="BI177" s="1087">
        <v>0</v>
      </c>
      <c r="BJ177" s="1087">
        <v>0</v>
      </c>
    </row>
    <row r="178" spans="2:64" s="828" customFormat="1">
      <c r="B178" s="828" t="s">
        <v>180</v>
      </c>
      <c r="C178" s="887">
        <f t="shared" ref="C178:AU178" si="506">C177+C176</f>
        <v>132</v>
      </c>
      <c r="D178" s="887">
        <f t="shared" si="506"/>
        <v>133</v>
      </c>
      <c r="E178" s="887">
        <f t="shared" si="506"/>
        <v>135</v>
      </c>
      <c r="F178" s="887">
        <f t="shared" si="506"/>
        <v>136</v>
      </c>
      <c r="G178" s="887">
        <f t="shared" si="506"/>
        <v>134</v>
      </c>
      <c r="H178" s="887">
        <f t="shared" si="506"/>
        <v>134</v>
      </c>
      <c r="I178" s="887">
        <f t="shared" si="506"/>
        <v>136</v>
      </c>
      <c r="J178" s="887">
        <f t="shared" si="506"/>
        <v>136</v>
      </c>
      <c r="K178" s="888">
        <f t="shared" si="506"/>
        <v>136</v>
      </c>
      <c r="L178" s="887">
        <f t="shared" si="506"/>
        <v>139</v>
      </c>
      <c r="M178" s="887">
        <f t="shared" si="506"/>
        <v>139</v>
      </c>
      <c r="N178" s="887">
        <f t="shared" si="506"/>
        <v>139</v>
      </c>
      <c r="O178" s="887">
        <f t="shared" si="506"/>
        <v>141</v>
      </c>
      <c r="P178" s="887">
        <f t="shared" si="506"/>
        <v>142</v>
      </c>
      <c r="Q178" s="887">
        <f t="shared" si="506"/>
        <v>142</v>
      </c>
      <c r="R178" s="887">
        <f t="shared" si="506"/>
        <v>145</v>
      </c>
      <c r="S178" s="887">
        <f t="shared" si="506"/>
        <v>147</v>
      </c>
      <c r="T178" s="887">
        <f t="shared" si="506"/>
        <v>147</v>
      </c>
      <c r="U178" s="887">
        <f t="shared" si="506"/>
        <v>150</v>
      </c>
      <c r="V178" s="887">
        <f t="shared" si="506"/>
        <v>157</v>
      </c>
      <c r="W178" s="887">
        <f t="shared" si="506"/>
        <v>157</v>
      </c>
      <c r="X178" s="887">
        <f t="shared" ref="X178:Y178" si="507">X177+X176</f>
        <v>162</v>
      </c>
      <c r="Y178" s="887">
        <f t="shared" si="507"/>
        <v>162</v>
      </c>
      <c r="Z178" s="887">
        <f t="shared" si="506"/>
        <v>162</v>
      </c>
      <c r="AA178" s="887">
        <f t="shared" si="506"/>
        <v>162</v>
      </c>
      <c r="AB178" s="887">
        <f t="shared" si="506"/>
        <v>165</v>
      </c>
      <c r="AC178" s="889">
        <f t="shared" si="506"/>
        <v>165</v>
      </c>
      <c r="AD178" s="887">
        <f t="shared" ref="AD178:AE178" si="508">AD177+AD176</f>
        <v>167</v>
      </c>
      <c r="AE178" s="887">
        <f t="shared" si="508"/>
        <v>169</v>
      </c>
      <c r="AF178" s="887">
        <f t="shared" si="506"/>
        <v>169</v>
      </c>
      <c r="AG178" s="887">
        <f t="shared" si="506"/>
        <v>171</v>
      </c>
      <c r="AH178" s="887">
        <f t="shared" si="506"/>
        <v>173</v>
      </c>
      <c r="AI178" s="887">
        <f t="shared" si="506"/>
        <v>173</v>
      </c>
      <c r="AJ178" s="887"/>
      <c r="AK178" s="887"/>
      <c r="AL178" s="887">
        <f t="shared" si="506"/>
        <v>175</v>
      </c>
      <c r="AM178" s="887"/>
      <c r="AN178" s="887"/>
      <c r="AO178" s="887">
        <f t="shared" si="506"/>
        <v>177</v>
      </c>
      <c r="AP178" s="887"/>
      <c r="AQ178" s="887"/>
      <c r="AR178" s="887">
        <f t="shared" si="506"/>
        <v>177</v>
      </c>
      <c r="AS178" s="887"/>
      <c r="AT178" s="887"/>
      <c r="AU178" s="887">
        <f t="shared" si="506"/>
        <v>177</v>
      </c>
      <c r="AV178" s="887"/>
      <c r="AW178" s="887"/>
      <c r="AX178" s="887">
        <f t="shared" ref="AX178:BA178" si="509">AX177+AX176</f>
        <v>177</v>
      </c>
      <c r="AY178" s="887"/>
      <c r="AZ178" s="887"/>
      <c r="BA178" s="887">
        <f t="shared" si="509"/>
        <v>177</v>
      </c>
      <c r="BB178" s="887"/>
      <c r="BC178" s="887"/>
      <c r="BD178" s="887">
        <f t="shared" ref="BD178:BG178" si="510">BD177+BD176</f>
        <v>177</v>
      </c>
      <c r="BE178" s="887"/>
      <c r="BF178" s="887"/>
      <c r="BG178" s="887">
        <f t="shared" si="510"/>
        <v>177</v>
      </c>
      <c r="BH178" s="887"/>
      <c r="BI178" s="887"/>
      <c r="BJ178" s="887">
        <f t="shared" ref="BJ178" si="511">BJ177+BJ176</f>
        <v>177</v>
      </c>
      <c r="BK178" s="810"/>
      <c r="BL178" s="811"/>
    </row>
    <row r="179" spans="2:64" s="828" customFormat="1">
      <c r="C179" s="887"/>
      <c r="D179" s="887"/>
      <c r="E179" s="887"/>
      <c r="F179" s="887"/>
      <c r="G179" s="887"/>
      <c r="H179" s="887"/>
      <c r="I179" s="887"/>
      <c r="J179" s="887"/>
      <c r="K179" s="988"/>
      <c r="L179" s="887"/>
      <c r="M179" s="887"/>
      <c r="N179" s="852"/>
      <c r="O179" s="852"/>
      <c r="P179" s="852"/>
      <c r="Q179" s="852"/>
      <c r="R179" s="852"/>
      <c r="S179" s="852"/>
      <c r="T179" s="852"/>
      <c r="U179" s="887"/>
      <c r="V179" s="887"/>
      <c r="W179" s="852"/>
      <c r="X179" s="887"/>
      <c r="Y179" s="887"/>
      <c r="Z179" s="852"/>
      <c r="AA179" s="887"/>
      <c r="AB179" s="887"/>
      <c r="AC179" s="853"/>
      <c r="AD179" s="887"/>
      <c r="AE179" s="887"/>
      <c r="AF179" s="852"/>
      <c r="AG179" s="887"/>
      <c r="AH179" s="887"/>
      <c r="AI179" s="852"/>
      <c r="AJ179" s="852"/>
      <c r="AK179" s="852"/>
      <c r="AL179" s="852"/>
      <c r="AM179" s="852"/>
      <c r="AN179" s="852"/>
      <c r="AO179" s="852"/>
      <c r="AP179" s="852"/>
      <c r="AQ179" s="852"/>
      <c r="AR179" s="852"/>
      <c r="AS179" s="852"/>
      <c r="AT179" s="852"/>
      <c r="AU179" s="852"/>
      <c r="AV179" s="852"/>
      <c r="AW179" s="852"/>
      <c r="AX179" s="852"/>
      <c r="AY179" s="852"/>
      <c r="AZ179" s="852"/>
      <c r="BA179" s="852"/>
      <c r="BB179" s="852"/>
      <c r="BC179" s="852"/>
      <c r="BD179" s="852"/>
      <c r="BE179" s="852"/>
      <c r="BF179" s="852"/>
      <c r="BG179" s="852"/>
      <c r="BH179" s="852"/>
      <c r="BI179" s="852"/>
      <c r="BJ179" s="852"/>
      <c r="BK179" s="810"/>
      <c r="BL179" s="811"/>
    </row>
    <row r="180" spans="2:64" s="828" customFormat="1">
      <c r="B180" s="828" t="s">
        <v>408</v>
      </c>
      <c r="C180" s="1006"/>
      <c r="D180" s="845"/>
      <c r="E180" s="834">
        <f>H180/(1+H181)</f>
        <v>18.224699828473412</v>
      </c>
      <c r="F180" s="834">
        <f>I180/(1+I181)</f>
        <v>17.989041095890411</v>
      </c>
      <c r="G180" s="845">
        <f>H180-F180</f>
        <v>14.086430602222794</v>
      </c>
      <c r="H180" s="834">
        <f>K180/(1+K181)</f>
        <v>32.075471698113205</v>
      </c>
      <c r="I180" s="834">
        <f>I182*I152</f>
        <v>19.698</v>
      </c>
      <c r="J180" s="845">
        <f>K180-I180</f>
        <v>14.302</v>
      </c>
      <c r="K180" s="1088">
        <v>34</v>
      </c>
      <c r="L180" s="1004">
        <v>23.7</v>
      </c>
      <c r="M180" s="845">
        <f>N180-L180</f>
        <v>21.52</v>
      </c>
      <c r="N180" s="845">
        <f>K180*(1+N181)</f>
        <v>45.22</v>
      </c>
      <c r="O180" s="845">
        <v>50.5</v>
      </c>
      <c r="P180" s="845">
        <f>Q180-O180</f>
        <v>35.417999999999992</v>
      </c>
      <c r="Q180" s="845">
        <f>N180*(1+Q181)</f>
        <v>85.917999999999992</v>
      </c>
      <c r="R180" s="845">
        <v>76</v>
      </c>
      <c r="S180" s="845">
        <f>T180-R180</f>
        <v>40.848479999999981</v>
      </c>
      <c r="T180" s="845">
        <f>Q180*(1+T181)</f>
        <v>116.84847999999998</v>
      </c>
      <c r="U180" s="1004">
        <v>52</v>
      </c>
      <c r="V180" s="845">
        <f>W180-U180</f>
        <v>42</v>
      </c>
      <c r="W180" s="845">
        <v>94</v>
      </c>
      <c r="X180" s="1004">
        <v>61</v>
      </c>
      <c r="Y180" s="845">
        <f>Z180-X180</f>
        <v>41</v>
      </c>
      <c r="Z180" s="1004">
        <v>102</v>
      </c>
      <c r="AA180" s="1004">
        <f>X180*(1+AA181)</f>
        <v>65.186274509803923</v>
      </c>
      <c r="AB180" s="845">
        <f>AC180-AA180</f>
        <v>43.813725490196077</v>
      </c>
      <c r="AC180" s="1005">
        <v>109</v>
      </c>
      <c r="AD180" s="845">
        <f>AA180*(1+AD181)</f>
        <v>68.445588235294125</v>
      </c>
      <c r="AE180" s="845">
        <f>AF180-AD180</f>
        <v>46.004411764705878</v>
      </c>
      <c r="AF180" s="845">
        <f>AC180*(1+AF181)</f>
        <v>114.45</v>
      </c>
      <c r="AG180" s="845">
        <f>AD180*(1+AG181)</f>
        <v>71.86786764705883</v>
      </c>
      <c r="AH180" s="845">
        <f>AI180-AG180</f>
        <v>48.304632352941184</v>
      </c>
      <c r="AI180" s="845">
        <f>AF180*(1+AI181)</f>
        <v>120.17250000000001</v>
      </c>
      <c r="AJ180" s="845"/>
      <c r="AK180" s="845"/>
      <c r="AL180" s="845">
        <f>AI180*(1+AL181)</f>
        <v>126.18112500000002</v>
      </c>
      <c r="AM180" s="845"/>
      <c r="AN180" s="845"/>
      <c r="AO180" s="845">
        <f>AL180*(1+AO181)</f>
        <v>132.49018125000003</v>
      </c>
      <c r="AP180" s="845"/>
      <c r="AQ180" s="845"/>
      <c r="AR180" s="845">
        <f>AO180*(1+AR181)</f>
        <v>139.11469031250004</v>
      </c>
      <c r="AS180" s="845"/>
      <c r="AT180" s="845"/>
      <c r="AU180" s="845">
        <f>AR180*(1+AU181)</f>
        <v>146.07042482812506</v>
      </c>
      <c r="AV180" s="845"/>
      <c r="AW180" s="845"/>
      <c r="AX180" s="845">
        <f>AU180*(1+AX181)</f>
        <v>153.37394606953131</v>
      </c>
      <c r="AY180" s="845"/>
      <c r="AZ180" s="845"/>
      <c r="BA180" s="845">
        <f>AX180*(1+BA181)</f>
        <v>161.04264337300788</v>
      </c>
      <c r="BB180" s="845"/>
      <c r="BC180" s="845"/>
      <c r="BD180" s="845">
        <f>BA180*(1+BD181)</f>
        <v>169.09477554165827</v>
      </c>
      <c r="BE180" s="845"/>
      <c r="BF180" s="845"/>
      <c r="BG180" s="845">
        <f>BD180*(1+BG181)</f>
        <v>177.54951431874119</v>
      </c>
      <c r="BH180" s="845"/>
      <c r="BI180" s="845"/>
      <c r="BJ180" s="845">
        <f t="shared" ref="BJ180" si="512">BG180*(1+BJ181)</f>
        <v>186.42699003467825</v>
      </c>
      <c r="BK180" s="873"/>
      <c r="BL180" s="992"/>
    </row>
    <row r="181" spans="2:64" s="828" customFormat="1">
      <c r="B181" s="812" t="s">
        <v>391</v>
      </c>
      <c r="C181" s="991"/>
      <c r="D181" s="834"/>
      <c r="E181" s="1006"/>
      <c r="F181" s="947">
        <v>1.22</v>
      </c>
      <c r="G181" s="834"/>
      <c r="H181" s="1034">
        <v>0.76</v>
      </c>
      <c r="I181" s="944">
        <v>9.5000000000000001E-2</v>
      </c>
      <c r="J181" s="944">
        <f>J180/G180-1</f>
        <v>1.5303337223213198E-2</v>
      </c>
      <c r="K181" s="1089">
        <v>0.06</v>
      </c>
      <c r="L181" s="944">
        <f>L180/I180-1</f>
        <v>0.2031678342978982</v>
      </c>
      <c r="M181" s="944">
        <f>M180/J180-1</f>
        <v>0.50468465948818353</v>
      </c>
      <c r="N181" s="944">
        <v>0.33</v>
      </c>
      <c r="O181" s="944">
        <f>O180/L180-1</f>
        <v>1.130801687763713</v>
      </c>
      <c r="P181" s="944">
        <f>P180/M180-1</f>
        <v>0.64581784386617058</v>
      </c>
      <c r="Q181" s="944">
        <v>0.9</v>
      </c>
      <c r="R181" s="944">
        <f>R180/O180-1</f>
        <v>0.50495049504950495</v>
      </c>
      <c r="S181" s="944">
        <f>S180/P180-1</f>
        <v>0.15332542774860203</v>
      </c>
      <c r="T181" s="944">
        <v>0.36</v>
      </c>
      <c r="U181" s="944">
        <f t="shared" ref="U181:AB181" si="513">U180/R180-1</f>
        <v>-0.31578947368421051</v>
      </c>
      <c r="V181" s="862">
        <f t="shared" si="513"/>
        <v>2.8190033019589E-2</v>
      </c>
      <c r="W181" s="852">
        <f t="shared" si="513"/>
        <v>-0.19553938570702833</v>
      </c>
      <c r="X181" s="852">
        <f t="shared" si="513"/>
        <v>0.17307692307692313</v>
      </c>
      <c r="Y181" s="862">
        <f t="shared" si="513"/>
        <v>-2.3809523809523836E-2</v>
      </c>
      <c r="Z181" s="852">
        <f t="shared" si="513"/>
        <v>8.5106382978723305E-2</v>
      </c>
      <c r="AA181" s="947">
        <f>AC181</f>
        <v>6.8627450980392135E-2</v>
      </c>
      <c r="AB181" s="862">
        <f t="shared" si="513"/>
        <v>6.8627450980392135E-2</v>
      </c>
      <c r="AC181" s="853">
        <f t="shared" ref="AC181" si="514">AC180/Z180-1</f>
        <v>6.8627450980392135E-2</v>
      </c>
      <c r="AD181" s="1091">
        <f>AF181</f>
        <v>0.05</v>
      </c>
      <c r="AE181" s="1091">
        <f>AE180/AB180-1</f>
        <v>5.0000000000000044E-2</v>
      </c>
      <c r="AF181" s="957">
        <v>0.05</v>
      </c>
      <c r="AG181" s="1091">
        <f>AI181</f>
        <v>0.05</v>
      </c>
      <c r="AH181" s="1091">
        <f>AH180/AE180-1</f>
        <v>5.0000000000000266E-2</v>
      </c>
      <c r="AI181" s="957">
        <v>0.05</v>
      </c>
      <c r="AJ181" s="957"/>
      <c r="AK181" s="957"/>
      <c r="AL181" s="957">
        <v>0.05</v>
      </c>
      <c r="AM181" s="957"/>
      <c r="AN181" s="957"/>
      <c r="AO181" s="957">
        <v>0.05</v>
      </c>
      <c r="AP181" s="957"/>
      <c r="AQ181" s="957"/>
      <c r="AR181" s="957">
        <v>0.05</v>
      </c>
      <c r="AS181" s="957"/>
      <c r="AT181" s="957"/>
      <c r="AU181" s="957">
        <v>0.05</v>
      </c>
      <c r="AV181" s="957"/>
      <c r="AW181" s="957"/>
      <c r="AX181" s="957">
        <v>0.05</v>
      </c>
      <c r="AY181" s="957"/>
      <c r="AZ181" s="957"/>
      <c r="BA181" s="957">
        <v>0.05</v>
      </c>
      <c r="BB181" s="957"/>
      <c r="BC181" s="957"/>
      <c r="BD181" s="957">
        <v>0.05</v>
      </c>
      <c r="BE181" s="957"/>
      <c r="BF181" s="957"/>
      <c r="BG181" s="957">
        <v>0.05</v>
      </c>
      <c r="BH181" s="957"/>
      <c r="BI181" s="957"/>
      <c r="BJ181" s="957">
        <v>0.05</v>
      </c>
      <c r="BK181" s="873"/>
      <c r="BL181" s="992"/>
    </row>
    <row r="182" spans="2:64" s="828" customFormat="1">
      <c r="B182" s="812" t="s">
        <v>392</v>
      </c>
      <c r="C182" s="991"/>
      <c r="D182" s="834"/>
      <c r="E182" s="1006"/>
      <c r="F182" s="991"/>
      <c r="G182" s="834"/>
      <c r="H182" s="1007">
        <v>0.06</v>
      </c>
      <c r="I182" s="947">
        <v>7.0000000000000007E-2</v>
      </c>
      <c r="J182" s="834"/>
      <c r="K182" s="1089">
        <f t="shared" ref="K182:AU182" si="515">K180/K152</f>
        <v>6.6070734551107652E-2</v>
      </c>
      <c r="L182" s="944">
        <f t="shared" si="515"/>
        <v>8.3597883597883602E-2</v>
      </c>
      <c r="M182" s="944">
        <f t="shared" si="515"/>
        <v>8.5566600397614309E-2</v>
      </c>
      <c r="N182" s="944">
        <f t="shared" si="515"/>
        <v>8.45233644859813E-2</v>
      </c>
      <c r="O182" s="944">
        <f t="shared" si="515"/>
        <v>0.11807341594575638</v>
      </c>
      <c r="P182" s="944">
        <f t="shared" si="515"/>
        <v>9.5724324324324289E-2</v>
      </c>
      <c r="Q182" s="944">
        <f t="shared" si="515"/>
        <v>0.10770715807947849</v>
      </c>
      <c r="R182" s="944">
        <f t="shared" si="515"/>
        <v>0.18160095579450419</v>
      </c>
      <c r="S182" s="944">
        <f t="shared" si="515"/>
        <v>9.933968871595325E-2</v>
      </c>
      <c r="T182" s="944">
        <f t="shared" si="515"/>
        <v>0.14083220441123295</v>
      </c>
      <c r="U182" s="944">
        <f t="shared" si="515"/>
        <v>0.11617515638963359</v>
      </c>
      <c r="V182" s="944">
        <f t="shared" si="515"/>
        <v>0.10706092276319144</v>
      </c>
      <c r="W182" s="944">
        <f t="shared" si="515"/>
        <v>0.11191808548636743</v>
      </c>
      <c r="X182" s="944">
        <f t="shared" ref="X182" si="516">X180/X152</f>
        <v>0.12611122596650817</v>
      </c>
      <c r="Y182" s="944">
        <f t="shared" ref="Y182" si="517">Y180/Y152</f>
        <v>0.10369246332827516</v>
      </c>
      <c r="Z182" s="944">
        <f t="shared" si="515"/>
        <v>0.1160277556591969</v>
      </c>
      <c r="AA182" s="944">
        <f t="shared" si="515"/>
        <v>0.12574512829823289</v>
      </c>
      <c r="AB182" s="944">
        <f t="shared" si="515"/>
        <v>0.10097655102603383</v>
      </c>
      <c r="AC182" s="989">
        <f t="shared" si="515"/>
        <v>0.11445972907697155</v>
      </c>
      <c r="AD182" s="944">
        <f t="shared" ref="AD182:AE182" si="518">AD180/AD152</f>
        <v>0.1294975599068294</v>
      </c>
      <c r="AE182" s="944">
        <f t="shared" si="518"/>
        <v>0.10135597708094142</v>
      </c>
      <c r="AF182" s="944">
        <f t="shared" si="515"/>
        <v>0.1164960432697483</v>
      </c>
      <c r="AG182" s="944">
        <f t="shared" si="515"/>
        <v>0.13015693208716769</v>
      </c>
      <c r="AH182" s="944">
        <f t="shared" si="515"/>
        <v>0.10190313553501743</v>
      </c>
      <c r="AI182" s="944">
        <f t="shared" si="515"/>
        <v>0.1171057142508696</v>
      </c>
      <c r="AJ182" s="944"/>
      <c r="AK182" s="944"/>
      <c r="AL182" s="944">
        <f t="shared" si="515"/>
        <v>0.1167207405801841</v>
      </c>
      <c r="AM182" s="944"/>
      <c r="AN182" s="944"/>
      <c r="AO182" s="944">
        <f t="shared" si="515"/>
        <v>0.11703282812184237</v>
      </c>
      <c r="AP182" s="944"/>
      <c r="AQ182" s="944"/>
      <c r="AR182" s="944">
        <f t="shared" si="515"/>
        <v>0.1180239611593052</v>
      </c>
      <c r="AS182" s="944"/>
      <c r="AT182" s="944"/>
      <c r="AU182" s="944">
        <f t="shared" si="515"/>
        <v>0.11969975776805802</v>
      </c>
      <c r="AV182" s="944"/>
      <c r="AW182" s="944"/>
      <c r="AX182" s="944">
        <f t="shared" ref="AX182:BA182" si="519">AX180/AX152</f>
        <v>0.12139934864914609</v>
      </c>
      <c r="AY182" s="944"/>
      <c r="AZ182" s="944"/>
      <c r="BA182" s="944">
        <f t="shared" si="519"/>
        <v>0.123123071652278</v>
      </c>
      <c r="BB182" s="944"/>
      <c r="BC182" s="944"/>
      <c r="BD182" s="944">
        <f t="shared" ref="BD182:BG182" si="520">BD180/BD152</f>
        <v>0.12487126942421704</v>
      </c>
      <c r="BE182" s="944"/>
      <c r="BF182" s="944"/>
      <c r="BG182" s="944">
        <f t="shared" si="520"/>
        <v>0.12664428947689357</v>
      </c>
      <c r="BH182" s="944"/>
      <c r="BI182" s="944"/>
      <c r="BJ182" s="944">
        <f t="shared" ref="BJ182" si="521">BJ180/BJ152</f>
        <v>0.12844248425648438</v>
      </c>
      <c r="BK182" s="873"/>
      <c r="BL182" s="992"/>
    </row>
    <row r="183" spans="2:64" s="828" customFormat="1" hidden="1" outlineLevel="1">
      <c r="B183" s="812" t="s">
        <v>426</v>
      </c>
      <c r="C183" s="947">
        <f>14.4%-5.6%</f>
        <v>8.8000000000000023E-2</v>
      </c>
      <c r="D183" s="834"/>
      <c r="E183" s="1006"/>
      <c r="F183" s="947">
        <v>0.14399999999999999</v>
      </c>
      <c r="G183" s="834"/>
      <c r="H183" s="1007"/>
      <c r="I183" s="947"/>
      <c r="J183" s="834"/>
      <c r="K183" s="846"/>
      <c r="L183" s="947"/>
      <c r="M183" s="834"/>
      <c r="N183" s="845"/>
      <c r="O183" s="845"/>
      <c r="P183" s="845"/>
      <c r="Q183" s="845"/>
      <c r="R183" s="845"/>
      <c r="S183" s="845"/>
      <c r="T183" s="845"/>
      <c r="U183" s="845"/>
      <c r="V183" s="834"/>
      <c r="W183" s="845"/>
      <c r="X183" s="845"/>
      <c r="Y183" s="834"/>
      <c r="Z183" s="845"/>
      <c r="AA183" s="845"/>
      <c r="AB183" s="834"/>
      <c r="AC183" s="847"/>
      <c r="AD183" s="845"/>
      <c r="AE183" s="834"/>
      <c r="AF183" s="845"/>
      <c r="AG183" s="845"/>
      <c r="AH183" s="834"/>
      <c r="AI183" s="845"/>
      <c r="AJ183" s="845"/>
      <c r="AK183" s="845"/>
      <c r="AL183" s="845"/>
      <c r="AM183" s="845"/>
      <c r="AN183" s="845"/>
      <c r="AO183" s="845"/>
      <c r="AP183" s="845"/>
      <c r="AQ183" s="845"/>
      <c r="AR183" s="845"/>
      <c r="AS183" s="845"/>
      <c r="AT183" s="845"/>
      <c r="AU183" s="845"/>
      <c r="AV183" s="845"/>
      <c r="AW183" s="845"/>
      <c r="AX183" s="845"/>
      <c r="AY183" s="845"/>
      <c r="AZ183" s="845"/>
      <c r="BA183" s="845"/>
      <c r="BB183" s="845"/>
      <c r="BC183" s="845"/>
      <c r="BD183" s="845"/>
      <c r="BE183" s="845"/>
      <c r="BF183" s="845"/>
      <c r="BG183" s="845"/>
      <c r="BH183" s="845"/>
      <c r="BI183" s="845"/>
      <c r="BJ183" s="845"/>
      <c r="BK183" s="873"/>
      <c r="BL183" s="992"/>
    </row>
    <row r="184" spans="2:64" s="828" customFormat="1" hidden="1" outlineLevel="1">
      <c r="B184" s="812" t="s">
        <v>424</v>
      </c>
      <c r="G184" s="834"/>
      <c r="H184" s="947">
        <v>0.31</v>
      </c>
      <c r="I184" s="947">
        <v>0.35</v>
      </c>
      <c r="J184" s="834"/>
      <c r="K184" s="846"/>
      <c r="L184" s="947"/>
      <c r="M184" s="834"/>
      <c r="N184" s="845"/>
      <c r="O184" s="845"/>
      <c r="P184" s="845"/>
      <c r="Q184" s="845"/>
      <c r="R184" s="845"/>
      <c r="S184" s="845"/>
      <c r="T184" s="845"/>
      <c r="U184" s="845"/>
      <c r="V184" s="834"/>
      <c r="W184" s="845"/>
      <c r="X184" s="845"/>
      <c r="Y184" s="834"/>
      <c r="Z184" s="845"/>
      <c r="AA184" s="845"/>
      <c r="AB184" s="834"/>
      <c r="AC184" s="847"/>
      <c r="AD184" s="845"/>
      <c r="AE184" s="834"/>
      <c r="AF184" s="845"/>
      <c r="AG184" s="845"/>
      <c r="AH184" s="834"/>
      <c r="AI184" s="845"/>
      <c r="AJ184" s="845"/>
      <c r="AK184" s="845"/>
      <c r="AL184" s="845"/>
      <c r="AM184" s="845"/>
      <c r="AN184" s="845"/>
      <c r="AO184" s="845"/>
      <c r="AP184" s="845"/>
      <c r="AQ184" s="845"/>
      <c r="AR184" s="845"/>
      <c r="AS184" s="845"/>
      <c r="AT184" s="845"/>
      <c r="AU184" s="845"/>
      <c r="AV184" s="845"/>
      <c r="AW184" s="845"/>
      <c r="AX184" s="845"/>
      <c r="AY184" s="845"/>
      <c r="AZ184" s="845"/>
      <c r="BA184" s="845"/>
      <c r="BB184" s="845"/>
      <c r="BC184" s="845"/>
      <c r="BD184" s="845"/>
      <c r="BE184" s="845"/>
      <c r="BF184" s="845"/>
      <c r="BG184" s="845"/>
      <c r="BH184" s="845"/>
      <c r="BI184" s="845"/>
      <c r="BJ184" s="845"/>
      <c r="BK184" s="873"/>
      <c r="BL184" s="992"/>
    </row>
    <row r="185" spans="2:64" s="828" customFormat="1" hidden="1" outlineLevel="1">
      <c r="B185" s="812" t="s">
        <v>488</v>
      </c>
      <c r="G185" s="834"/>
      <c r="H185" s="944">
        <f>(H180-E180)/(H152-E152)</f>
        <v>0.75124460298201778</v>
      </c>
      <c r="I185" s="947"/>
      <c r="J185" s="834"/>
      <c r="K185" s="1089">
        <f>(K180-H180)/(K152-H152)</f>
        <v>0.11806922097464993</v>
      </c>
      <c r="L185" s="845"/>
      <c r="M185" s="834"/>
      <c r="N185" s="944">
        <f>(N180-K180)/(N152-K152)</f>
        <v>0.5500000000000006</v>
      </c>
      <c r="O185" s="944">
        <f>(O180-L180)/(O152-L152)</f>
        <v>0.18585298196948685</v>
      </c>
      <c r="P185" s="944">
        <f>(P180-M180)/(P152-M152)</f>
        <v>0.11728270042194081</v>
      </c>
      <c r="Q185" s="944">
        <f>(Q180-N180)/(Q152-N152)</f>
        <v>0.15492196421773882</v>
      </c>
      <c r="R185" s="944"/>
      <c r="S185" s="944"/>
      <c r="T185" s="944">
        <f>(T180-Q180)/(T152-Q152)</f>
        <v>0.96657749999999965</v>
      </c>
      <c r="U185" s="845"/>
      <c r="V185" s="834"/>
      <c r="W185" s="944">
        <f>(W180-T180)/(W152-T152)</f>
        <v>-2.2400470588235426</v>
      </c>
      <c r="X185" s="845"/>
      <c r="Y185" s="834"/>
      <c r="Z185" s="944">
        <f>(Z180-W180)/(Z152-W152)</f>
        <v>0.20408163265306098</v>
      </c>
      <c r="AA185" s="845"/>
      <c r="AB185" s="834"/>
      <c r="AC185" s="989">
        <f>(AC180-Z180)/(AC152-Z152)</f>
        <v>9.562841530054654E-2</v>
      </c>
      <c r="AD185" s="845"/>
      <c r="AE185" s="834"/>
      <c r="AF185" s="944">
        <f>(AF180-AC180)/(AF152-AC152)</f>
        <v>0.18084202509660999</v>
      </c>
      <c r="AG185" s="845"/>
      <c r="AH185" s="834"/>
      <c r="AI185" s="944">
        <f>(AI180-AF180)/(AI152-AF152)</f>
        <v>0.13079586953280165</v>
      </c>
      <c r="AJ185" s="944"/>
      <c r="AK185" s="944"/>
      <c r="AL185" s="944">
        <f>(AL180-AI180)/(AL152-AI152)</f>
        <v>0.10952001234330236</v>
      </c>
      <c r="AM185" s="944"/>
      <c r="AN185" s="944"/>
      <c r="AO185" s="944">
        <f>(AO180-AL180)/(AO152-AL152)</f>
        <v>0.12364485230951759</v>
      </c>
      <c r="AP185" s="944"/>
      <c r="AQ185" s="944"/>
      <c r="AR185" s="944">
        <f>(AR180-AO180)/(AR152-AO152)</f>
        <v>0.14209087726055356</v>
      </c>
      <c r="AS185" s="944"/>
      <c r="AT185" s="944"/>
      <c r="AU185" s="944">
        <f>(AU180-AR180)/(AU152-AR152)</f>
        <v>0.16717274951743014</v>
      </c>
      <c r="AV185" s="944"/>
      <c r="AW185" s="944"/>
      <c r="AX185" s="944">
        <f>(AX180-AU180)/(AX152-AU152)</f>
        <v>0.16954639910489874</v>
      </c>
      <c r="AY185" s="944"/>
      <c r="AZ185" s="944"/>
      <c r="BA185" s="944">
        <f>(BA180-AX180)/(BA152-AX152)</f>
        <v>0.1719537516276862</v>
      </c>
      <c r="BB185" s="944"/>
      <c r="BC185" s="944"/>
      <c r="BD185" s="944">
        <f>(BD180-BA180)/(BD152-BA152)</f>
        <v>0.17439528562645651</v>
      </c>
      <c r="BE185" s="944"/>
      <c r="BF185" s="944"/>
      <c r="BG185" s="944">
        <f>(BG180-BD180)/(BG152-BD152)</f>
        <v>0.1768714864365688</v>
      </c>
      <c r="BH185" s="944"/>
      <c r="BI185" s="944"/>
      <c r="BJ185" s="944">
        <f t="shared" ref="BJ185" si="522">(BJ180-BG180)/(BJ152-BG152)</f>
        <v>0.17938284628455295</v>
      </c>
      <c r="BK185" s="873"/>
      <c r="BL185" s="992"/>
    </row>
    <row r="186" spans="2:64" s="828" customFormat="1" collapsed="1">
      <c r="B186" s="812"/>
      <c r="G186" s="834"/>
      <c r="H186" s="944"/>
      <c r="I186" s="947"/>
      <c r="J186" s="834"/>
      <c r="K186" s="1089"/>
      <c r="L186" s="845"/>
      <c r="M186" s="834"/>
      <c r="N186" s="944"/>
      <c r="O186" s="944"/>
      <c r="P186" s="944"/>
      <c r="Q186" s="944"/>
      <c r="R186" s="944"/>
      <c r="S186" s="944"/>
      <c r="T186" s="944"/>
      <c r="U186" s="845"/>
      <c r="V186" s="834"/>
      <c r="W186" s="944"/>
      <c r="X186" s="845"/>
      <c r="Y186" s="834"/>
      <c r="Z186" s="944"/>
      <c r="AA186" s="845"/>
      <c r="AB186" s="834"/>
      <c r="AC186" s="989"/>
      <c r="AD186" s="845"/>
      <c r="AE186" s="834"/>
      <c r="AF186" s="944"/>
      <c r="AG186" s="845"/>
      <c r="AH186" s="834"/>
      <c r="AI186" s="944"/>
      <c r="AJ186" s="944"/>
      <c r="AK186" s="944"/>
      <c r="AL186" s="944"/>
      <c r="AM186" s="944"/>
      <c r="AN186" s="944"/>
      <c r="AO186" s="944"/>
      <c r="AP186" s="944"/>
      <c r="AQ186" s="944"/>
      <c r="AR186" s="944"/>
      <c r="AS186" s="944"/>
      <c r="AT186" s="944"/>
      <c r="AU186" s="944"/>
      <c r="AV186" s="944"/>
      <c r="AW186" s="944"/>
      <c r="AX186" s="944"/>
      <c r="AY186" s="944"/>
      <c r="AZ186" s="944"/>
      <c r="BA186" s="944"/>
      <c r="BB186" s="944"/>
      <c r="BC186" s="944"/>
      <c r="BD186" s="944"/>
      <c r="BE186" s="944"/>
      <c r="BF186" s="944"/>
      <c r="BG186" s="944"/>
      <c r="BH186" s="944"/>
      <c r="BI186" s="944"/>
      <c r="BJ186" s="944"/>
      <c r="BK186" s="873"/>
      <c r="BL186" s="992"/>
    </row>
    <row r="187" spans="2:64" s="828" customFormat="1">
      <c r="B187" s="812" t="s">
        <v>805</v>
      </c>
      <c r="G187" s="834"/>
      <c r="H187" s="971">
        <f t="shared" ref="H187:AU187" si="523">H152-H180</f>
        <v>466.22452830188683</v>
      </c>
      <c r="I187" s="1092">
        <f t="shared" si="523"/>
        <v>261.702</v>
      </c>
      <c r="J187" s="971">
        <f t="shared" si="523"/>
        <v>218.89800000000005</v>
      </c>
      <c r="K187" s="1093">
        <f t="shared" si="523"/>
        <v>480.6</v>
      </c>
      <c r="L187" s="1012">
        <f t="shared" si="523"/>
        <v>259.8</v>
      </c>
      <c r="M187" s="971">
        <f t="shared" si="523"/>
        <v>229.98</v>
      </c>
      <c r="N187" s="971">
        <f t="shared" si="523"/>
        <v>489.78</v>
      </c>
      <c r="O187" s="971">
        <f t="shared" si="523"/>
        <v>377.2</v>
      </c>
      <c r="P187" s="971">
        <f t="shared" si="523"/>
        <v>334.58200000000005</v>
      </c>
      <c r="Q187" s="971">
        <f t="shared" si="523"/>
        <v>711.78200000000004</v>
      </c>
      <c r="R187" s="971">
        <f t="shared" si="523"/>
        <v>342.5</v>
      </c>
      <c r="S187" s="971">
        <f t="shared" si="523"/>
        <v>370.35152000000005</v>
      </c>
      <c r="T187" s="971">
        <f t="shared" si="523"/>
        <v>712.85152000000005</v>
      </c>
      <c r="U187" s="1012">
        <f t="shared" si="523"/>
        <v>395.6</v>
      </c>
      <c r="V187" s="971">
        <f t="shared" si="523"/>
        <v>350.29999999999995</v>
      </c>
      <c r="W187" s="971">
        <f t="shared" si="523"/>
        <v>745.9</v>
      </c>
      <c r="X187" s="1012">
        <f t="shared" ref="X187" si="524">X152-X180</f>
        <v>422.7</v>
      </c>
      <c r="Y187" s="971">
        <f t="shared" ref="Y187" si="525">Y152-Y180</f>
        <v>354.40000000000003</v>
      </c>
      <c r="Z187" s="971">
        <f t="shared" si="523"/>
        <v>777.1</v>
      </c>
      <c r="AA187" s="1012">
        <f t="shared" si="523"/>
        <v>453.21372549019605</v>
      </c>
      <c r="AB187" s="971">
        <f t="shared" si="523"/>
        <v>390.0862745098039</v>
      </c>
      <c r="AC187" s="1356">
        <f t="shared" si="523"/>
        <v>843.3</v>
      </c>
      <c r="AD187" s="1012">
        <f t="shared" ref="AD187:AE187" si="526">AD152-AD180</f>
        <v>460.1017317647059</v>
      </c>
      <c r="AE187" s="971">
        <f t="shared" si="526"/>
        <v>407.88506855639469</v>
      </c>
      <c r="AF187" s="971">
        <f t="shared" si="523"/>
        <v>867.98680032110053</v>
      </c>
      <c r="AG187" s="1012">
        <f t="shared" si="523"/>
        <v>480.29532869294121</v>
      </c>
      <c r="AH187" s="971">
        <f t="shared" si="523"/>
        <v>425.72035323096213</v>
      </c>
      <c r="AI187" s="971">
        <f t="shared" si="523"/>
        <v>906.01568192390334</v>
      </c>
      <c r="AJ187" s="971"/>
      <c r="AK187" s="971"/>
      <c r="AL187" s="971">
        <f t="shared" si="523"/>
        <v>954.87031772381374</v>
      </c>
      <c r="AM187" s="971"/>
      <c r="AN187" s="971"/>
      <c r="AO187" s="971">
        <f t="shared" si="523"/>
        <v>999.58688957037771</v>
      </c>
      <c r="AP187" s="971"/>
      <c r="AQ187" s="971"/>
      <c r="AR187" s="971">
        <f t="shared" si="523"/>
        <v>1039.584015831816</v>
      </c>
      <c r="AS187" s="971"/>
      <c r="AT187" s="971"/>
      <c r="AU187" s="971">
        <f t="shared" si="523"/>
        <v>1074.2363456430853</v>
      </c>
      <c r="AV187" s="971"/>
      <c r="AW187" s="971"/>
      <c r="AX187" s="971">
        <f t="shared" ref="AX187:BA187" si="527">AX152-AX180</f>
        <v>1110.0096533993126</v>
      </c>
      <c r="AY187" s="971"/>
      <c r="AZ187" s="971"/>
      <c r="BA187" s="971">
        <f t="shared" si="527"/>
        <v>1146.938397157086</v>
      </c>
      <c r="BB187" s="971"/>
      <c r="BC187" s="971"/>
      <c r="BD187" s="971">
        <f t="shared" ref="BD187:BG187" si="528">BD152-BD180</f>
        <v>1185.0579957191478</v>
      </c>
      <c r="BE187" s="971"/>
      <c r="BF187" s="971"/>
      <c r="BG187" s="971">
        <f t="shared" si="528"/>
        <v>1224.4048497675712</v>
      </c>
      <c r="BH187" s="971"/>
      <c r="BI187" s="971"/>
      <c r="BJ187" s="971">
        <f t="shared" ref="BJ187" si="529">BJ152-BJ180</f>
        <v>1265.0163631038806</v>
      </c>
      <c r="BK187" s="873"/>
      <c r="BL187" s="992"/>
    </row>
    <row r="188" spans="2:64" s="828" customFormat="1">
      <c r="B188" s="812" t="s">
        <v>806</v>
      </c>
      <c r="G188" s="834"/>
      <c r="H188" s="944"/>
      <c r="I188" s="947"/>
      <c r="J188" s="944"/>
      <c r="K188" s="1089">
        <f t="shared" ref="K188:X188" si="530">K187/H187-1</f>
        <v>3.0833795361373317E-2</v>
      </c>
      <c r="L188" s="1009">
        <f t="shared" si="530"/>
        <v>-7.2678084233210871E-3</v>
      </c>
      <c r="M188" s="944">
        <f t="shared" si="530"/>
        <v>5.0626319107529127E-2</v>
      </c>
      <c r="N188" s="944">
        <f t="shared" si="530"/>
        <v>1.910112359550542E-2</v>
      </c>
      <c r="O188" s="944">
        <f t="shared" si="530"/>
        <v>0.45188606620477278</v>
      </c>
      <c r="P188" s="944">
        <f t="shared" si="530"/>
        <v>0.45483085485694441</v>
      </c>
      <c r="Q188" s="944">
        <f t="shared" si="530"/>
        <v>0.45326881456980694</v>
      </c>
      <c r="R188" s="944">
        <f t="shared" si="530"/>
        <v>-9.1993637327677624E-2</v>
      </c>
      <c r="S188" s="944">
        <f t="shared" si="530"/>
        <v>0.10690808232361571</v>
      </c>
      <c r="T188" s="944">
        <f t="shared" si="530"/>
        <v>1.5025948956282065E-3</v>
      </c>
      <c r="U188" s="944">
        <f t="shared" si="530"/>
        <v>0.15503649635036498</v>
      </c>
      <c r="V188" s="944">
        <f t="shared" si="530"/>
        <v>-5.4141859604086684E-2</v>
      </c>
      <c r="W188" s="944">
        <f t="shared" si="530"/>
        <v>4.6360958871210611E-2</v>
      </c>
      <c r="X188" s="944">
        <f t="shared" si="530"/>
        <v>6.8503538928210261E-2</v>
      </c>
      <c r="Y188" s="944">
        <f t="shared" ref="Y188" si="531">Y187/V187-1</f>
        <v>1.1704253497002881E-2</v>
      </c>
      <c r="Z188" s="944">
        <f>Z187/W187-1</f>
        <v>4.1828663359699814E-2</v>
      </c>
      <c r="AA188" s="944">
        <f t="shared" ref="AA188:AB188" si="532">AA187/X187-1</f>
        <v>7.2187663804580193E-2</v>
      </c>
      <c r="AB188" s="944">
        <f t="shared" si="532"/>
        <v>0.1006949055017039</v>
      </c>
      <c r="AC188" s="989">
        <f>AC187/Z187-1</f>
        <v>8.5188521425813901E-2</v>
      </c>
      <c r="AD188" s="944">
        <f t="shared" ref="AD188" si="533">AD187/AA187-1</f>
        <v>1.5198141378131913E-2</v>
      </c>
      <c r="AE188" s="944">
        <f t="shared" ref="AE188" si="534">AE187/AB187-1</f>
        <v>4.5627839813019211E-2</v>
      </c>
      <c r="AF188" s="944">
        <f>AF187/AC187-1</f>
        <v>2.9274042833037583E-2</v>
      </c>
      <c r="AG188" s="944">
        <f t="shared" ref="AG188" si="535">AG187/AD187-1</f>
        <v>4.3889417348601079E-2</v>
      </c>
      <c r="AH188" s="944">
        <f t="shared" ref="AH188" si="536">AH187/AE187-1</f>
        <v>4.3726250479555251E-2</v>
      </c>
      <c r="AI188" s="944">
        <f>AI187/AF187-1</f>
        <v>4.3812741839777347E-2</v>
      </c>
      <c r="AJ188" s="944"/>
      <c r="AK188" s="944"/>
      <c r="AL188" s="944">
        <f>AL187/AI187-1</f>
        <v>5.3922505729888437E-2</v>
      </c>
      <c r="AM188" s="944"/>
      <c r="AN188" s="944"/>
      <c r="AO188" s="944">
        <f>AO187/AL187-1</f>
        <v>4.682999462498505E-2</v>
      </c>
      <c r="AP188" s="944"/>
      <c r="AQ188" s="944"/>
      <c r="AR188" s="944">
        <f>AR187/AO187-1</f>
        <v>4.0013656320191604E-2</v>
      </c>
      <c r="AS188" s="944"/>
      <c r="AT188" s="944"/>
      <c r="AU188" s="944">
        <f>AU187/AR187-1</f>
        <v>3.3332880540244192E-2</v>
      </c>
      <c r="AV188" s="944"/>
      <c r="AW188" s="944"/>
      <c r="AX188" s="944">
        <f>AX187/AU187-1</f>
        <v>3.3301151931153239E-2</v>
      </c>
      <c r="AY188" s="944"/>
      <c r="AZ188" s="944"/>
      <c r="BA188" s="944">
        <f>BA187/AX187-1</f>
        <v>3.3268849189448169E-2</v>
      </c>
      <c r="BB188" s="944"/>
      <c r="BC188" s="944"/>
      <c r="BD188" s="944">
        <f>BD187/BA187-1</f>
        <v>3.3235959888123778E-2</v>
      </c>
      <c r="BE188" s="944"/>
      <c r="BF188" s="944"/>
      <c r="BG188" s="944">
        <f>BG187/BD187-1</f>
        <v>3.3202471263481081E-2</v>
      </c>
      <c r="BH188" s="944"/>
      <c r="BI188" s="944"/>
      <c r="BJ188" s="944">
        <f t="shared" ref="BJ188" si="537">BJ187/BG187-1</f>
        <v>3.316837020371044E-2</v>
      </c>
      <c r="BK188" s="873"/>
      <c r="BL188" s="992"/>
    </row>
    <row r="189" spans="2:64" s="828" customFormat="1">
      <c r="B189" s="812"/>
      <c r="G189" s="834"/>
      <c r="H189" s="944"/>
      <c r="I189" s="947"/>
      <c r="J189" s="944"/>
      <c r="K189" s="1089"/>
      <c r="L189" s="1009"/>
      <c r="M189" s="944"/>
      <c r="N189" s="944"/>
      <c r="O189" s="944"/>
      <c r="P189" s="944"/>
      <c r="Q189" s="944"/>
      <c r="R189" s="944"/>
      <c r="S189" s="944"/>
      <c r="T189" s="944"/>
      <c r="U189" s="944"/>
      <c r="V189" s="944"/>
      <c r="W189" s="944"/>
      <c r="X189" s="944"/>
      <c r="Y189" s="944"/>
      <c r="Z189" s="944"/>
      <c r="AA189" s="944"/>
      <c r="AB189" s="944"/>
      <c r="AC189" s="989"/>
      <c r="AD189" s="944"/>
      <c r="AE189" s="944"/>
      <c r="AF189" s="944"/>
      <c r="AG189" s="944"/>
      <c r="AH189" s="944"/>
      <c r="AI189" s="944"/>
      <c r="AJ189" s="944"/>
      <c r="AK189" s="944"/>
      <c r="AL189" s="944"/>
      <c r="AM189" s="944"/>
      <c r="AN189" s="944"/>
      <c r="AO189" s="944"/>
      <c r="AP189" s="944"/>
      <c r="AQ189" s="944"/>
      <c r="AR189" s="944"/>
      <c r="AS189" s="944"/>
      <c r="AT189" s="944"/>
      <c r="AU189" s="944"/>
      <c r="AV189" s="944"/>
      <c r="AW189" s="944"/>
      <c r="AX189" s="944"/>
      <c r="AY189" s="944"/>
      <c r="AZ189" s="944"/>
      <c r="BA189" s="944"/>
      <c r="BB189" s="944"/>
      <c r="BC189" s="944"/>
      <c r="BD189" s="944"/>
      <c r="BE189" s="944"/>
      <c r="BF189" s="944"/>
      <c r="BG189" s="944"/>
      <c r="BH189" s="944"/>
      <c r="BI189" s="944"/>
      <c r="BJ189" s="944"/>
      <c r="BK189" s="873"/>
      <c r="BL189" s="992"/>
    </row>
    <row r="190" spans="2:64" s="1024" customFormat="1">
      <c r="B190" s="1017" t="s">
        <v>263</v>
      </c>
      <c r="C190" s="973"/>
      <c r="D190" s="973"/>
      <c r="E190" s="973"/>
      <c r="F190" s="1018"/>
      <c r="G190" s="973"/>
      <c r="H190" s="973"/>
      <c r="I190" s="1018"/>
      <c r="J190" s="973"/>
      <c r="K190" s="1019"/>
      <c r="L190" s="1018"/>
      <c r="M190" s="973"/>
      <c r="N190" s="973">
        <v>128.9</v>
      </c>
      <c r="O190" s="973"/>
      <c r="P190" s="973"/>
      <c r="Q190" s="973">
        <v>186.9</v>
      </c>
      <c r="R190" s="973"/>
      <c r="S190" s="973"/>
      <c r="T190" s="973">
        <v>230.6</v>
      </c>
      <c r="U190" s="1020">
        <v>259</v>
      </c>
      <c r="V190" s="973"/>
      <c r="W190" s="1020">
        <v>219</v>
      </c>
      <c r="X190" s="1020">
        <v>257.10000000000002</v>
      </c>
      <c r="Y190" s="973"/>
      <c r="Z190" s="1020">
        <v>230.9</v>
      </c>
      <c r="AA190" s="1020">
        <v>283.10000000000002</v>
      </c>
      <c r="AB190" s="973"/>
      <c r="AC190" s="1021">
        <v>243.3</v>
      </c>
      <c r="AD190" s="973"/>
      <c r="AE190" s="973"/>
      <c r="AF190" s="973"/>
      <c r="AG190" s="973"/>
      <c r="AH190" s="973"/>
      <c r="AI190" s="973"/>
      <c r="AJ190" s="973"/>
      <c r="AK190" s="973"/>
      <c r="AL190" s="973"/>
      <c r="AM190" s="973"/>
      <c r="AN190" s="973"/>
      <c r="AO190" s="973"/>
      <c r="AP190" s="973"/>
      <c r="AQ190" s="973"/>
      <c r="AR190" s="973"/>
      <c r="AS190" s="973"/>
      <c r="AT190" s="973"/>
      <c r="AU190" s="973"/>
      <c r="AV190" s="973"/>
      <c r="AW190" s="973"/>
      <c r="AX190" s="973"/>
      <c r="AY190" s="973"/>
      <c r="AZ190" s="973"/>
      <c r="BA190" s="973"/>
      <c r="BB190" s="973"/>
      <c r="BC190" s="973"/>
      <c r="BD190" s="973"/>
      <c r="BE190" s="973"/>
      <c r="BF190" s="973"/>
      <c r="BG190" s="973"/>
      <c r="BH190" s="973"/>
      <c r="BI190" s="973"/>
      <c r="BJ190" s="973"/>
      <c r="BK190" s="1022"/>
      <c r="BL190" s="1023"/>
    </row>
    <row r="191" spans="2:64" s="1024" customFormat="1">
      <c r="B191" s="1017" t="s">
        <v>799</v>
      </c>
      <c r="C191" s="973"/>
      <c r="D191" s="973"/>
      <c r="E191" s="973"/>
      <c r="F191" s="1018"/>
      <c r="G191" s="973"/>
      <c r="H191" s="973"/>
      <c r="I191" s="1018"/>
      <c r="J191" s="973"/>
      <c r="K191" s="1019"/>
      <c r="L191" s="1018"/>
      <c r="M191" s="973"/>
      <c r="N191" s="1025">
        <v>-55.7</v>
      </c>
      <c r="O191" s="1025"/>
      <c r="P191" s="1025"/>
      <c r="Q191" s="1025">
        <v>-68.400000000000006</v>
      </c>
      <c r="R191" s="1025"/>
      <c r="S191" s="1025"/>
      <c r="T191" s="1025">
        <v>-35.700000000000003</v>
      </c>
      <c r="U191" s="1094"/>
      <c r="V191" s="1025"/>
      <c r="W191" s="1025">
        <v>-42.2</v>
      </c>
      <c r="X191" s="1025">
        <v>-133.80000000000001</v>
      </c>
      <c r="Y191" s="1025"/>
      <c r="Z191" s="1025">
        <v>-58.3</v>
      </c>
      <c r="AA191" s="1025">
        <v>-126.8</v>
      </c>
      <c r="AB191" s="1025"/>
      <c r="AC191" s="1026">
        <v>-68.5</v>
      </c>
      <c r="AD191" s="973"/>
      <c r="AE191" s="973"/>
      <c r="AF191" s="973"/>
      <c r="AG191" s="973"/>
      <c r="AH191" s="973"/>
      <c r="AI191" s="973"/>
      <c r="AJ191" s="973"/>
      <c r="AK191" s="973"/>
      <c r="AL191" s="973"/>
      <c r="AM191" s="973"/>
      <c r="AN191" s="973"/>
      <c r="AO191" s="973"/>
      <c r="AP191" s="973"/>
      <c r="AQ191" s="973"/>
      <c r="AR191" s="973"/>
      <c r="AS191" s="973"/>
      <c r="AT191" s="973"/>
      <c r="AU191" s="973"/>
      <c r="AV191" s="973"/>
      <c r="AW191" s="973"/>
      <c r="AX191" s="973"/>
      <c r="AY191" s="973"/>
      <c r="AZ191" s="973"/>
      <c r="BA191" s="973"/>
      <c r="BB191" s="973"/>
      <c r="BC191" s="973"/>
      <c r="BD191" s="973"/>
      <c r="BE191" s="973"/>
      <c r="BF191" s="973"/>
      <c r="BG191" s="973"/>
      <c r="BH191" s="973"/>
      <c r="BI191" s="973"/>
      <c r="BJ191" s="973"/>
      <c r="BK191" s="1022"/>
      <c r="BL191" s="1023"/>
    </row>
    <row r="192" spans="2:64" s="1024" customFormat="1">
      <c r="B192" s="1017" t="s">
        <v>800</v>
      </c>
      <c r="C192" s="973"/>
      <c r="D192" s="973"/>
      <c r="E192" s="973"/>
      <c r="F192" s="1018"/>
      <c r="G192" s="973"/>
      <c r="H192" s="973"/>
      <c r="I192" s="1018"/>
      <c r="J192" s="973"/>
      <c r="K192" s="1019"/>
      <c r="L192" s="1018"/>
      <c r="M192" s="973"/>
      <c r="N192" s="979">
        <f>SUM(N190:N191)</f>
        <v>73.2</v>
      </c>
      <c r="O192" s="979"/>
      <c r="P192" s="979"/>
      <c r="Q192" s="979">
        <f>SUM(Q190:Q191)</f>
        <v>118.5</v>
      </c>
      <c r="R192" s="979"/>
      <c r="S192" s="979"/>
      <c r="T192" s="979">
        <f>SUM(T190:T191)</f>
        <v>194.89999999999998</v>
      </c>
      <c r="U192" s="973"/>
      <c r="V192" s="973"/>
      <c r="W192" s="979">
        <f>SUM(W190:W191)</f>
        <v>176.8</v>
      </c>
      <c r="X192" s="979">
        <f>SUM(X190:X191)</f>
        <v>123.30000000000001</v>
      </c>
      <c r="Y192" s="973"/>
      <c r="Z192" s="979">
        <f>SUM(Z190:Z191)</f>
        <v>172.60000000000002</v>
      </c>
      <c r="AA192" s="979">
        <f>SUM(AA190:AA191)</f>
        <v>156.30000000000001</v>
      </c>
      <c r="AB192" s="973"/>
      <c r="AC192" s="1095">
        <f>SUM(AC190:AC191)</f>
        <v>174.8</v>
      </c>
      <c r="AD192" s="973"/>
      <c r="AE192" s="973"/>
      <c r="AF192" s="973"/>
      <c r="AG192" s="973"/>
      <c r="AH192" s="973"/>
      <c r="AI192" s="973"/>
      <c r="AJ192" s="973"/>
      <c r="AK192" s="973"/>
      <c r="AL192" s="973"/>
      <c r="AM192" s="973"/>
      <c r="AN192" s="973"/>
      <c r="AO192" s="973"/>
      <c r="AP192" s="973"/>
      <c r="AQ192" s="973"/>
      <c r="AR192" s="973"/>
      <c r="AS192" s="973"/>
      <c r="AT192" s="973"/>
      <c r="AU192" s="973"/>
      <c r="AV192" s="973"/>
      <c r="AW192" s="973"/>
      <c r="AX192" s="973"/>
      <c r="AY192" s="973"/>
      <c r="AZ192" s="973"/>
      <c r="BA192" s="973"/>
      <c r="BB192" s="973"/>
      <c r="BC192" s="973"/>
      <c r="BD192" s="973"/>
      <c r="BE192" s="973"/>
      <c r="BF192" s="973"/>
      <c r="BG192" s="973"/>
      <c r="BH192" s="973"/>
      <c r="BI192" s="973"/>
      <c r="BJ192" s="973"/>
      <c r="BK192" s="1022"/>
      <c r="BL192" s="1023"/>
    </row>
    <row r="193" spans="1:64" s="1024" customFormat="1">
      <c r="B193" s="1017" t="s">
        <v>802</v>
      </c>
      <c r="C193" s="973"/>
      <c r="D193" s="973"/>
      <c r="E193" s="973"/>
      <c r="F193" s="1018"/>
      <c r="G193" s="973"/>
      <c r="H193" s="973"/>
      <c r="I193" s="1018"/>
      <c r="J193" s="973"/>
      <c r="K193" s="1019"/>
      <c r="L193" s="1018"/>
      <c r="M193" s="973"/>
      <c r="N193" s="973">
        <f>N190/(N152-N158)*365</f>
        <v>150.07017320021691</v>
      </c>
      <c r="O193" s="973"/>
      <c r="P193" s="973"/>
      <c r="Q193" s="973">
        <f>Q190/(Q152-Q158)*365</f>
        <v>147.19275749103974</v>
      </c>
      <c r="R193" s="973"/>
      <c r="S193" s="973"/>
      <c r="T193" s="973">
        <f>T190/(T152-T158)*365</f>
        <v>166.03126127460737</v>
      </c>
      <c r="U193" s="973"/>
      <c r="V193" s="973"/>
      <c r="W193" s="973">
        <f>W190/(W152-W158)*365</f>
        <v>151.30690666293643</v>
      </c>
      <c r="X193" s="973">
        <f>X190/(X152-X158)*365</f>
        <v>325.15344608767333</v>
      </c>
      <c r="Y193" s="973"/>
      <c r="Z193" s="973">
        <f>Z190/(Z152-Z158)*365</f>
        <v>155.88466770801253</v>
      </c>
      <c r="AA193" s="973">
        <f>AA190/(AA152-AA158)*365/2</f>
        <v>165.53675376599287</v>
      </c>
      <c r="AB193" s="973"/>
      <c r="AC193" s="1027">
        <f>AC190/(AC152-AC158)*365</f>
        <v>150.04449151307387</v>
      </c>
      <c r="AD193" s="973"/>
      <c r="AE193" s="973"/>
      <c r="AF193" s="973"/>
      <c r="AG193" s="973"/>
      <c r="AH193" s="973"/>
      <c r="AI193" s="973"/>
      <c r="AJ193" s="973"/>
      <c r="AK193" s="973"/>
      <c r="AL193" s="973"/>
      <c r="AM193" s="973"/>
      <c r="AN193" s="973"/>
      <c r="AO193" s="973"/>
      <c r="AP193" s="973"/>
      <c r="AQ193" s="973"/>
      <c r="AR193" s="973"/>
      <c r="AS193" s="973"/>
      <c r="AT193" s="973"/>
      <c r="AU193" s="973"/>
      <c r="AV193" s="973"/>
      <c r="AW193" s="973"/>
      <c r="AX193" s="973"/>
      <c r="AY193" s="973"/>
      <c r="AZ193" s="973"/>
      <c r="BA193" s="973"/>
      <c r="BB193" s="973"/>
      <c r="BC193" s="973"/>
      <c r="BD193" s="973"/>
      <c r="BE193" s="973"/>
      <c r="BF193" s="973"/>
      <c r="BG193" s="973"/>
      <c r="BH193" s="973"/>
      <c r="BI193" s="973"/>
      <c r="BJ193" s="973"/>
      <c r="BK193" s="1022"/>
      <c r="BL193" s="1023"/>
    </row>
    <row r="194" spans="1:64">
      <c r="C194" s="902"/>
      <c r="D194" s="902"/>
      <c r="E194" s="902"/>
      <c r="F194" s="902"/>
      <c r="G194" s="902"/>
      <c r="H194" s="902"/>
      <c r="I194" s="902"/>
      <c r="J194" s="902"/>
      <c r="K194" s="904"/>
      <c r="L194" s="902"/>
      <c r="M194" s="902"/>
      <c r="N194" s="902"/>
      <c r="O194" s="902"/>
      <c r="P194" s="902"/>
      <c r="Q194" s="902"/>
      <c r="R194" s="902"/>
      <c r="S194" s="902"/>
      <c r="T194" s="902"/>
      <c r="U194" s="902"/>
      <c r="V194" s="902"/>
      <c r="W194" s="902"/>
      <c r="X194" s="902"/>
      <c r="Y194" s="902"/>
      <c r="Z194" s="902"/>
      <c r="AA194" s="902"/>
      <c r="AB194" s="902"/>
      <c r="AC194" s="905"/>
      <c r="AD194" s="902"/>
      <c r="AE194" s="902"/>
      <c r="AF194" s="902"/>
      <c r="AG194" s="902"/>
      <c r="AH194" s="902"/>
      <c r="AI194" s="902"/>
      <c r="AJ194" s="902"/>
      <c r="AK194" s="902"/>
      <c r="AL194" s="902"/>
      <c r="AM194" s="902"/>
      <c r="AN194" s="902"/>
      <c r="AO194" s="902"/>
      <c r="AP194" s="902"/>
      <c r="AQ194" s="902"/>
      <c r="AR194" s="902"/>
      <c r="AS194" s="902"/>
      <c r="AT194" s="902"/>
      <c r="AU194" s="902"/>
      <c r="AV194" s="902"/>
      <c r="AW194" s="902"/>
      <c r="AX194" s="902"/>
      <c r="AY194" s="902"/>
      <c r="AZ194" s="902"/>
      <c r="BA194" s="902"/>
      <c r="BB194" s="902"/>
      <c r="BC194" s="902"/>
      <c r="BD194" s="902"/>
      <c r="BE194" s="902"/>
      <c r="BF194" s="902"/>
      <c r="BG194" s="902"/>
      <c r="BH194" s="902"/>
      <c r="BI194" s="902"/>
      <c r="BJ194" s="902"/>
      <c r="BK194" s="1028"/>
    </row>
    <row r="195" spans="1:64">
      <c r="B195" s="824" t="s">
        <v>257</v>
      </c>
      <c r="C195" s="827"/>
      <c r="D195" s="895"/>
      <c r="E195" s="827"/>
      <c r="F195" s="895"/>
      <c r="G195" s="895"/>
      <c r="H195" s="827"/>
      <c r="I195" s="895"/>
      <c r="J195" s="895"/>
      <c r="K195" s="1051"/>
      <c r="L195" s="897">
        <f t="shared" ref="L195:M195" si="538">((1+L199)*(1+I199))^(1/2)-1</f>
        <v>-0.2375738027233677</v>
      </c>
      <c r="M195" s="897">
        <f t="shared" si="538"/>
        <v>-5.840142085561828E-3</v>
      </c>
      <c r="N195" s="827"/>
      <c r="O195" s="827"/>
      <c r="P195" s="827"/>
      <c r="Q195" s="827"/>
      <c r="R195" s="827"/>
      <c r="S195" s="827"/>
      <c r="T195" s="827"/>
      <c r="U195" s="827"/>
      <c r="V195" s="827"/>
      <c r="W195" s="827"/>
      <c r="X195" s="827"/>
      <c r="Y195" s="897"/>
      <c r="Z195" s="827"/>
      <c r="AA195" s="827"/>
      <c r="AB195" s="897"/>
      <c r="AC195" s="1054"/>
      <c r="AD195" s="897"/>
      <c r="AE195" s="897"/>
      <c r="AF195" s="827"/>
      <c r="AG195" s="897"/>
      <c r="AH195" s="897"/>
      <c r="AI195" s="827"/>
      <c r="AJ195" s="827"/>
      <c r="AK195" s="827"/>
      <c r="AL195" s="827"/>
      <c r="AM195" s="827"/>
      <c r="AN195" s="827"/>
      <c r="AO195" s="827"/>
      <c r="AP195" s="827"/>
      <c r="AQ195" s="827"/>
      <c r="AR195" s="827"/>
      <c r="AS195" s="827"/>
      <c r="AT195" s="827"/>
      <c r="AU195" s="827"/>
      <c r="AV195" s="827"/>
      <c r="AW195" s="827"/>
      <c r="AX195" s="827"/>
      <c r="AY195" s="827"/>
      <c r="AZ195" s="827"/>
      <c r="BA195" s="827"/>
      <c r="BB195" s="827"/>
      <c r="BC195" s="827"/>
      <c r="BD195" s="827"/>
      <c r="BE195" s="827"/>
      <c r="BF195" s="827"/>
      <c r="BG195" s="827"/>
      <c r="BH195" s="827"/>
      <c r="BI195" s="827"/>
      <c r="BJ195" s="827"/>
    </row>
    <row r="196" spans="1:64" outlineLevel="1">
      <c r="B196" s="828"/>
      <c r="D196" s="834"/>
      <c r="F196" s="834"/>
      <c r="G196" s="834"/>
      <c r="I196" s="834"/>
      <c r="J196" s="834"/>
      <c r="L196" s="834"/>
      <c r="M196" s="834"/>
      <c r="U196" s="834"/>
      <c r="V196" s="834"/>
      <c r="X196" s="834"/>
      <c r="Y196" s="834"/>
      <c r="AA196" s="834"/>
      <c r="AB196" s="834"/>
      <c r="AD196" s="834"/>
      <c r="AE196" s="834"/>
      <c r="AG196" s="834"/>
      <c r="AH196" s="834"/>
    </row>
    <row r="197" spans="1:64">
      <c r="A197" s="812" t="s">
        <v>950</v>
      </c>
      <c r="B197" s="812" t="s">
        <v>142</v>
      </c>
      <c r="C197" s="899">
        <v>35</v>
      </c>
      <c r="D197" s="899">
        <v>16</v>
      </c>
      <c r="E197" s="899">
        <v>34</v>
      </c>
      <c r="F197" s="899">
        <v>15</v>
      </c>
      <c r="G197" s="899">
        <v>63</v>
      </c>
      <c r="H197" s="899">
        <f>AVERAGE(H233,H233)</f>
        <v>63</v>
      </c>
      <c r="I197" s="899">
        <f>AVERAGE(H233,I233)</f>
        <v>65.5</v>
      </c>
      <c r="J197" s="899">
        <f>(I233+K233)*0.5</f>
        <v>69</v>
      </c>
      <c r="K197" s="900">
        <f>K233</f>
        <v>70</v>
      </c>
      <c r="L197" s="899">
        <f>AVERAGE(K233,L233)</f>
        <v>71.5</v>
      </c>
      <c r="M197" s="899">
        <f>(L233+N233)*0.5</f>
        <v>72.5</v>
      </c>
      <c r="N197" s="899">
        <f>AVERAGE(K233,N233)</f>
        <v>71</v>
      </c>
      <c r="O197" s="899">
        <f>AVERAGE(N233,O233)</f>
        <v>72</v>
      </c>
      <c r="P197" s="899">
        <f>(O233+Q233)*0.5</f>
        <v>74</v>
      </c>
      <c r="Q197" s="899">
        <f>AVERAGE(N233,Q233)</f>
        <v>74</v>
      </c>
      <c r="R197" s="899">
        <f>AVERAGE(Q233,R233)</f>
        <v>79</v>
      </c>
      <c r="S197" s="899">
        <f>(R233+T233)*0.5</f>
        <v>83.5</v>
      </c>
      <c r="T197" s="899">
        <f>AVERAGE(Q233,T233)</f>
        <v>80.5</v>
      </c>
      <c r="U197" s="899">
        <f>AVERAGE(T233,U233)</f>
        <v>86</v>
      </c>
      <c r="V197" s="899">
        <f>(U233+W233)*0.5</f>
        <v>88</v>
      </c>
      <c r="W197" s="899">
        <f>AVERAGE(T233,W233)</f>
        <v>87</v>
      </c>
      <c r="X197" s="899">
        <f>AVERAGE(W233,X233)</f>
        <v>91</v>
      </c>
      <c r="Y197" s="899">
        <f>(X233+Z233)*0.5</f>
        <v>95</v>
      </c>
      <c r="Z197" s="899">
        <f>AVERAGE(W233,Z233)</f>
        <v>93</v>
      </c>
      <c r="AA197" s="899">
        <f>AVERAGE(Z233,AA233)</f>
        <v>99</v>
      </c>
      <c r="AB197" s="899">
        <f>(AA233+AC233)*0.5</f>
        <v>102</v>
      </c>
      <c r="AC197" s="901">
        <f>AVERAGE(Z233,AC233)</f>
        <v>100</v>
      </c>
      <c r="AD197" s="899">
        <f>AVERAGE(AC233,AD233)</f>
        <v>103</v>
      </c>
      <c r="AE197" s="899">
        <f>(AD233+AF233)*0.5</f>
        <v>103</v>
      </c>
      <c r="AF197" s="899">
        <f>AVERAGE(AC233,AF233)</f>
        <v>103</v>
      </c>
      <c r="AG197" s="899">
        <f>AVERAGE(AF233,AG233)</f>
        <v>103.5</v>
      </c>
      <c r="AH197" s="899">
        <f>(AG233+AI233)*0.5</f>
        <v>104.5</v>
      </c>
      <c r="AI197" s="899">
        <f>AVERAGE(AF233,AI233)</f>
        <v>104</v>
      </c>
      <c r="AJ197" s="899"/>
      <c r="AK197" s="899"/>
      <c r="AL197" s="899">
        <f>AVERAGE(AI233,AL233)</f>
        <v>105.5</v>
      </c>
      <c r="AM197" s="899"/>
      <c r="AN197" s="899"/>
      <c r="AO197" s="899">
        <f>AVERAGE(AL233,AO233)</f>
        <v>106.5</v>
      </c>
      <c r="AP197" s="899"/>
      <c r="AQ197" s="899"/>
      <c r="AR197" s="899">
        <f>AVERAGE(AO233,AR233)</f>
        <v>107.5</v>
      </c>
      <c r="AS197" s="899"/>
      <c r="AT197" s="899"/>
      <c r="AU197" s="899">
        <f>AVERAGE(AR233,AU233)</f>
        <v>108.5</v>
      </c>
      <c r="AV197" s="899"/>
      <c r="AW197" s="899"/>
      <c r="AX197" s="899">
        <f>AVERAGE(AU233,AX233)</f>
        <v>109.5</v>
      </c>
      <c r="AY197" s="899"/>
      <c r="AZ197" s="899"/>
      <c r="BA197" s="899">
        <f>AVERAGE(AX233,BA233)</f>
        <v>110.5</v>
      </c>
      <c r="BB197" s="899"/>
      <c r="BC197" s="899"/>
      <c r="BD197" s="899">
        <f>AVERAGE(BA233,BD233)</f>
        <v>111.5</v>
      </c>
      <c r="BE197" s="899"/>
      <c r="BF197" s="899"/>
      <c r="BG197" s="899">
        <f>AVERAGE(BD233,BG233)</f>
        <v>112.5</v>
      </c>
      <c r="BH197" s="899"/>
      <c r="BI197" s="899"/>
      <c r="BJ197" s="899">
        <f t="shared" ref="BJ197" si="539">AVERAGE(BG233,BJ233)</f>
        <v>113.5</v>
      </c>
    </row>
    <row r="198" spans="1:64">
      <c r="A198" s="812" t="s">
        <v>946</v>
      </c>
      <c r="B198" s="812" t="s">
        <v>175</v>
      </c>
      <c r="C198" s="834">
        <v>0.65759999999999996</v>
      </c>
      <c r="D198" s="834">
        <v>3.1302499999999998</v>
      </c>
      <c r="E198" s="834">
        <v>2.15</v>
      </c>
      <c r="F198" s="834">
        <v>1.6</v>
      </c>
      <c r="G198" s="834">
        <v>0.91269841269841268</v>
      </c>
      <c r="H198" s="834">
        <f t="shared" ref="H198:U198" si="540">H205/H197</f>
        <v>1.2936507936507937</v>
      </c>
      <c r="I198" s="834">
        <f t="shared" si="540"/>
        <v>1.0244274809160305</v>
      </c>
      <c r="J198" s="834">
        <f t="shared" si="540"/>
        <v>1.0391304347826089</v>
      </c>
      <c r="K198" s="835">
        <f t="shared" si="540"/>
        <v>1.9828571428571431</v>
      </c>
      <c r="L198" s="834">
        <f t="shared" si="540"/>
        <v>0.93006993006993011</v>
      </c>
      <c r="M198" s="834">
        <f t="shared" si="540"/>
        <v>0.90206896551724147</v>
      </c>
      <c r="N198" s="834">
        <f t="shared" si="540"/>
        <v>1.8577464788732396</v>
      </c>
      <c r="O198" s="834">
        <f t="shared" si="540"/>
        <v>0.875</v>
      </c>
      <c r="P198" s="834">
        <f t="shared" si="540"/>
        <v>1.2216216216216218</v>
      </c>
      <c r="Q198" s="834">
        <f t="shared" si="540"/>
        <v>2.0729729729729729</v>
      </c>
      <c r="R198" s="834">
        <f t="shared" si="540"/>
        <v>0.83037974683544291</v>
      </c>
      <c r="S198" s="834">
        <f t="shared" si="540"/>
        <v>1.3317365269461079</v>
      </c>
      <c r="T198" s="834">
        <f t="shared" si="540"/>
        <v>2.1962732919254662</v>
      </c>
      <c r="U198" s="834">
        <f t="shared" si="540"/>
        <v>1.1790697674418604</v>
      </c>
      <c r="V198" s="834">
        <f>W198-U198</f>
        <v>1.3105854049719325</v>
      </c>
      <c r="W198" s="834">
        <f t="shared" ref="W198:X198" si="541">W205/W197</f>
        <v>2.489655172413793</v>
      </c>
      <c r="X198" s="834">
        <f t="shared" si="541"/>
        <v>1.1604395604395603</v>
      </c>
      <c r="Y198" s="834">
        <f>Z198-X198</f>
        <v>1.236334633108827</v>
      </c>
      <c r="Z198" s="834">
        <f t="shared" ref="Z198:AA198" si="542">Z205/Z197</f>
        <v>2.3967741935483873</v>
      </c>
      <c r="AA198" s="834">
        <f t="shared" si="542"/>
        <v>1.0858585858585859</v>
      </c>
      <c r="AB198" s="834">
        <f>AC198-AA198</f>
        <v>1.230141414141414</v>
      </c>
      <c r="AC198" s="836">
        <f t="shared" ref="AC198" si="543">AC205/AC197</f>
        <v>2.3159999999999998</v>
      </c>
      <c r="AD198" s="834">
        <f>AA198*(1+AD199)</f>
        <v>1.1631717171717173</v>
      </c>
      <c r="AE198" s="834">
        <f>AF198-AD198</f>
        <v>1.2700178828282827</v>
      </c>
      <c r="AF198" s="834">
        <f>AC198*(1+AF199)</f>
        <v>2.4331896</v>
      </c>
      <c r="AG198" s="834">
        <f>AD198*(1+AG199)</f>
        <v>1.198066868686869</v>
      </c>
      <c r="AH198" s="834">
        <f>AI198-AG198</f>
        <v>1.320649345753131</v>
      </c>
      <c r="AI198" s="834">
        <f>AF198*(1+AI199)</f>
        <v>2.5187162144399999</v>
      </c>
      <c r="AJ198" s="834"/>
      <c r="AK198" s="834"/>
      <c r="AL198" s="834">
        <f>AI198*(1+AL199)</f>
        <v>2.620220477881932</v>
      </c>
      <c r="AM198" s="834"/>
      <c r="AN198" s="834"/>
      <c r="AO198" s="834">
        <f>AL198*(1+AO199)</f>
        <v>2.7258153631405739</v>
      </c>
      <c r="AP198" s="834"/>
      <c r="AQ198" s="834"/>
      <c r="AR198" s="834">
        <f>AO198*(1+AR199)</f>
        <v>2.8356657222751389</v>
      </c>
      <c r="AS198" s="834"/>
      <c r="AT198" s="834"/>
      <c r="AU198" s="834">
        <f>AR198*(1+AU199)</f>
        <v>2.949943050882827</v>
      </c>
      <c r="AV198" s="834"/>
      <c r="AW198" s="834"/>
      <c r="AX198" s="834">
        <f>AU198*(1+AX199)</f>
        <v>3.0390313310194883</v>
      </c>
      <c r="AY198" s="834"/>
      <c r="AZ198" s="834"/>
      <c r="BA198" s="834">
        <f>AX198*(1+BA199)</f>
        <v>3.1308100772162768</v>
      </c>
      <c r="BB198" s="834"/>
      <c r="BC198" s="834"/>
      <c r="BD198" s="834">
        <f>BA198*(1+BD199)</f>
        <v>3.2253605415482083</v>
      </c>
      <c r="BE198" s="834"/>
      <c r="BF198" s="834"/>
      <c r="BG198" s="834">
        <f>BD198*(1+BG199)</f>
        <v>3.322766429902964</v>
      </c>
      <c r="BH198" s="834"/>
      <c r="BI198" s="834"/>
      <c r="BJ198" s="834">
        <f t="shared" ref="BJ198" si="544">BG198*(1+BJ199)</f>
        <v>3.4231139760860336</v>
      </c>
    </row>
    <row r="199" spans="1:64">
      <c r="B199" s="812" t="s">
        <v>219</v>
      </c>
      <c r="C199" s="907">
        <v>-0.49003257524409649</v>
      </c>
      <c r="D199" s="852">
        <v>2.8604827070283134</v>
      </c>
      <c r="E199" s="902">
        <v>4.6882255228295477E-3</v>
      </c>
      <c r="F199" s="902">
        <v>1.4330900243309004</v>
      </c>
      <c r="G199" s="852">
        <v>-0.70842635166570955</v>
      </c>
      <c r="H199" s="830">
        <f t="shared" ref="H199:AC199" si="545">H198/E198-1</f>
        <v>-0.39830195644149125</v>
      </c>
      <c r="I199" s="852">
        <f t="shared" si="545"/>
        <v>-0.359732824427481</v>
      </c>
      <c r="J199" s="852">
        <f t="shared" si="545"/>
        <v>0.13852551984877159</v>
      </c>
      <c r="K199" s="904">
        <f t="shared" si="545"/>
        <v>0.53276073619631914</v>
      </c>
      <c r="L199" s="852">
        <f t="shared" si="545"/>
        <v>-9.2107594343063703E-2</v>
      </c>
      <c r="M199" s="852">
        <f t="shared" si="545"/>
        <v>-0.13190015870725735</v>
      </c>
      <c r="N199" s="902">
        <f t="shared" si="545"/>
        <v>-6.3096156187847585E-2</v>
      </c>
      <c r="O199" s="902">
        <f t="shared" si="545"/>
        <v>-5.9210526315789491E-2</v>
      </c>
      <c r="P199" s="902">
        <f t="shared" si="545"/>
        <v>0.35424415240929008</v>
      </c>
      <c r="Q199" s="902">
        <f>Q198/N198-1</f>
        <v>0.11585353359424611</v>
      </c>
      <c r="R199" s="902">
        <f t="shared" si="545"/>
        <v>-5.0994575045208101E-2</v>
      </c>
      <c r="S199" s="902">
        <f t="shared" si="545"/>
        <v>9.0138307455884581E-2</v>
      </c>
      <c r="T199" s="902">
        <f t="shared" si="545"/>
        <v>5.947994525739575E-2</v>
      </c>
      <c r="U199" s="902">
        <f t="shared" si="545"/>
        <v>0.41991633579126497</v>
      </c>
      <c r="V199" s="852">
        <f t="shared" ref="V199" si="546">V198/S198-1</f>
        <v>-1.5882362273773709E-2</v>
      </c>
      <c r="W199" s="902">
        <f t="shared" si="545"/>
        <v>0.13358168200967357</v>
      </c>
      <c r="X199" s="902">
        <f t="shared" si="545"/>
        <v>-1.5800767280057304E-2</v>
      </c>
      <c r="Y199" s="852">
        <f t="shared" ref="Y199" si="547">Y198/V198-1</f>
        <v>-5.6654661025082653E-2</v>
      </c>
      <c r="Z199" s="902">
        <f t="shared" si="545"/>
        <v>-3.730676436422109E-2</v>
      </c>
      <c r="AA199" s="902">
        <f t="shared" si="545"/>
        <v>-6.4269589837771535E-2</v>
      </c>
      <c r="AB199" s="852">
        <f t="shared" si="545"/>
        <v>-5.0093387352903029E-3</v>
      </c>
      <c r="AC199" s="905">
        <f t="shared" si="545"/>
        <v>-3.3701211305518286E-2</v>
      </c>
      <c r="AD199" s="902">
        <f>(1+AD200)*(1+AD201)-1</f>
        <v>7.1200000000000152E-2</v>
      </c>
      <c r="AE199" s="852">
        <f t="shared" ref="AE199" si="548">AE198/AB198-1</f>
        <v>3.2416166327267959E-2</v>
      </c>
      <c r="AF199" s="902">
        <f t="shared" ref="AF199:AU199" si="549">(1+AF200)*(1+AF201)-1</f>
        <v>5.0599999999999978E-2</v>
      </c>
      <c r="AG199" s="902">
        <f>(1+AG200)*(1+AG201)-1</f>
        <v>3.0000000000000027E-2</v>
      </c>
      <c r="AH199" s="852">
        <f t="shared" ref="AH199" si="550">AH198/AE198-1</f>
        <v>3.9866732279465245E-2</v>
      </c>
      <c r="AI199" s="902">
        <f t="shared" si="549"/>
        <v>3.5150000000000015E-2</v>
      </c>
      <c r="AJ199" s="902"/>
      <c r="AK199" s="902"/>
      <c r="AL199" s="902">
        <f t="shared" si="549"/>
        <v>4.0300000000000002E-2</v>
      </c>
      <c r="AM199" s="902"/>
      <c r="AN199" s="902"/>
      <c r="AO199" s="902">
        <f t="shared" si="549"/>
        <v>4.0300000000000002E-2</v>
      </c>
      <c r="AP199" s="902"/>
      <c r="AQ199" s="902"/>
      <c r="AR199" s="902">
        <f t="shared" si="549"/>
        <v>4.0300000000000002E-2</v>
      </c>
      <c r="AS199" s="902"/>
      <c r="AT199" s="902"/>
      <c r="AU199" s="902">
        <f t="shared" si="549"/>
        <v>4.0300000000000002E-2</v>
      </c>
      <c r="AV199" s="902"/>
      <c r="AW199" s="902"/>
      <c r="AX199" s="902">
        <f t="shared" ref="AX199:BA199" si="551">(1+AX200)*(1+AX201)-1</f>
        <v>3.0200000000000005E-2</v>
      </c>
      <c r="AY199" s="902"/>
      <c r="AZ199" s="902"/>
      <c r="BA199" s="902">
        <f t="shared" si="551"/>
        <v>3.0200000000000005E-2</v>
      </c>
      <c r="BB199" s="902"/>
      <c r="BC199" s="902"/>
      <c r="BD199" s="902">
        <f t="shared" ref="BD199:BG199" si="552">(1+BD200)*(1+BD201)-1</f>
        <v>3.0200000000000005E-2</v>
      </c>
      <c r="BE199" s="902"/>
      <c r="BF199" s="902"/>
      <c r="BG199" s="902">
        <f t="shared" si="552"/>
        <v>3.0200000000000005E-2</v>
      </c>
      <c r="BH199" s="902"/>
      <c r="BI199" s="902"/>
      <c r="BJ199" s="902">
        <f t="shared" ref="BJ199" si="553">(1+BJ200)*(1+BJ201)-1</f>
        <v>3.0200000000000005E-2</v>
      </c>
      <c r="BK199" s="823"/>
      <c r="BL199" s="823"/>
    </row>
    <row r="200" spans="1:64" ht="12" customHeight="1">
      <c r="B200" s="812" t="s">
        <v>803</v>
      </c>
      <c r="C200" s="907"/>
      <c r="D200" s="908"/>
      <c r="E200" s="907"/>
      <c r="F200" s="907"/>
      <c r="G200" s="907"/>
      <c r="H200" s="907"/>
      <c r="I200" s="907"/>
      <c r="J200" s="852"/>
      <c r="K200" s="904"/>
      <c r="L200" s="907"/>
      <c r="M200" s="852"/>
      <c r="N200" s="907"/>
      <c r="O200" s="907"/>
      <c r="P200" s="907"/>
      <c r="Q200" s="907"/>
      <c r="R200" s="907"/>
      <c r="S200" s="907"/>
      <c r="T200" s="907">
        <v>0</v>
      </c>
      <c r="U200" s="907"/>
      <c r="V200" s="852"/>
      <c r="W200" s="907"/>
      <c r="X200" s="907"/>
      <c r="Y200" s="907"/>
      <c r="Z200" s="907" t="s">
        <v>994</v>
      </c>
      <c r="AA200" s="907"/>
      <c r="AB200" s="907"/>
      <c r="AC200" s="909" t="s">
        <v>994</v>
      </c>
      <c r="AD200" s="911">
        <v>0.04</v>
      </c>
      <c r="AE200" s="911">
        <v>0.05</v>
      </c>
      <c r="AF200" s="911">
        <v>0.03</v>
      </c>
      <c r="AG200" s="911">
        <f>AI200</f>
        <v>0.03</v>
      </c>
      <c r="AH200" s="911">
        <v>0.05</v>
      </c>
      <c r="AI200" s="911">
        <v>0.03</v>
      </c>
      <c r="AJ200" s="911"/>
      <c r="AK200" s="911"/>
      <c r="AL200" s="911">
        <v>0.03</v>
      </c>
      <c r="AM200" s="911"/>
      <c r="AN200" s="911"/>
      <c r="AO200" s="911">
        <v>0.03</v>
      </c>
      <c r="AP200" s="911"/>
      <c r="AQ200" s="911"/>
      <c r="AR200" s="911">
        <v>0.03</v>
      </c>
      <c r="AS200" s="911"/>
      <c r="AT200" s="911"/>
      <c r="AU200" s="911">
        <v>0.03</v>
      </c>
      <c r="AV200" s="911"/>
      <c r="AW200" s="911"/>
      <c r="AX200" s="911">
        <v>0.02</v>
      </c>
      <c r="AY200" s="911"/>
      <c r="AZ200" s="911"/>
      <c r="BA200" s="911">
        <v>0.02</v>
      </c>
      <c r="BB200" s="911"/>
      <c r="BC200" s="911"/>
      <c r="BD200" s="911">
        <v>0.02</v>
      </c>
      <c r="BE200" s="911"/>
      <c r="BF200" s="911"/>
      <c r="BG200" s="911">
        <v>0.02</v>
      </c>
      <c r="BH200" s="911"/>
      <c r="BI200" s="911"/>
      <c r="BJ200" s="911">
        <v>0.02</v>
      </c>
      <c r="BK200" s="906"/>
    </row>
    <row r="201" spans="1:64" ht="12" customHeight="1">
      <c r="B201" s="812" t="s">
        <v>804</v>
      </c>
      <c r="C201" s="907"/>
      <c r="D201" s="908"/>
      <c r="E201" s="907"/>
      <c r="F201" s="907"/>
      <c r="G201" s="907"/>
      <c r="H201" s="907"/>
      <c r="I201" s="907"/>
      <c r="J201" s="852"/>
      <c r="K201" s="904"/>
      <c r="L201" s="907"/>
      <c r="M201" s="852"/>
      <c r="N201" s="907"/>
      <c r="O201" s="907"/>
      <c r="P201" s="907"/>
      <c r="Q201" s="907"/>
      <c r="R201" s="907"/>
      <c r="S201" s="907"/>
      <c r="T201" s="907">
        <f>T199-T200</f>
        <v>5.947994525739575E-2</v>
      </c>
      <c r="U201" s="907">
        <v>0</v>
      </c>
      <c r="V201" s="907">
        <v>0</v>
      </c>
      <c r="W201" s="907"/>
      <c r="X201" s="907"/>
      <c r="Y201" s="852"/>
      <c r="Z201" s="907"/>
      <c r="AA201" s="907"/>
      <c r="AB201" s="852"/>
      <c r="AC201" s="909" t="s">
        <v>1085</v>
      </c>
      <c r="AD201" s="911">
        <v>0.03</v>
      </c>
      <c r="AE201" s="955"/>
      <c r="AF201" s="911">
        <v>0.02</v>
      </c>
      <c r="AG201" s="911">
        <v>0</v>
      </c>
      <c r="AH201" s="955"/>
      <c r="AI201" s="911">
        <v>5.0000000000000001E-3</v>
      </c>
      <c r="AJ201" s="911"/>
      <c r="AK201" s="911"/>
      <c r="AL201" s="911">
        <v>0.01</v>
      </c>
      <c r="AM201" s="911"/>
      <c r="AN201" s="911"/>
      <c r="AO201" s="911">
        <v>0.01</v>
      </c>
      <c r="AP201" s="911"/>
      <c r="AQ201" s="911"/>
      <c r="AR201" s="911">
        <v>0.01</v>
      </c>
      <c r="AS201" s="911"/>
      <c r="AT201" s="911"/>
      <c r="AU201" s="911">
        <v>0.01</v>
      </c>
      <c r="AV201" s="911"/>
      <c r="AW201" s="911"/>
      <c r="AX201" s="911">
        <v>0.01</v>
      </c>
      <c r="AY201" s="911"/>
      <c r="AZ201" s="911"/>
      <c r="BA201" s="911">
        <v>0.01</v>
      </c>
      <c r="BB201" s="911"/>
      <c r="BC201" s="911"/>
      <c r="BD201" s="911">
        <v>0.01</v>
      </c>
      <c r="BE201" s="911"/>
      <c r="BF201" s="911"/>
      <c r="BG201" s="911">
        <v>0.01</v>
      </c>
      <c r="BH201" s="911"/>
      <c r="BI201" s="911"/>
      <c r="BJ201" s="911">
        <v>0.01</v>
      </c>
      <c r="BK201" s="906"/>
    </row>
    <row r="202" spans="1:64" s="912" customFormat="1" ht="12" hidden="1" customHeight="1" outlineLevel="1">
      <c r="B202" s="919" t="s">
        <v>763</v>
      </c>
      <c r="C202" s="913"/>
      <c r="D202" s="914"/>
      <c r="E202" s="913"/>
      <c r="F202" s="913"/>
      <c r="G202" s="913"/>
      <c r="H202" s="913"/>
      <c r="I202" s="913"/>
      <c r="J202" s="867"/>
      <c r="K202" s="915"/>
      <c r="L202" s="913"/>
      <c r="M202" s="867"/>
      <c r="N202" s="913"/>
      <c r="O202" s="913"/>
      <c r="P202" s="913"/>
      <c r="Q202" s="913"/>
      <c r="R202" s="913">
        <f>R198/L198-1</f>
        <v>-0.10718568573332077</v>
      </c>
      <c r="S202" s="913">
        <f>S198/M198-1</f>
        <v>0.47631342818949252</v>
      </c>
      <c r="T202" s="913">
        <f>T198/N198-1</f>
        <v>0.18222444068770338</v>
      </c>
      <c r="U202" s="913"/>
      <c r="V202" s="913">
        <f>V198/P198-1</f>
        <v>7.2824335928351802E-2</v>
      </c>
      <c r="W202" s="913"/>
      <c r="X202" s="913"/>
      <c r="Y202" s="913">
        <f>Y198/S198-1</f>
        <v>-7.1637213447958259E-2</v>
      </c>
      <c r="Z202" s="913"/>
      <c r="AA202" s="913"/>
      <c r="AB202" s="913">
        <f>AB198/V198-1</f>
        <v>-6.138019737236533E-2</v>
      </c>
      <c r="AC202" s="916"/>
      <c r="AD202" s="913"/>
      <c r="AE202" s="913">
        <f>AE198/Y198-1</f>
        <v>2.7244444034344895E-2</v>
      </c>
      <c r="AF202" s="913"/>
      <c r="AG202" s="913"/>
      <c r="AH202" s="913">
        <f>AH198/AB198-1</f>
        <v>7.3575225231228947E-2</v>
      </c>
      <c r="AI202" s="913"/>
      <c r="AJ202" s="913"/>
      <c r="AK202" s="913"/>
      <c r="AL202" s="913"/>
      <c r="AM202" s="913"/>
      <c r="AN202" s="913"/>
      <c r="AO202" s="913"/>
      <c r="AP202" s="913"/>
      <c r="AQ202" s="913"/>
      <c r="AR202" s="913"/>
      <c r="AS202" s="913"/>
      <c r="AT202" s="913"/>
      <c r="AU202" s="913"/>
      <c r="AV202" s="913"/>
      <c r="AW202" s="913"/>
      <c r="AX202" s="913"/>
      <c r="AY202" s="913"/>
      <c r="AZ202" s="913"/>
      <c r="BA202" s="913"/>
      <c r="BB202" s="913"/>
      <c r="BC202" s="913"/>
      <c r="BD202" s="913"/>
      <c r="BE202" s="913"/>
      <c r="BF202" s="913"/>
      <c r="BG202" s="913"/>
      <c r="BH202" s="913"/>
      <c r="BI202" s="913"/>
      <c r="BJ202" s="913"/>
      <c r="BK202" s="1096"/>
      <c r="BL202" s="1097"/>
    </row>
    <row r="203" spans="1:64" s="912" customFormat="1" ht="12" hidden="1" customHeight="1" outlineLevel="1">
      <c r="B203" s="919" t="s">
        <v>764</v>
      </c>
      <c r="C203" s="913"/>
      <c r="D203" s="914"/>
      <c r="E203" s="913"/>
      <c r="F203" s="913"/>
      <c r="G203" s="913"/>
      <c r="H203" s="913"/>
      <c r="I203" s="913"/>
      <c r="J203" s="867"/>
      <c r="K203" s="915"/>
      <c r="L203" s="913"/>
      <c r="M203" s="867"/>
      <c r="N203" s="913"/>
      <c r="O203" s="913"/>
      <c r="P203" s="913"/>
      <c r="Q203" s="913"/>
      <c r="R203" s="913">
        <f>R198/I198-1</f>
        <v>-0.18942066441547678</v>
      </c>
      <c r="S203" s="913">
        <f>S198/J198-1</f>
        <v>0.28158745270964336</v>
      </c>
      <c r="T203" s="913">
        <f>T198/K198-1</f>
        <v>0.10763062272898138</v>
      </c>
      <c r="U203" s="913"/>
      <c r="V203" s="913">
        <f>V198/M198-1</f>
        <v>0.45286608349335022</v>
      </c>
      <c r="W203" s="913"/>
      <c r="X203" s="913"/>
      <c r="Y203" s="913">
        <f>Y198/P198-1</f>
        <v>1.204383683687138E-2</v>
      </c>
      <c r="Z203" s="913"/>
      <c r="AA203" s="913"/>
      <c r="AB203" s="913">
        <f>AB198/S198-1</f>
        <v>-7.6287697115035469E-2</v>
      </c>
      <c r="AC203" s="916"/>
      <c r="AD203" s="913"/>
      <c r="AE203" s="913">
        <f>AE198/V198-1</f>
        <v>-3.0953741732320461E-2</v>
      </c>
      <c r="AF203" s="913"/>
      <c r="AG203" s="913"/>
      <c r="AH203" s="913">
        <f>AH198/Y198-1</f>
        <v>6.8197323270230203E-2</v>
      </c>
      <c r="AI203" s="913"/>
      <c r="AJ203" s="913"/>
      <c r="AK203" s="913"/>
      <c r="AL203" s="913"/>
      <c r="AM203" s="913"/>
      <c r="AN203" s="913"/>
      <c r="AO203" s="913"/>
      <c r="AP203" s="913"/>
      <c r="AQ203" s="913"/>
      <c r="AR203" s="913"/>
      <c r="AS203" s="913"/>
      <c r="AT203" s="913"/>
      <c r="AU203" s="913"/>
      <c r="AV203" s="913"/>
      <c r="AW203" s="913"/>
      <c r="AX203" s="913"/>
      <c r="AY203" s="913"/>
      <c r="AZ203" s="913"/>
      <c r="BA203" s="913"/>
      <c r="BB203" s="913"/>
      <c r="BC203" s="913"/>
      <c r="BD203" s="913"/>
      <c r="BE203" s="913"/>
      <c r="BF203" s="913"/>
      <c r="BG203" s="913"/>
      <c r="BH203" s="913"/>
      <c r="BI203" s="913"/>
      <c r="BJ203" s="913"/>
      <c r="BK203" s="1096"/>
      <c r="BL203" s="1097"/>
    </row>
    <row r="204" spans="1:64" s="912" customFormat="1" ht="12" customHeight="1" collapsed="1">
      <c r="B204" s="919"/>
      <c r="C204" s="913"/>
      <c r="D204" s="914"/>
      <c r="E204" s="913"/>
      <c r="F204" s="913"/>
      <c r="G204" s="913"/>
      <c r="H204" s="913"/>
      <c r="I204" s="913"/>
      <c r="J204" s="867"/>
      <c r="K204" s="915"/>
      <c r="L204" s="913"/>
      <c r="M204" s="867"/>
      <c r="N204" s="913"/>
      <c r="O204" s="913"/>
      <c r="P204" s="913"/>
      <c r="Q204" s="913"/>
      <c r="R204" s="913"/>
      <c r="S204" s="913"/>
      <c r="T204" s="913"/>
      <c r="U204" s="913"/>
      <c r="V204" s="913"/>
      <c r="W204" s="913"/>
      <c r="X204" s="913"/>
      <c r="Y204" s="913"/>
      <c r="Z204" s="913"/>
      <c r="AA204" s="913"/>
      <c r="AB204" s="913"/>
      <c r="AC204" s="916"/>
      <c r="AD204" s="913"/>
      <c r="AE204" s="913"/>
      <c r="AF204" s="913"/>
      <c r="AG204" s="913"/>
      <c r="AH204" s="913"/>
      <c r="AI204" s="913"/>
      <c r="AJ204" s="913"/>
      <c r="AK204" s="913"/>
      <c r="AL204" s="913"/>
      <c r="AM204" s="913"/>
      <c r="AN204" s="913"/>
      <c r="AO204" s="913"/>
      <c r="AP204" s="913"/>
      <c r="AQ204" s="913"/>
      <c r="AR204" s="913"/>
      <c r="AS204" s="913"/>
      <c r="AT204" s="913"/>
      <c r="AU204" s="913"/>
      <c r="AV204" s="913"/>
      <c r="AW204" s="913"/>
      <c r="AX204" s="913"/>
      <c r="AY204" s="913"/>
      <c r="AZ204" s="913"/>
      <c r="BA204" s="913"/>
      <c r="BB204" s="913"/>
      <c r="BC204" s="913"/>
      <c r="BD204" s="913"/>
      <c r="BE204" s="913"/>
      <c r="BF204" s="913"/>
      <c r="BG204" s="913"/>
      <c r="BH204" s="913"/>
      <c r="BI204" s="913"/>
      <c r="BJ204" s="913"/>
      <c r="BK204" s="1096"/>
      <c r="BL204" s="1097"/>
    </row>
    <row r="205" spans="1:64">
      <c r="B205" s="1098" t="s">
        <v>38</v>
      </c>
      <c r="C205" s="1099">
        <f>F205*(1-0.041)</f>
        <v>23.015999999999998</v>
      </c>
      <c r="D205" s="1100">
        <f>E205-C205</f>
        <v>50.083999999999996</v>
      </c>
      <c r="E205" s="1101">
        <f>50.1+23</f>
        <v>73.099999999999994</v>
      </c>
      <c r="F205" s="1102">
        <v>24</v>
      </c>
      <c r="G205" s="1100">
        <f>H205-F205</f>
        <v>57.5</v>
      </c>
      <c r="H205" s="1101">
        <f>50.1+31.4</f>
        <v>81.5</v>
      </c>
      <c r="I205" s="1103">
        <f>51.4+15.7</f>
        <v>67.099999999999994</v>
      </c>
      <c r="J205" s="1100">
        <f>K205-I205</f>
        <v>71.700000000000017</v>
      </c>
      <c r="K205" s="1059">
        <f>119.3+19.5</f>
        <v>138.80000000000001</v>
      </c>
      <c r="L205" s="1103">
        <v>66.5</v>
      </c>
      <c r="M205" s="1100">
        <f>N205-L205</f>
        <v>65.400000000000006</v>
      </c>
      <c r="N205" s="1103">
        <v>131.9</v>
      </c>
      <c r="O205" s="1103">
        <v>63</v>
      </c>
      <c r="P205" s="1103">
        <f>Q205-O205</f>
        <v>90.4</v>
      </c>
      <c r="Q205" s="1103">
        <v>153.4</v>
      </c>
      <c r="R205" s="1103">
        <v>65.599999999999994</v>
      </c>
      <c r="S205" s="1103">
        <f>T205-R205</f>
        <v>111.20000000000002</v>
      </c>
      <c r="T205" s="1103">
        <v>176.8</v>
      </c>
      <c r="U205" s="1058">
        <v>101.4</v>
      </c>
      <c r="V205" s="922">
        <f>W205-U205</f>
        <v>115.19999999999999</v>
      </c>
      <c r="W205" s="1103">
        <v>216.6</v>
      </c>
      <c r="X205" s="1058">
        <v>105.6</v>
      </c>
      <c r="Y205" s="922">
        <f>Z205-X205</f>
        <v>117.30000000000001</v>
      </c>
      <c r="Z205" s="1058">
        <v>222.9</v>
      </c>
      <c r="AA205" s="1058">
        <v>107.5</v>
      </c>
      <c r="AB205" s="922">
        <f>AC205-AA205</f>
        <v>124.1</v>
      </c>
      <c r="AC205" s="1060">
        <v>231.6</v>
      </c>
      <c r="AD205" s="922">
        <f>AD197*AD198</f>
        <v>119.80668686868688</v>
      </c>
      <c r="AE205" s="922">
        <f>AF205-AD205</f>
        <v>130.81184193131313</v>
      </c>
      <c r="AF205" s="1104">
        <f t="shared" ref="AF205:AU205" si="554">AF197*AF198</f>
        <v>250.61852880000001</v>
      </c>
      <c r="AG205" s="922">
        <f>AG197*AG198</f>
        <v>123.99992090909093</v>
      </c>
      <c r="AH205" s="922">
        <f>AI205-AG205</f>
        <v>137.94656539266907</v>
      </c>
      <c r="AI205" s="1104">
        <f>AI197*AI198</f>
        <v>261.94648630175999</v>
      </c>
      <c r="AJ205" s="1104"/>
      <c r="AK205" s="1104"/>
      <c r="AL205" s="1104">
        <f t="shared" si="554"/>
        <v>276.43326041654382</v>
      </c>
      <c r="AM205" s="1104"/>
      <c r="AN205" s="1104"/>
      <c r="AO205" s="1104">
        <f t="shared" si="554"/>
        <v>290.29933617447114</v>
      </c>
      <c r="AP205" s="1104"/>
      <c r="AQ205" s="1104"/>
      <c r="AR205" s="1104">
        <f t="shared" si="554"/>
        <v>304.83406514457744</v>
      </c>
      <c r="AS205" s="1104"/>
      <c r="AT205" s="1104"/>
      <c r="AU205" s="1104">
        <f t="shared" si="554"/>
        <v>320.06882102078674</v>
      </c>
      <c r="AV205" s="1104"/>
      <c r="AW205" s="1104"/>
      <c r="AX205" s="1104">
        <f t="shared" ref="AX205:BA205" si="555">AX197*AX198</f>
        <v>332.77393074663399</v>
      </c>
      <c r="AY205" s="1104"/>
      <c r="AZ205" s="1104"/>
      <c r="BA205" s="1104">
        <f t="shared" si="555"/>
        <v>345.95451353239861</v>
      </c>
      <c r="BB205" s="1104"/>
      <c r="BC205" s="1104"/>
      <c r="BD205" s="1104">
        <f t="shared" ref="BD205:BG205" si="556">BD197*BD198</f>
        <v>359.62770038262522</v>
      </c>
      <c r="BE205" s="1104"/>
      <c r="BF205" s="1104"/>
      <c r="BG205" s="1104">
        <f t="shared" si="556"/>
        <v>373.81122336408345</v>
      </c>
      <c r="BH205" s="1104"/>
      <c r="BI205" s="1104"/>
      <c r="BJ205" s="1104">
        <f t="shared" ref="BJ205" si="557">BJ197*BJ198</f>
        <v>388.52343628576483</v>
      </c>
      <c r="BL205" s="838"/>
    </row>
    <row r="206" spans="1:64">
      <c r="B206" s="828"/>
      <c r="C206" s="1105"/>
      <c r="D206" s="1106"/>
      <c r="E206" s="1105"/>
      <c r="F206" s="1107"/>
      <c r="G206" s="1106"/>
      <c r="H206" s="1105"/>
      <c r="I206" s="1108"/>
      <c r="J206" s="1106"/>
      <c r="K206" s="846"/>
      <c r="L206" s="1108"/>
      <c r="M206" s="1106"/>
      <c r="N206" s="1108"/>
      <c r="O206" s="1108"/>
      <c r="P206" s="1108"/>
      <c r="Q206" s="1108"/>
      <c r="R206" s="1108"/>
      <c r="S206" s="1108"/>
      <c r="T206" s="1108"/>
      <c r="U206" s="1004"/>
      <c r="V206" s="845"/>
      <c r="W206" s="1108"/>
      <c r="X206" s="1004"/>
      <c r="Y206" s="845"/>
      <c r="Z206" s="1004"/>
      <c r="AA206" s="1004"/>
      <c r="AB206" s="845"/>
      <c r="AC206" s="1005"/>
      <c r="AD206" s="845"/>
      <c r="AE206" s="845"/>
      <c r="AF206" s="887"/>
      <c r="AG206" s="845"/>
      <c r="AH206" s="845"/>
      <c r="AI206" s="887"/>
      <c r="AJ206" s="887"/>
      <c r="AK206" s="887"/>
      <c r="AL206" s="887"/>
      <c r="AM206" s="887"/>
      <c r="AN206" s="887"/>
      <c r="AO206" s="887"/>
      <c r="AP206" s="887"/>
      <c r="AQ206" s="887"/>
      <c r="AR206" s="887"/>
      <c r="AS206" s="887"/>
      <c r="AT206" s="887"/>
      <c r="AU206" s="887"/>
      <c r="AV206" s="887"/>
      <c r="AW206" s="887"/>
      <c r="AX206" s="887"/>
      <c r="AY206" s="887"/>
      <c r="AZ206" s="887"/>
      <c r="BA206" s="887"/>
      <c r="BB206" s="887"/>
      <c r="BC206" s="887"/>
      <c r="BD206" s="887"/>
      <c r="BE206" s="887"/>
      <c r="BF206" s="887"/>
      <c r="BG206" s="887"/>
      <c r="BH206" s="887"/>
      <c r="BI206" s="887"/>
      <c r="BJ206" s="887"/>
      <c r="BK206" s="823"/>
      <c r="BL206" s="857"/>
    </row>
    <row r="207" spans="1:64">
      <c r="B207" s="828" t="s">
        <v>251</v>
      </c>
      <c r="C207" s="1109">
        <v>-0.6694655580285811</v>
      </c>
      <c r="D207" s="1055">
        <v>0.14384672800838905</v>
      </c>
      <c r="E207" s="951">
        <v>-0.35548302513629793</v>
      </c>
      <c r="F207" s="951">
        <f t="shared" ref="F207:W207" si="558">F205/C205-1</f>
        <v>4.2752867570385877E-2</v>
      </c>
      <c r="G207" s="951">
        <f t="shared" si="558"/>
        <v>0.14807124031626873</v>
      </c>
      <c r="H207" s="951">
        <f t="shared" si="558"/>
        <v>0.11491108071135447</v>
      </c>
      <c r="I207" s="951">
        <f t="shared" si="558"/>
        <v>1.7958333333333329</v>
      </c>
      <c r="J207" s="951">
        <f t="shared" si="558"/>
        <v>0.24695652173913074</v>
      </c>
      <c r="K207" s="952">
        <f t="shared" si="558"/>
        <v>0.70306748466257685</v>
      </c>
      <c r="L207" s="951">
        <f t="shared" si="558"/>
        <v>-8.94187779433675E-3</v>
      </c>
      <c r="M207" s="951">
        <f t="shared" si="558"/>
        <v>-8.7866108786611052E-2</v>
      </c>
      <c r="N207" s="951">
        <f t="shared" si="558"/>
        <v>-4.9711815561959694E-2</v>
      </c>
      <c r="O207" s="951">
        <f t="shared" si="558"/>
        <v>-5.2631578947368474E-2</v>
      </c>
      <c r="P207" s="951">
        <f t="shared" si="558"/>
        <v>0.38226299694189603</v>
      </c>
      <c r="Q207" s="951">
        <f t="shared" si="558"/>
        <v>0.16300227445034121</v>
      </c>
      <c r="R207" s="951">
        <f t="shared" si="558"/>
        <v>4.1269841269841123E-2</v>
      </c>
      <c r="S207" s="951">
        <f t="shared" si="558"/>
        <v>0.23008849557522137</v>
      </c>
      <c r="T207" s="951">
        <f t="shared" si="558"/>
        <v>0.15254237288135597</v>
      </c>
      <c r="U207" s="951">
        <f>U205/R205-1</f>
        <v>0.54573170731707332</v>
      </c>
      <c r="V207" s="951">
        <f t="shared" si="558"/>
        <v>3.597122302158251E-2</v>
      </c>
      <c r="W207" s="951">
        <f t="shared" si="558"/>
        <v>0.22511312217194557</v>
      </c>
      <c r="X207" s="951">
        <f>X205/U205-1</f>
        <v>4.1420118343195256E-2</v>
      </c>
      <c r="Y207" s="951">
        <f t="shared" ref="Y207" si="559">Y205/V205-1</f>
        <v>1.8229166666666963E-2</v>
      </c>
      <c r="Z207" s="951">
        <f>Z205/W205-1</f>
        <v>2.9085872576177341E-2</v>
      </c>
      <c r="AA207" s="951">
        <f t="shared" ref="AA207:AB207" si="560">AA205/X205-1</f>
        <v>1.799242424242431E-2</v>
      </c>
      <c r="AB207" s="951">
        <f t="shared" si="560"/>
        <v>5.7971014492753437E-2</v>
      </c>
      <c r="AC207" s="953">
        <f>AC205/Z205-1</f>
        <v>3.9030955585464211E-2</v>
      </c>
      <c r="AD207" s="951">
        <f t="shared" ref="AD207" si="561">AD205/AA205-1</f>
        <v>0.11448080808080818</v>
      </c>
      <c r="AE207" s="951">
        <f t="shared" ref="AE207" si="562">AE205/AB205-1</f>
        <v>5.4084141267632058E-2</v>
      </c>
      <c r="AF207" s="951">
        <f>AF205/AC205-1</f>
        <v>8.2118000000000135E-2</v>
      </c>
      <c r="AG207" s="951">
        <f t="shared" ref="AG207" si="563">AG205/AD205-1</f>
        <v>3.5000000000000142E-2</v>
      </c>
      <c r="AH207" s="951">
        <f t="shared" ref="AH207" si="564">AH205/AE205-1</f>
        <v>5.454187752437778E-2</v>
      </c>
      <c r="AI207" s="951">
        <f>AI205/AF205-1</f>
        <v>4.5199999999999907E-2</v>
      </c>
      <c r="AJ207" s="951"/>
      <c r="AK207" s="951"/>
      <c r="AL207" s="951">
        <f>AL205/AI205-1</f>
        <v>5.5304326923076852E-2</v>
      </c>
      <c r="AM207" s="951"/>
      <c r="AN207" s="951"/>
      <c r="AO207" s="951">
        <f>AO205/AL205-1</f>
        <v>5.0160663507109016E-2</v>
      </c>
      <c r="AP207" s="951"/>
      <c r="AQ207" s="951"/>
      <c r="AR207" s="951">
        <f>AR205/AO205-1</f>
        <v>5.0068075117370769E-2</v>
      </c>
      <c r="AS207" s="951"/>
      <c r="AT207" s="951"/>
      <c r="AU207" s="951">
        <f>AU205/AR205-1</f>
        <v>4.9977209302325631E-2</v>
      </c>
      <c r="AV207" s="951"/>
      <c r="AW207" s="951"/>
      <c r="AX207" s="951">
        <f>AX205/AU205-1</f>
        <v>3.9694930875576073E-2</v>
      </c>
      <c r="AY207" s="951"/>
      <c r="AZ207" s="951"/>
      <c r="BA207" s="951">
        <f>BA205/AX205-1</f>
        <v>3.9608219178082216E-2</v>
      </c>
      <c r="BB207" s="951"/>
      <c r="BC207" s="951"/>
      <c r="BD207" s="951">
        <f>BD205/BA205-1</f>
        <v>3.9523076923076772E-2</v>
      </c>
      <c r="BE207" s="951"/>
      <c r="BF207" s="951"/>
      <c r="BG207" s="951">
        <f>BG205/BD205-1</f>
        <v>3.9439461883407967E-2</v>
      </c>
      <c r="BH207" s="951"/>
      <c r="BI207" s="951"/>
      <c r="BJ207" s="951">
        <f t="shared" ref="BJ207" si="565">BJ205/BG205-1</f>
        <v>3.9357333333333466E-2</v>
      </c>
    </row>
    <row r="208" spans="1:64" s="828" customFormat="1">
      <c r="B208" s="812" t="s">
        <v>810</v>
      </c>
      <c r="C208" s="1109"/>
      <c r="D208" s="1055"/>
      <c r="E208" s="1109"/>
      <c r="F208" s="1055"/>
      <c r="G208" s="1055"/>
      <c r="H208" s="1109"/>
      <c r="I208" s="1055"/>
      <c r="J208" s="1055"/>
      <c r="K208" s="1110">
        <v>7.2999999999999995E-2</v>
      </c>
      <c r="L208" s="907">
        <v>-7.0000000000000007E-2</v>
      </c>
      <c r="M208" s="907"/>
      <c r="N208" s="907">
        <v>-9.0999999999999998E-2</v>
      </c>
      <c r="O208" s="907">
        <v>-3.3000000000000002E-2</v>
      </c>
      <c r="P208" s="907">
        <v>0.318</v>
      </c>
      <c r="Q208" s="907">
        <v>0.14199999999999999</v>
      </c>
      <c r="R208" s="907">
        <f>6.1%*0.7+-9.7%*0.3</f>
        <v>1.3600000000000001E-2</v>
      </c>
      <c r="S208" s="907">
        <v>8.5000000000000006E-2</v>
      </c>
      <c r="T208" s="907">
        <v>4.3999999999999997E-2</v>
      </c>
      <c r="U208" s="907">
        <v>0.54</v>
      </c>
      <c r="V208" s="907">
        <v>0.05</v>
      </c>
      <c r="W208" s="907">
        <v>0.24</v>
      </c>
      <c r="X208" s="907">
        <v>0</v>
      </c>
      <c r="Y208" s="907">
        <f t="shared" ref="Y208" si="566">(1+Y207)/((1+Y209)*(1+Y210))-1</f>
        <v>-5.6798245614034903E-2</v>
      </c>
      <c r="Z208" s="907">
        <v>3.0000000000000001E-3</v>
      </c>
      <c r="AA208" s="907">
        <v>1E-3</v>
      </c>
      <c r="AB208" s="907">
        <v>3.6999999999999998E-2</v>
      </c>
      <c r="AC208" s="909">
        <v>0.02</v>
      </c>
      <c r="AD208" s="902">
        <f t="shared" ref="AD208:AU208" si="567">(1+AD207)/((1+AD209)*(1+AD210))-1</f>
        <v>6.0594059405940648E-2</v>
      </c>
      <c r="AE208" s="902"/>
      <c r="AF208" s="902">
        <f>(1+AF207)/((1+AF209)*(1+AF210))-1</f>
        <v>5.06000000000002E-2</v>
      </c>
      <c r="AG208" s="902">
        <f t="shared" ref="AG208" si="568">(1+AG207)/((1+AG209)*(1+AG210))-1</f>
        <v>3.125151883353583E-2</v>
      </c>
      <c r="AH208" s="902"/>
      <c r="AI208" s="902">
        <f>(1+AI207)/((1+AI209)*(1+AI210))-1</f>
        <v>3.766861313868608E-2</v>
      </c>
      <c r="AJ208" s="902"/>
      <c r="AK208" s="902"/>
      <c r="AL208" s="902">
        <f t="shared" si="567"/>
        <v>4.4064656212303932E-2</v>
      </c>
      <c r="AM208" s="902"/>
      <c r="AN208" s="902"/>
      <c r="AO208" s="902">
        <f t="shared" si="567"/>
        <v>4.2771021377672191E-2</v>
      </c>
      <c r="AP208" s="902"/>
      <c r="AQ208" s="902"/>
      <c r="AR208" s="902">
        <f t="shared" si="567"/>
        <v>4.2747764705882263E-2</v>
      </c>
      <c r="AS208" s="902"/>
      <c r="AT208" s="902"/>
      <c r="AU208" s="902">
        <f t="shared" si="567"/>
        <v>4.272494172494179E-2</v>
      </c>
      <c r="AV208" s="902"/>
      <c r="AW208" s="902"/>
      <c r="AX208" s="902">
        <f t="shared" ref="AX208:BA208" si="569">(1+AX207)/((1+AX209)*(1+AX210))-1</f>
        <v>3.257921478060033E-2</v>
      </c>
      <c r="AY208" s="902"/>
      <c r="AZ208" s="902"/>
      <c r="BA208" s="902">
        <f t="shared" si="569"/>
        <v>3.2557437070938278E-2</v>
      </c>
      <c r="BB208" s="902"/>
      <c r="BC208" s="902"/>
      <c r="BD208" s="902">
        <f t="shared" ref="BD208:BG208" si="570">(1+BD207)/((1+BD209)*(1+BD210))-1</f>
        <v>3.2536054421768545E-2</v>
      </c>
      <c r="BE208" s="902"/>
      <c r="BF208" s="902"/>
      <c r="BG208" s="902">
        <f t="shared" si="570"/>
        <v>3.2515056179775126E-2</v>
      </c>
      <c r="BH208" s="902"/>
      <c r="BI208" s="902"/>
      <c r="BJ208" s="902">
        <f t="shared" ref="BJ208" si="571">(1+BJ207)/((1+BJ209)*(1+BJ210))-1</f>
        <v>3.2494432071269674E-2</v>
      </c>
      <c r="BK208" s="810"/>
      <c r="BL208" s="811"/>
    </row>
    <row r="209" spans="2:64" ht="12" customHeight="1">
      <c r="B209" s="812" t="s">
        <v>811</v>
      </c>
      <c r="C209" s="1037"/>
      <c r="D209" s="830"/>
      <c r="E209" s="1037"/>
      <c r="F209" s="830"/>
      <c r="G209" s="830"/>
      <c r="H209" s="1037"/>
      <c r="I209" s="830"/>
      <c r="J209" s="830"/>
      <c r="K209" s="904">
        <f>(K197/H197)-1</f>
        <v>0.11111111111111116</v>
      </c>
      <c r="L209" s="902">
        <f>(L197/I197)-1</f>
        <v>9.1603053435114434E-2</v>
      </c>
      <c r="M209" s="902"/>
      <c r="N209" s="902">
        <f>(N197/K197)-1</f>
        <v>1.4285714285714235E-2</v>
      </c>
      <c r="O209" s="902">
        <f>(O197/L197)-1</f>
        <v>6.9930069930070893E-3</v>
      </c>
      <c r="P209" s="902"/>
      <c r="Q209" s="902">
        <f t="shared" ref="Q209:Z209" si="572">(Q197/N197)-1</f>
        <v>4.2253521126760507E-2</v>
      </c>
      <c r="R209" s="902">
        <f t="shared" si="572"/>
        <v>9.7222222222222321E-2</v>
      </c>
      <c r="S209" s="902">
        <f t="shared" si="572"/>
        <v>0.12837837837837829</v>
      </c>
      <c r="T209" s="902">
        <f t="shared" si="572"/>
        <v>8.783783783783794E-2</v>
      </c>
      <c r="U209" s="902">
        <f t="shared" si="572"/>
        <v>8.8607594936708889E-2</v>
      </c>
      <c r="V209" s="902">
        <f t="shared" si="572"/>
        <v>5.3892215568862367E-2</v>
      </c>
      <c r="W209" s="902">
        <f t="shared" si="572"/>
        <v>8.0745341614906874E-2</v>
      </c>
      <c r="X209" s="902">
        <f t="shared" si="572"/>
        <v>5.8139534883721034E-2</v>
      </c>
      <c r="Y209" s="902">
        <f t="shared" ref="Y209" si="573">(Y197/V197)-1</f>
        <v>7.9545454545454586E-2</v>
      </c>
      <c r="Z209" s="902">
        <f t="shared" si="572"/>
        <v>6.8965517241379226E-2</v>
      </c>
      <c r="AA209" s="902">
        <f t="shared" ref="AA209:AB209" si="574">(AA197/X197)-1</f>
        <v>8.7912087912087822E-2</v>
      </c>
      <c r="AB209" s="902">
        <f t="shared" si="574"/>
        <v>7.3684210526315796E-2</v>
      </c>
      <c r="AC209" s="905">
        <f>(AC197/Z197)-1</f>
        <v>7.5268817204301008E-2</v>
      </c>
      <c r="AD209" s="902">
        <f>(AD197/AA197)-1</f>
        <v>4.0404040404040442E-2</v>
      </c>
      <c r="AE209" s="902">
        <f t="shared" ref="AE209" si="575">(AE197/AB197)-1</f>
        <v>9.8039215686274161E-3</v>
      </c>
      <c r="AF209" s="902">
        <f>(AF197/AC197)-1</f>
        <v>3.0000000000000027E-2</v>
      </c>
      <c r="AG209" s="902">
        <f t="shared" ref="AG209" si="576">(AG197/AD197)-1</f>
        <v>4.8543689320388328E-3</v>
      </c>
      <c r="AH209" s="902">
        <f t="shared" ref="AH209" si="577">(AH197/AE197)-1</f>
        <v>1.4563106796116498E-2</v>
      </c>
      <c r="AI209" s="902">
        <f>(AI197/AF197)-1</f>
        <v>9.7087378640776656E-3</v>
      </c>
      <c r="AJ209" s="902"/>
      <c r="AK209" s="902"/>
      <c r="AL209" s="902">
        <f>(AL197/AI197)-1</f>
        <v>1.4423076923076872E-2</v>
      </c>
      <c r="AM209" s="902"/>
      <c r="AN209" s="902"/>
      <c r="AO209" s="902">
        <f>(AO197/AL197)-1</f>
        <v>9.4786729857820884E-3</v>
      </c>
      <c r="AP209" s="902"/>
      <c r="AQ209" s="902"/>
      <c r="AR209" s="902">
        <f>(AR197/AO197)-1</f>
        <v>9.3896713615022609E-3</v>
      </c>
      <c r="AS209" s="902"/>
      <c r="AT209" s="902"/>
      <c r="AU209" s="902">
        <f>(AU197/AR197)-1</f>
        <v>9.302325581395321E-3</v>
      </c>
      <c r="AV209" s="902"/>
      <c r="AW209" s="902"/>
      <c r="AX209" s="902">
        <f>(AX197/AU197)-1</f>
        <v>9.2165898617511122E-3</v>
      </c>
      <c r="AY209" s="902"/>
      <c r="AZ209" s="902"/>
      <c r="BA209" s="902">
        <f>(BA197/AX197)-1</f>
        <v>9.1324200913243114E-3</v>
      </c>
      <c r="BB209" s="902"/>
      <c r="BC209" s="902"/>
      <c r="BD209" s="902">
        <f>(BD197/BA197)-1</f>
        <v>9.0497737556560764E-3</v>
      </c>
      <c r="BE209" s="902"/>
      <c r="BF209" s="902"/>
      <c r="BG209" s="902">
        <f>(BG197/BD197)-1</f>
        <v>8.9686098654708779E-3</v>
      </c>
      <c r="BH209" s="902"/>
      <c r="BI209" s="902"/>
      <c r="BJ209" s="902">
        <f t="shared" ref="BJ209" si="578">(BJ197/BG197)-1</f>
        <v>8.8888888888889461E-3</v>
      </c>
    </row>
    <row r="210" spans="2:64">
      <c r="B210" s="812" t="s">
        <v>812</v>
      </c>
      <c r="C210" s="1037"/>
      <c r="D210" s="830"/>
      <c r="E210" s="1037"/>
      <c r="F210" s="830"/>
      <c r="G210" s="830"/>
      <c r="H210" s="1037"/>
      <c r="I210" s="830"/>
      <c r="J210" s="830"/>
      <c r="K210" s="904">
        <f>(1+K207)/((1+K208)*(1+K209))-1</f>
        <v>0.42848158079806065</v>
      </c>
      <c r="L210" s="902">
        <f>(1+L207)/((1+L208)*(1+L209))-1</f>
        <v>-2.3771606820498503E-2</v>
      </c>
      <c r="M210" s="902"/>
      <c r="N210" s="902">
        <f>(1+N207)/((1+N208)*(1+N209))-1</f>
        <v>3.0697297923159894E-2</v>
      </c>
      <c r="O210" s="902">
        <f>(1+O207)/((1+O208)*(1+O209))-1</f>
        <v>-2.7104991019430758E-2</v>
      </c>
      <c r="P210" s="902"/>
      <c r="Q210" s="902">
        <f>(1+Q207)/((1+Q208)*(1+Q209))-1</f>
        <v>-2.2895329602236059E-2</v>
      </c>
      <c r="R210" s="902">
        <f>(1+R207)/((1+R208)*(1+R209))-1</f>
        <v>-6.3727875932525824E-2</v>
      </c>
      <c r="S210" s="902">
        <f t="shared" ref="S210:T210" si="579">(1+S207)/((1+S208)*(1+S209))-1</f>
        <v>4.7357672404468865E-3</v>
      </c>
      <c r="T210" s="902">
        <f t="shared" si="579"/>
        <v>1.4827533771451407E-2</v>
      </c>
      <c r="U210" s="902">
        <f>(1+U207)/((1+U208)*(1+U209))-1</f>
        <v>-7.7976405330347442E-2</v>
      </c>
      <c r="V210" s="902">
        <v>-0.02</v>
      </c>
      <c r="W210" s="902">
        <f t="shared" ref="W210" si="580">(1+W207)/((1+W208)*(1+W209))-1</f>
        <v>-8.5821224185747114E-2</v>
      </c>
      <c r="X210" s="902">
        <f>(1+X207)/((1+X208)*(1+X209))-1</f>
        <v>-1.5800767280057304E-2</v>
      </c>
      <c r="Y210" s="902"/>
      <c r="Z210" s="902">
        <f t="shared" ref="Z210" si="581">(1+Z207)/((1+Z208)*(1+Z209))-1</f>
        <v>-4.0186205746980064E-2</v>
      </c>
      <c r="AA210" s="902">
        <f>(1+AA207)/((1+AA208)*(1+AA209))-1</f>
        <v>-6.5204385452319102E-2</v>
      </c>
      <c r="AB210" s="902">
        <f>(1+AB207)/((1+AB208)*(1+AB209))-1</f>
        <v>-4.9792516338499238E-2</v>
      </c>
      <c r="AC210" s="902">
        <f t="shared" ref="AC210" si="582">(1+AC207)/((1+AC208)*(1+AC209))-1</f>
        <v>-5.2648246377959063E-2</v>
      </c>
      <c r="AD210" s="1111">
        <v>0.01</v>
      </c>
      <c r="AE210" s="1111">
        <f t="shared" ref="AE210:BG210" si="583">AE209*-0.25</f>
        <v>-2.450980392156854E-3</v>
      </c>
      <c r="AF210" s="1111">
        <v>0</v>
      </c>
      <c r="AG210" s="1111">
        <f t="shared" ref="AG210:AH210" si="584">AG209*-0.25</f>
        <v>-1.2135922330097082E-3</v>
      </c>
      <c r="AH210" s="1111">
        <f t="shared" si="584"/>
        <v>-3.6407766990291246E-3</v>
      </c>
      <c r="AI210" s="1111">
        <f t="shared" si="583"/>
        <v>-2.4271844660194164E-3</v>
      </c>
      <c r="AJ210" s="1111"/>
      <c r="AK210" s="1111"/>
      <c r="AL210" s="1111">
        <f t="shared" si="583"/>
        <v>-3.605769230769218E-3</v>
      </c>
      <c r="AM210" s="1111"/>
      <c r="AN210" s="1111"/>
      <c r="AO210" s="1111">
        <f t="shared" si="583"/>
        <v>-2.3696682464455221E-3</v>
      </c>
      <c r="AP210" s="1111"/>
      <c r="AQ210" s="1111"/>
      <c r="AR210" s="1111">
        <f t="shared" si="583"/>
        <v>-2.3474178403755652E-3</v>
      </c>
      <c r="AS210" s="1111"/>
      <c r="AT210" s="1111"/>
      <c r="AU210" s="1111">
        <f t="shared" si="583"/>
        <v>-2.3255813953488302E-3</v>
      </c>
      <c r="AV210" s="1111"/>
      <c r="AW210" s="1111"/>
      <c r="AX210" s="1111">
        <f t="shared" si="583"/>
        <v>-2.304147465437778E-3</v>
      </c>
      <c r="AY210" s="1111"/>
      <c r="AZ210" s="1111"/>
      <c r="BA210" s="1111">
        <f t="shared" si="583"/>
        <v>-2.2831050228310779E-3</v>
      </c>
      <c r="BB210" s="1111"/>
      <c r="BC210" s="1111"/>
      <c r="BD210" s="1111">
        <f t="shared" si="583"/>
        <v>-2.2624434389140191E-3</v>
      </c>
      <c r="BE210" s="1111"/>
      <c r="BF210" s="1111"/>
      <c r="BG210" s="1111">
        <f t="shared" si="583"/>
        <v>-2.2421524663677195E-3</v>
      </c>
      <c r="BH210" s="1111"/>
      <c r="BI210" s="1111"/>
      <c r="BJ210" s="1111">
        <f t="shared" ref="BJ210" si="585">BJ209*-0.25</f>
        <v>-2.2222222222222365E-3</v>
      </c>
    </row>
    <row r="211" spans="2:64">
      <c r="B211" s="1112"/>
      <c r="C211" s="1037"/>
      <c r="D211" s="830"/>
      <c r="E211" s="1037"/>
      <c r="F211" s="830"/>
      <c r="G211" s="830"/>
      <c r="H211" s="1037"/>
      <c r="I211" s="830"/>
      <c r="J211" s="830"/>
      <c r="K211" s="1038"/>
      <c r="L211" s="830"/>
      <c r="M211" s="830"/>
      <c r="N211" s="1037"/>
      <c r="O211" s="1037"/>
      <c r="P211" s="1037"/>
      <c r="Q211" s="1037"/>
      <c r="R211" s="1037"/>
      <c r="S211" s="1037"/>
      <c r="T211" s="1037"/>
      <c r="U211" s="830"/>
      <c r="V211" s="830"/>
      <c r="W211" s="1037"/>
      <c r="X211" s="830"/>
      <c r="Y211" s="830"/>
      <c r="Z211" s="1037"/>
      <c r="AA211" s="830"/>
      <c r="AB211" s="830"/>
      <c r="AC211" s="1066"/>
      <c r="AD211" s="830"/>
      <c r="AE211" s="830"/>
      <c r="AF211" s="1037"/>
      <c r="AG211" s="830"/>
      <c r="AH211" s="830"/>
      <c r="AI211" s="1037"/>
      <c r="AJ211" s="1037"/>
      <c r="AK211" s="1037"/>
      <c r="AL211" s="1037"/>
      <c r="AM211" s="1037"/>
      <c r="AN211" s="1037"/>
      <c r="AO211" s="1037"/>
      <c r="AP211" s="1037"/>
      <c r="AQ211" s="1037"/>
      <c r="AR211" s="1037"/>
      <c r="AS211" s="1037"/>
      <c r="AT211" s="1037"/>
      <c r="AU211" s="1037"/>
      <c r="AV211" s="1037"/>
      <c r="AW211" s="1037"/>
      <c r="AX211" s="1037"/>
      <c r="AY211" s="1037"/>
      <c r="AZ211" s="1037"/>
      <c r="BA211" s="1037"/>
      <c r="BB211" s="1037"/>
      <c r="BC211" s="1037"/>
      <c r="BD211" s="1037"/>
      <c r="BE211" s="1037"/>
      <c r="BF211" s="1037"/>
      <c r="BG211" s="1037"/>
      <c r="BH211" s="1037"/>
      <c r="BI211" s="1037"/>
      <c r="BJ211" s="1037"/>
    </row>
    <row r="212" spans="2:64" s="950" customFormat="1">
      <c r="B212" s="950" t="s">
        <v>684</v>
      </c>
      <c r="C212" s="834">
        <f t="shared" ref="C212:G212" si="586">C205*C273</f>
        <v>9.8968799999999995</v>
      </c>
      <c r="D212" s="834">
        <f t="shared" si="586"/>
        <v>18.10665682474227</v>
      </c>
      <c r="E212" s="931">
        <f t="shared" si="586"/>
        <v>29.24</v>
      </c>
      <c r="F212" s="931">
        <f t="shared" si="586"/>
        <v>10.56</v>
      </c>
      <c r="G212" s="931">
        <f t="shared" si="586"/>
        <v>25.3</v>
      </c>
      <c r="H212" s="931">
        <v>33.414999999999999</v>
      </c>
      <c r="I212" s="931">
        <v>29.591099999999997</v>
      </c>
      <c r="J212" s="931">
        <v>28.23933542144967</v>
      </c>
      <c r="K212" s="934">
        <v>58.15720000000001</v>
      </c>
      <c r="L212" s="931">
        <v>29.326499999999999</v>
      </c>
      <c r="M212" s="931">
        <f>N212-L212</f>
        <v>25.280100000000008</v>
      </c>
      <c r="N212" s="931">
        <v>54.606600000000007</v>
      </c>
      <c r="O212" s="899">
        <f>O205*O213</f>
        <v>27.09</v>
      </c>
      <c r="P212" s="899">
        <f>Q212-O212</f>
        <v>37.184600000000003</v>
      </c>
      <c r="Q212" s="899">
        <f>Q205*Q213</f>
        <v>64.274600000000007</v>
      </c>
      <c r="R212" s="899">
        <f>R205*R213</f>
        <v>27.223999999999997</v>
      </c>
      <c r="S212" s="899">
        <f>T212-R212</f>
        <v>45.440800000000017</v>
      </c>
      <c r="T212" s="899">
        <f t="shared" ref="T212:AU212" si="587">T205*T213</f>
        <v>72.664800000000014</v>
      </c>
      <c r="U212" s="899">
        <f t="shared" si="587"/>
        <v>47.150999999999996</v>
      </c>
      <c r="V212" s="899">
        <f>W212-U212</f>
        <v>44.904000000000011</v>
      </c>
      <c r="W212" s="899">
        <f t="shared" si="587"/>
        <v>92.055000000000007</v>
      </c>
      <c r="X212" s="899">
        <f t="shared" ref="X212" si="588">X205*X213</f>
        <v>46.99199999999999</v>
      </c>
      <c r="Y212" s="899">
        <f>Z212-X212</f>
        <v>45.42234000000002</v>
      </c>
      <c r="Z212" s="899">
        <f t="shared" si="587"/>
        <v>92.41434000000001</v>
      </c>
      <c r="AA212" s="899">
        <f t="shared" si="587"/>
        <v>47.579499999999996</v>
      </c>
      <c r="AB212" s="899">
        <f>AC212-AA212</f>
        <v>48.974540000000019</v>
      </c>
      <c r="AC212" s="901">
        <f t="shared" si="587"/>
        <v>96.554040000000015</v>
      </c>
      <c r="AD212" s="899">
        <f t="shared" ref="AD212" si="589">AD205*AD213</f>
        <v>53.026439608080807</v>
      </c>
      <c r="AE212" s="899">
        <f>AF212-AD212</f>
        <v>51.456425048639204</v>
      </c>
      <c r="AF212" s="899">
        <f t="shared" si="587"/>
        <v>104.48286465672001</v>
      </c>
      <c r="AG212" s="899">
        <f t="shared" si="587"/>
        <v>54.510365231636364</v>
      </c>
      <c r="AH212" s="899">
        <f>AI212-AG212</f>
        <v>54.695124907567383</v>
      </c>
      <c r="AI212" s="899">
        <f t="shared" si="587"/>
        <v>109.20549013920375</v>
      </c>
      <c r="AJ212" s="899"/>
      <c r="AK212" s="899"/>
      <c r="AL212" s="899">
        <f t="shared" si="587"/>
        <v>115.30031291974043</v>
      </c>
      <c r="AM212" s="899"/>
      <c r="AN212" s="899"/>
      <c r="AO212" s="899">
        <f t="shared" si="587"/>
        <v>121.14191298560681</v>
      </c>
      <c r="AP212" s="899"/>
      <c r="AQ212" s="899"/>
      <c r="AR212" s="899">
        <f t="shared" si="587"/>
        <v>127.26822219786108</v>
      </c>
      <c r="AS212" s="899"/>
      <c r="AT212" s="899"/>
      <c r="AU212" s="899">
        <f t="shared" si="587"/>
        <v>133.69274654038261</v>
      </c>
      <c r="AV212" s="899"/>
      <c r="AW212" s="899"/>
      <c r="AX212" s="899">
        <f t="shared" ref="AX212:BA212" si="590">AX205*AX213</f>
        <v>139.06622565901833</v>
      </c>
      <c r="AY212" s="899"/>
      <c r="AZ212" s="899"/>
      <c r="BA212" s="899">
        <f t="shared" si="590"/>
        <v>144.64358210789584</v>
      </c>
      <c r="BB212" s="899"/>
      <c r="BC212" s="899"/>
      <c r="BD212" s="899">
        <f t="shared" ref="BD212:BG212" si="591">BD205*BD213</f>
        <v>150.43226707005209</v>
      </c>
      <c r="BE212" s="899"/>
      <c r="BF212" s="899"/>
      <c r="BG212" s="899">
        <f t="shared" si="591"/>
        <v>156.43999697786887</v>
      </c>
      <c r="BH212" s="899"/>
      <c r="BI212" s="899"/>
      <c r="BJ212" s="899">
        <f t="shared" ref="BJ212" si="592">BJ205*BJ213</f>
        <v>162.67476277284968</v>
      </c>
      <c r="BK212" s="1039"/>
      <c r="BL212" s="1040"/>
    </row>
    <row r="213" spans="2:64" s="950" customFormat="1">
      <c r="B213" s="950" t="s">
        <v>809</v>
      </c>
      <c r="C213" s="834"/>
      <c r="D213" s="834"/>
      <c r="E213" s="852">
        <f t="shared" ref="E213:N213" si="593">E212/E205</f>
        <v>0.4</v>
      </c>
      <c r="F213" s="852">
        <f t="shared" si="593"/>
        <v>0.44</v>
      </c>
      <c r="G213" s="852">
        <f t="shared" si="593"/>
        <v>0.44</v>
      </c>
      <c r="H213" s="852">
        <f t="shared" si="593"/>
        <v>0.41</v>
      </c>
      <c r="I213" s="852">
        <f t="shared" si="593"/>
        <v>0.441</v>
      </c>
      <c r="J213" s="852">
        <f t="shared" si="593"/>
        <v>0.39385405050836353</v>
      </c>
      <c r="K213" s="988">
        <f t="shared" si="593"/>
        <v>0.41900000000000004</v>
      </c>
      <c r="L213" s="852">
        <v>0.41</v>
      </c>
      <c r="M213" s="852">
        <f>M212/M205</f>
        <v>0.3865458715596331</v>
      </c>
      <c r="N213" s="852">
        <f t="shared" si="593"/>
        <v>0.41400000000000003</v>
      </c>
      <c r="O213" s="852">
        <f>L213+2%</f>
        <v>0.43</v>
      </c>
      <c r="P213" s="852">
        <f>P212/P205</f>
        <v>0.41133407079646017</v>
      </c>
      <c r="Q213" s="955">
        <f>K213</f>
        <v>0.41900000000000004</v>
      </c>
      <c r="R213" s="955">
        <f>O213-1.5%</f>
        <v>0.41499999999999998</v>
      </c>
      <c r="S213" s="955">
        <f>S212/S205</f>
        <v>0.40864028776978428</v>
      </c>
      <c r="T213" s="955">
        <f>Q213-0.008</f>
        <v>0.41100000000000003</v>
      </c>
      <c r="U213" s="955">
        <f>R213+5%</f>
        <v>0.46499999999999997</v>
      </c>
      <c r="V213" s="955">
        <f>V212/V205</f>
        <v>0.38979166666666681</v>
      </c>
      <c r="W213" s="955">
        <f>T213+1.4%</f>
        <v>0.42500000000000004</v>
      </c>
      <c r="X213" s="955">
        <f>U213-2%</f>
        <v>0.44499999999999995</v>
      </c>
      <c r="Y213" s="955">
        <f>Y212/Y205</f>
        <v>0.38723222506393873</v>
      </c>
      <c r="Z213" s="955">
        <f>W213-1.04%</f>
        <v>0.41460000000000002</v>
      </c>
      <c r="AA213" s="955">
        <f>X213-0.24%</f>
        <v>0.44259999999999994</v>
      </c>
      <c r="AB213" s="955">
        <f>AB212/AB205</f>
        <v>0.39463771152296551</v>
      </c>
      <c r="AC213" s="1113">
        <f>Z213+0.23%</f>
        <v>0.41690000000000005</v>
      </c>
      <c r="AD213" s="957">
        <f>AA213</f>
        <v>0.44259999999999994</v>
      </c>
      <c r="AE213" s="955">
        <f>AE212/AE205</f>
        <v>0.39336213211994997</v>
      </c>
      <c r="AF213" s="957">
        <f>AC213</f>
        <v>0.41690000000000005</v>
      </c>
      <c r="AG213" s="957">
        <f>AD213-0.3%</f>
        <v>0.43959999999999994</v>
      </c>
      <c r="AH213" s="955">
        <f>AH212/AH205</f>
        <v>0.39649501059976416</v>
      </c>
      <c r="AI213" s="957">
        <f t="shared" ref="AI213" si="594">AF213</f>
        <v>0.41690000000000005</v>
      </c>
      <c r="AJ213" s="957"/>
      <c r="AK213" s="957"/>
      <c r="AL213" s="957">
        <f>AI213+0.02%</f>
        <v>0.41710000000000003</v>
      </c>
      <c r="AM213" s="957"/>
      <c r="AN213" s="957"/>
      <c r="AO213" s="957">
        <f>AL213+0.02%</f>
        <v>0.4173</v>
      </c>
      <c r="AP213" s="957"/>
      <c r="AQ213" s="957"/>
      <c r="AR213" s="957">
        <f>AO213+0.02%</f>
        <v>0.41749999999999998</v>
      </c>
      <c r="AS213" s="957"/>
      <c r="AT213" s="957"/>
      <c r="AU213" s="957">
        <f>AR213+0.02%</f>
        <v>0.41769999999999996</v>
      </c>
      <c r="AV213" s="957"/>
      <c r="AW213" s="957"/>
      <c r="AX213" s="957">
        <f>AU213+0.02%</f>
        <v>0.41789999999999994</v>
      </c>
      <c r="AY213" s="957"/>
      <c r="AZ213" s="957"/>
      <c r="BA213" s="957">
        <f>AX213+0.02%</f>
        <v>0.41809999999999992</v>
      </c>
      <c r="BB213" s="957"/>
      <c r="BC213" s="957"/>
      <c r="BD213" s="957">
        <f>BA213+0.02%</f>
        <v>0.41829999999999989</v>
      </c>
      <c r="BE213" s="957"/>
      <c r="BF213" s="957"/>
      <c r="BG213" s="957">
        <f>BD213+0.02%</f>
        <v>0.41849999999999987</v>
      </c>
      <c r="BH213" s="957"/>
      <c r="BI213" s="957"/>
      <c r="BJ213" s="957">
        <f t="shared" ref="BJ213" si="595">BG213+0.02%</f>
        <v>0.41869999999999985</v>
      </c>
      <c r="BK213" s="1039"/>
      <c r="BL213" s="1040"/>
    </row>
    <row r="214" spans="2:64" s="950" customFormat="1">
      <c r="C214" s="958"/>
      <c r="D214" s="1037"/>
      <c r="E214" s="1065"/>
      <c r="F214" s="1037"/>
      <c r="G214" s="1037"/>
      <c r="H214" s="1065"/>
      <c r="I214" s="1037"/>
      <c r="J214" s="1037"/>
      <c r="K214" s="960"/>
      <c r="L214" s="1037"/>
      <c r="M214" s="1037"/>
      <c r="N214" s="958"/>
      <c r="O214" s="958"/>
      <c r="P214" s="958"/>
      <c r="Q214" s="958"/>
      <c r="R214" s="958"/>
      <c r="S214" s="958"/>
      <c r="T214" s="958"/>
      <c r="U214" s="1037"/>
      <c r="V214" s="1037"/>
      <c r="W214" s="958"/>
      <c r="X214" s="1037"/>
      <c r="Y214" s="1037"/>
      <c r="Z214" s="958"/>
      <c r="AA214" s="1037"/>
      <c r="AB214" s="1037"/>
      <c r="AC214" s="1200"/>
      <c r="AD214" s="1037"/>
      <c r="AE214" s="1037"/>
      <c r="AF214" s="958"/>
      <c r="AG214" s="1037"/>
      <c r="AH214" s="1037"/>
      <c r="AI214" s="958"/>
      <c r="AJ214" s="958"/>
      <c r="AK214" s="958"/>
      <c r="AL214" s="958"/>
      <c r="AM214" s="958"/>
      <c r="AN214" s="958"/>
      <c r="AO214" s="958"/>
      <c r="AP214" s="958"/>
      <c r="AQ214" s="958"/>
      <c r="AR214" s="958"/>
      <c r="AS214" s="958"/>
      <c r="AT214" s="958"/>
      <c r="AU214" s="958"/>
      <c r="AV214" s="958"/>
      <c r="AW214" s="958"/>
      <c r="AX214" s="958"/>
      <c r="AY214" s="958"/>
      <c r="AZ214" s="958"/>
      <c r="BA214" s="958"/>
      <c r="BB214" s="958"/>
      <c r="BC214" s="958"/>
      <c r="BD214" s="958"/>
      <c r="BE214" s="958"/>
      <c r="BF214" s="958"/>
      <c r="BG214" s="958"/>
      <c r="BH214" s="958"/>
      <c r="BI214" s="958"/>
      <c r="BJ214" s="958"/>
      <c r="BK214" s="1039"/>
      <c r="BL214" s="1040"/>
    </row>
    <row r="215" spans="2:64">
      <c r="B215" s="812" t="s">
        <v>769</v>
      </c>
      <c r="C215" s="830"/>
      <c r="D215" s="830"/>
      <c r="E215" s="830"/>
      <c r="F215" s="1114">
        <f t="shared" ref="F215:Q215" si="596">F227-F212</f>
        <v>-14.06</v>
      </c>
      <c r="G215" s="1114">
        <f t="shared" si="596"/>
        <v>-19.5</v>
      </c>
      <c r="H215" s="899">
        <f t="shared" si="596"/>
        <v>-31.114999999999998</v>
      </c>
      <c r="I215" s="899">
        <f>I227-I212</f>
        <v>-44.991099999999996</v>
      </c>
      <c r="J215" s="899">
        <f t="shared" si="596"/>
        <v>0.16066457855032823</v>
      </c>
      <c r="K215" s="900">
        <f t="shared" si="596"/>
        <v>-45.15720000000001</v>
      </c>
      <c r="L215" s="899">
        <f t="shared" si="596"/>
        <v>-38.026499999999999</v>
      </c>
      <c r="M215" s="899">
        <f t="shared" si="596"/>
        <v>-8.8801000000000094</v>
      </c>
      <c r="N215" s="899">
        <f t="shared" si="596"/>
        <v>-46.906600000000012</v>
      </c>
      <c r="O215" s="899">
        <f t="shared" si="596"/>
        <v>-22.59</v>
      </c>
      <c r="P215" s="899">
        <f t="shared" si="596"/>
        <v>-23.584600000000002</v>
      </c>
      <c r="Q215" s="899">
        <f t="shared" si="596"/>
        <v>-46.174600000000005</v>
      </c>
      <c r="R215" s="899">
        <f>R219-R212</f>
        <v>-17.523999999999997</v>
      </c>
      <c r="S215" s="899">
        <f>T215-R215</f>
        <v>-14.640800000000016</v>
      </c>
      <c r="T215" s="899">
        <f t="shared" ref="T215" si="597">T219-T212</f>
        <v>-32.164800000000014</v>
      </c>
      <c r="U215" s="899">
        <f>U219-U212</f>
        <v>-21.150999999999996</v>
      </c>
      <c r="V215" s="899">
        <f>W215-U215</f>
        <v>-20.204000000000008</v>
      </c>
      <c r="W215" s="899">
        <f t="shared" ref="W215" si="598">W219-W212</f>
        <v>-41.355000000000004</v>
      </c>
      <c r="X215" s="899">
        <f>X219-X212</f>
        <v>-25.091999999999992</v>
      </c>
      <c r="Y215" s="899">
        <f>Z215-X215</f>
        <v>-19.622340000000015</v>
      </c>
      <c r="Z215" s="899">
        <f t="shared" ref="Z215" si="599">Z219-Z212</f>
        <v>-44.714340000000007</v>
      </c>
      <c r="AA215" s="899">
        <f>AA219-AA212</f>
        <v>-29.579499999999996</v>
      </c>
      <c r="AB215" s="899">
        <f>AC215-AA215</f>
        <v>-23.674540000000022</v>
      </c>
      <c r="AC215" s="901">
        <f t="shared" ref="AC215" si="600">AC219-AC212</f>
        <v>-53.254040000000018</v>
      </c>
      <c r="AD215" s="899">
        <f t="shared" ref="AD215" si="601">AD205*AD217</f>
        <v>-32.726171688888883</v>
      </c>
      <c r="AE215" s="899">
        <f>AF215-AD215</f>
        <v>-24.399746510231139</v>
      </c>
      <c r="AF215" s="899">
        <f t="shared" ref="AF215:AU215" si="602">AF205*AF217</f>
        <v>-57.125918199120022</v>
      </c>
      <c r="AG215" s="899">
        <f t="shared" si="602"/>
        <v>-33.871587697999999</v>
      </c>
      <c r="AH215" s="899">
        <f>AI215-AG215</f>
        <v>-25.574475517418485</v>
      </c>
      <c r="AI215" s="899">
        <f t="shared" si="602"/>
        <v>-59.446063215418484</v>
      </c>
      <c r="AJ215" s="899"/>
      <c r="AK215" s="899"/>
      <c r="AL215" s="899">
        <f t="shared" si="602"/>
        <v>-62.457254469357345</v>
      </c>
      <c r="AM215" s="899"/>
      <c r="AN215" s="899"/>
      <c r="AO215" s="899">
        <f t="shared" si="602"/>
        <v>-65.590151794372659</v>
      </c>
      <c r="AP215" s="899"/>
      <c r="AQ215" s="899"/>
      <c r="AR215" s="899">
        <f t="shared" si="602"/>
        <v>-68.813157628344143</v>
      </c>
      <c r="AS215" s="899"/>
      <c r="AT215" s="899"/>
      <c r="AU215" s="899">
        <f t="shared" si="602"/>
        <v>-72.188233445685668</v>
      </c>
      <c r="AV215" s="899"/>
      <c r="AW215" s="899"/>
      <c r="AX215" s="899">
        <f t="shared" ref="AX215:BA215" si="603">AX205*AX217</f>
        <v>-74.987185596192774</v>
      </c>
      <c r="AY215" s="899"/>
      <c r="AZ215" s="899"/>
      <c r="BA215" s="899">
        <f t="shared" si="603"/>
        <v>-77.888103576127833</v>
      </c>
      <c r="BB215" s="899"/>
      <c r="BC215" s="899"/>
      <c r="BD215" s="899">
        <f t="shared" ref="BD215:BG215" si="604">BD205*BD217</f>
        <v>-80.894555545083179</v>
      </c>
      <c r="BE215" s="899"/>
      <c r="BF215" s="899"/>
      <c r="BG215" s="899">
        <f t="shared" si="604"/>
        <v>-84.010231040405898</v>
      </c>
      <c r="BH215" s="899"/>
      <c r="BI215" s="899"/>
      <c r="BJ215" s="899">
        <f t="shared" ref="BJ215" si="605">BJ205*BJ217</f>
        <v>-87.238945019616352</v>
      </c>
      <c r="BK215" s="1115"/>
    </row>
    <row r="216" spans="2:64">
      <c r="B216" s="812" t="s">
        <v>42</v>
      </c>
      <c r="C216" s="969">
        <v>6.2279374684820921E-2</v>
      </c>
      <c r="D216" s="969">
        <v>5.5979643765902143E-3</v>
      </c>
      <c r="E216" s="902">
        <v>3.4067882472137878E-2</v>
      </c>
      <c r="F216" s="902" t="e">
        <f t="shared" ref="F216" si="606">F215/C215-1</f>
        <v>#DIV/0!</v>
      </c>
      <c r="G216" s="902" t="e">
        <f t="shared" ref="G216" si="607">G215/D215-1</f>
        <v>#DIV/0!</v>
      </c>
      <c r="H216" s="902" t="e">
        <f t="shared" ref="H216" si="608">H215/E215-1</f>
        <v>#DIV/0!</v>
      </c>
      <c r="I216" s="902">
        <f t="shared" ref="I216" si="609">I215/F215-1</f>
        <v>2.1999359886201986</v>
      </c>
      <c r="J216" s="902">
        <f t="shared" ref="J216" si="610">J215/G215-1</f>
        <v>-1.0082392091564272</v>
      </c>
      <c r="K216" s="904">
        <f t="shared" ref="K216" si="611">K215/H215-1</f>
        <v>0.45130001606942027</v>
      </c>
      <c r="L216" s="902">
        <f t="shared" ref="L216" si="612">L215/I215-1</f>
        <v>-0.15479950479094751</v>
      </c>
      <c r="M216" s="902">
        <f t="shared" ref="M216" si="613">M215/J215-1</f>
        <v>-56.271050284542433</v>
      </c>
      <c r="N216" s="902">
        <f t="shared" ref="N216" si="614">N215/K215-1</f>
        <v>3.8740223043058464E-2</v>
      </c>
      <c r="O216" s="902">
        <f t="shared" ref="O216" si="615">O215/L215-1</f>
        <v>-0.40594059405940597</v>
      </c>
      <c r="P216" s="902">
        <f t="shared" ref="P216" si="616">P215/M215-1</f>
        <v>1.6558935147126697</v>
      </c>
      <c r="Q216" s="902">
        <f t="shared" ref="Q216" si="617">Q215/N215-1</f>
        <v>-1.5605479825866908E-2</v>
      </c>
      <c r="R216" s="902">
        <f t="shared" ref="R216" si="618">R215/O215-1</f>
        <v>-0.22425852146967695</v>
      </c>
      <c r="S216" s="902">
        <f t="shared" ref="S216" si="619">S215/P215-1</f>
        <v>-0.37922203471756932</v>
      </c>
      <c r="T216" s="902">
        <f t="shared" ref="T216" si="620">T215/Q215-1</f>
        <v>-0.30340923364793604</v>
      </c>
      <c r="U216" s="902">
        <f t="shared" ref="U216" si="621">U215/R215-1</f>
        <v>0.20697329376854601</v>
      </c>
      <c r="V216" s="902">
        <f t="shared" ref="V216" si="622">V215/S215-1</f>
        <v>0.37997923610731554</v>
      </c>
      <c r="W216" s="902">
        <f t="shared" ref="W216" si="623">W215/T215-1</f>
        <v>0.28572228025667767</v>
      </c>
      <c r="X216" s="902">
        <f t="shared" ref="X216" si="624">X215/U215-1</f>
        <v>0.18632688761760652</v>
      </c>
      <c r="Y216" s="902">
        <f t="shared" ref="Y216" si="625">Y215/V215-1</f>
        <v>-2.8789348643832535E-2</v>
      </c>
      <c r="Z216" s="902">
        <f t="shared" ref="Z216" si="626">Z215/W215-1</f>
        <v>8.1231773667029383E-2</v>
      </c>
      <c r="AA216" s="902">
        <f t="shared" ref="AA216:AB216" si="627">AA215/X215-1</f>
        <v>0.17884186194803142</v>
      </c>
      <c r="AB216" s="902">
        <f t="shared" si="627"/>
        <v>0.20650951925203631</v>
      </c>
      <c r="AC216" s="905">
        <f>AC215/Z215-1</f>
        <v>0.19098347420536688</v>
      </c>
      <c r="AD216" s="902">
        <f t="shared" ref="AD216" si="628">AD215/AA215-1</f>
        <v>0.10638015141868151</v>
      </c>
      <c r="AE216" s="902">
        <f t="shared" ref="AE216" si="629">AE215/AB215-1</f>
        <v>3.0632337955927236E-2</v>
      </c>
      <c r="AF216" s="902">
        <f>AF215/AC215-1</f>
        <v>7.2705811598894776E-2</v>
      </c>
      <c r="AG216" s="902">
        <f t="shared" ref="AG216" si="630">AG215/AD215-1</f>
        <v>3.5000000000000142E-2</v>
      </c>
      <c r="AH216" s="902">
        <f t="shared" ref="AH216" si="631">AH215/AE215-1</f>
        <v>4.8145131618263504E-2</v>
      </c>
      <c r="AI216" s="902">
        <f>AI215/AF215-1</f>
        <v>4.0614577225897452E-2</v>
      </c>
      <c r="AJ216" s="902"/>
      <c r="AK216" s="902"/>
      <c r="AL216" s="902">
        <f t="shared" ref="AL216" si="632">AL215/AI215-1</f>
        <v>5.0654174407260832E-2</v>
      </c>
      <c r="AM216" s="902"/>
      <c r="AN216" s="902"/>
      <c r="AO216" s="902">
        <f t="shared" ref="AO216" si="633">AO215/AL215-1</f>
        <v>5.0160663507109016E-2</v>
      </c>
      <c r="AP216" s="902"/>
      <c r="AQ216" s="902"/>
      <c r="AR216" s="902">
        <f t="shared" ref="AR216" si="634">AR215/AO215-1</f>
        <v>4.9138563424517168E-2</v>
      </c>
      <c r="AS216" s="902"/>
      <c r="AT216" s="902"/>
      <c r="AU216" s="902">
        <f t="shared" ref="AU216" si="635">AU215/AR215-1</f>
        <v>4.9046954589267777E-2</v>
      </c>
      <c r="AV216" s="902"/>
      <c r="AW216" s="902"/>
      <c r="AX216" s="902">
        <f t="shared" ref="AX216" si="636">AX215/AU215-1</f>
        <v>3.8772969179430516E-2</v>
      </c>
      <c r="AY216" s="902"/>
      <c r="AZ216" s="902"/>
      <c r="BA216" s="902">
        <f t="shared" ref="BA216" si="637">BA215/AX215-1</f>
        <v>3.868551615680782E-2</v>
      </c>
      <c r="BB216" s="902"/>
      <c r="BC216" s="902"/>
      <c r="BD216" s="902">
        <f t="shared" ref="BD216" si="638">BD215/BA215-1</f>
        <v>3.8599629865385454E-2</v>
      </c>
      <c r="BE216" s="902"/>
      <c r="BF216" s="902"/>
      <c r="BG216" s="902">
        <f>BG215/BD215-1</f>
        <v>3.8515268108325618E-2</v>
      </c>
      <c r="BH216" s="902"/>
      <c r="BI216" s="902"/>
      <c r="BJ216" s="902">
        <f t="shared" ref="BJ216" si="639">BJ215/BG215-1</f>
        <v>3.8432390188970711E-2</v>
      </c>
      <c r="BK216" s="873"/>
    </row>
    <row r="217" spans="2:64" s="1121" customFormat="1">
      <c r="B217" s="1116" t="s">
        <v>768</v>
      </c>
      <c r="C217" s="1117"/>
      <c r="D217" s="1117"/>
      <c r="E217" s="1117"/>
      <c r="F217" s="1117">
        <f>-F215/F205</f>
        <v>0.58583333333333332</v>
      </c>
      <c r="G217" s="1117">
        <f>-G215/G205</f>
        <v>0.33913043478260868</v>
      </c>
      <c r="H217" s="852">
        <f t="shared" ref="H217:W217" si="640">H215/H205</f>
        <v>-0.38177914110429445</v>
      </c>
      <c r="I217" s="852">
        <f t="shared" si="640"/>
        <v>-0.67050819672131146</v>
      </c>
      <c r="J217" s="852">
        <f t="shared" si="640"/>
        <v>2.2407891011203373E-3</v>
      </c>
      <c r="K217" s="852">
        <f t="shared" si="640"/>
        <v>-0.32534005763688767</v>
      </c>
      <c r="L217" s="852">
        <f t="shared" si="640"/>
        <v>-0.57182706766917291</v>
      </c>
      <c r="M217" s="852">
        <f t="shared" si="640"/>
        <v>-0.13578134556574936</v>
      </c>
      <c r="N217" s="852">
        <f t="shared" si="640"/>
        <v>-0.35562244124336628</v>
      </c>
      <c r="O217" s="852">
        <f t="shared" si="640"/>
        <v>-0.3585714285714286</v>
      </c>
      <c r="P217" s="852">
        <f t="shared" si="640"/>
        <v>-0.26089159292035397</v>
      </c>
      <c r="Q217" s="852">
        <f t="shared" si="640"/>
        <v>-0.3010078226857888</v>
      </c>
      <c r="R217" s="852">
        <f t="shared" si="640"/>
        <v>-0.26713414634146337</v>
      </c>
      <c r="S217" s="852">
        <f t="shared" si="640"/>
        <v>-0.13166187050359726</v>
      </c>
      <c r="T217" s="852">
        <f t="shared" si="640"/>
        <v>-0.18192760180995482</v>
      </c>
      <c r="U217" s="852">
        <f t="shared" si="640"/>
        <v>-0.20858974358974355</v>
      </c>
      <c r="V217" s="852">
        <f t="shared" ref="V217" si="641">V215/V205</f>
        <v>-0.17538194444444452</v>
      </c>
      <c r="W217" s="852">
        <f t="shared" si="640"/>
        <v>-0.19092797783933521</v>
      </c>
      <c r="X217" s="852">
        <f t="shared" ref="X217" si="642">X215/X205</f>
        <v>-0.2376136363636363</v>
      </c>
      <c r="Y217" s="852">
        <f t="shared" ref="Y217:AC217" si="643">Y215/Y205</f>
        <v>-0.16728337595907941</v>
      </c>
      <c r="Z217" s="852">
        <f t="shared" si="643"/>
        <v>-0.20060269179004039</v>
      </c>
      <c r="AA217" s="867">
        <f t="shared" si="643"/>
        <v>-0.27515813953488366</v>
      </c>
      <c r="AB217" s="852">
        <f t="shared" ref="AB217" si="644">AB215/AB205</f>
        <v>-0.1907698630136988</v>
      </c>
      <c r="AC217" s="853">
        <f t="shared" si="643"/>
        <v>-0.22993972366148541</v>
      </c>
      <c r="AD217" s="957">
        <f>AA217+0.2%</f>
        <v>-0.27315813953488366</v>
      </c>
      <c r="AE217" s="1118">
        <f t="shared" ref="AE217" si="645">AE215/AE205</f>
        <v>-0.18652551749132157</v>
      </c>
      <c r="AF217" s="957">
        <f>AC217+0.2%</f>
        <v>-0.2279397236614854</v>
      </c>
      <c r="AG217" s="957">
        <f>AD217</f>
        <v>-0.27315813953488366</v>
      </c>
      <c r="AH217" s="1118">
        <f t="shared" ref="AH217" si="646">AH215/AH205</f>
        <v>-0.18539407229618199</v>
      </c>
      <c r="AI217" s="957">
        <f>AF217+0.1%</f>
        <v>-0.2269397236614854</v>
      </c>
      <c r="AJ217" s="957"/>
      <c r="AK217" s="957"/>
      <c r="AL217" s="957">
        <f>AI217+0.1%</f>
        <v>-0.2259397236614854</v>
      </c>
      <c r="AM217" s="957"/>
      <c r="AN217" s="957"/>
      <c r="AO217" s="957">
        <f t="shared" ref="AO217" si="647">AL217</f>
        <v>-0.2259397236614854</v>
      </c>
      <c r="AP217" s="957"/>
      <c r="AQ217" s="957"/>
      <c r="AR217" s="957">
        <f>AO217+0.02%</f>
        <v>-0.2257397236614854</v>
      </c>
      <c r="AS217" s="957"/>
      <c r="AT217" s="957"/>
      <c r="AU217" s="957">
        <f>AR217+0.02%</f>
        <v>-0.22553972366148539</v>
      </c>
      <c r="AV217" s="957"/>
      <c r="AW217" s="957"/>
      <c r="AX217" s="957">
        <f>AU217+0.02%</f>
        <v>-0.22533972366148539</v>
      </c>
      <c r="AY217" s="957"/>
      <c r="AZ217" s="957"/>
      <c r="BA217" s="957">
        <f>AX217+0.02%</f>
        <v>-0.22513972366148538</v>
      </c>
      <c r="BB217" s="957"/>
      <c r="BC217" s="957"/>
      <c r="BD217" s="957">
        <f>BA217+0.02%</f>
        <v>-0.22493972366148537</v>
      </c>
      <c r="BE217" s="957"/>
      <c r="BF217" s="957"/>
      <c r="BG217" s="957">
        <f>BD217+0.02%</f>
        <v>-0.22473972366148537</v>
      </c>
      <c r="BH217" s="957"/>
      <c r="BI217" s="957"/>
      <c r="BJ217" s="957">
        <f t="shared" ref="BJ217" si="648">BG217+0.02%</f>
        <v>-0.22453972366148536</v>
      </c>
      <c r="BK217" s="1119"/>
      <c r="BL217" s="1120"/>
    </row>
    <row r="218" spans="2:64">
      <c r="C218" s="1037"/>
      <c r="D218" s="830"/>
      <c r="E218" s="1037"/>
      <c r="F218" s="830"/>
      <c r="G218" s="830"/>
      <c r="H218" s="1037"/>
      <c r="I218" s="830"/>
      <c r="J218" s="1122"/>
      <c r="K218" s="1123"/>
      <c r="L218" s="1122"/>
      <c r="M218" s="1122"/>
      <c r="N218" s="1122"/>
      <c r="O218" s="1122"/>
      <c r="P218" s="1122"/>
      <c r="Q218" s="1122"/>
      <c r="R218" s="1122"/>
      <c r="S218" s="1122"/>
      <c r="T218" s="1122"/>
      <c r="U218" s="1122"/>
      <c r="V218" s="1122"/>
      <c r="W218" s="1122"/>
      <c r="X218" s="1122"/>
      <c r="Y218" s="1122"/>
      <c r="Z218" s="1122"/>
      <c r="AA218" s="1122"/>
      <c r="AB218" s="1122"/>
      <c r="AC218" s="1124"/>
      <c r="AD218" s="1122"/>
      <c r="AE218" s="1122"/>
      <c r="AF218" s="1122"/>
      <c r="AG218" s="1122"/>
      <c r="AH218" s="1122"/>
      <c r="AI218" s="1122"/>
      <c r="AJ218" s="1122"/>
      <c r="AK218" s="1122"/>
      <c r="AL218" s="1122"/>
      <c r="AM218" s="1122"/>
      <c r="AN218" s="1122"/>
      <c r="AO218" s="1037"/>
      <c r="AP218" s="1037"/>
      <c r="AQ218" s="1037"/>
      <c r="AR218" s="1037"/>
      <c r="AS218" s="1037"/>
      <c r="AT218" s="1037"/>
      <c r="AU218" s="1037"/>
      <c r="AV218" s="1037"/>
      <c r="AW218" s="1037"/>
      <c r="AX218" s="1037"/>
      <c r="AY218" s="1037"/>
      <c r="AZ218" s="1037"/>
      <c r="BA218" s="1037"/>
      <c r="BB218" s="1037"/>
      <c r="BC218" s="1037"/>
      <c r="BD218" s="1037"/>
      <c r="BE218" s="1037"/>
      <c r="BF218" s="1037"/>
      <c r="BG218" s="1037"/>
      <c r="BH218" s="1037"/>
      <c r="BI218" s="1037"/>
      <c r="BJ218" s="1037"/>
    </row>
    <row r="219" spans="2:64">
      <c r="B219" s="812" t="s">
        <v>817</v>
      </c>
      <c r="C219" s="1037"/>
      <c r="D219" s="830"/>
      <c r="E219" s="1037"/>
      <c r="F219" s="830"/>
      <c r="G219" s="830"/>
      <c r="H219" s="1037"/>
      <c r="I219" s="830"/>
      <c r="J219" s="1122"/>
      <c r="K219" s="1123"/>
      <c r="L219" s="1122">
        <v>11.1</v>
      </c>
      <c r="M219" s="1122">
        <f>N219-L219</f>
        <v>13.9</v>
      </c>
      <c r="N219" s="1125">
        <v>25</v>
      </c>
      <c r="O219" s="1125">
        <v>13.3</v>
      </c>
      <c r="P219" s="1125">
        <f>Q219-O219</f>
        <v>22.400000000000002</v>
      </c>
      <c r="Q219" s="1125">
        <v>35.700000000000003</v>
      </c>
      <c r="R219" s="1125">
        <v>9.6999999999999993</v>
      </c>
      <c r="S219" s="1125">
        <f t="shared" ref="S219:AU219" si="649">S212+S215</f>
        <v>30.8</v>
      </c>
      <c r="T219" s="1125">
        <v>40.5</v>
      </c>
      <c r="U219" s="1125">
        <v>26</v>
      </c>
      <c r="V219" s="1125">
        <f t="shared" ref="V219" si="650">V212+V215</f>
        <v>24.700000000000003</v>
      </c>
      <c r="W219" s="1125">
        <v>50.7</v>
      </c>
      <c r="X219" s="1125">
        <v>21.9</v>
      </c>
      <c r="Y219" s="1125">
        <f t="shared" ref="Y219" si="651">Y212+Y215</f>
        <v>25.800000000000004</v>
      </c>
      <c r="Z219" s="1126">
        <v>47.7</v>
      </c>
      <c r="AA219" s="1126">
        <v>18</v>
      </c>
      <c r="AB219" s="1125">
        <f t="shared" ref="AB219" si="652">AB212+AB215</f>
        <v>25.299999999999997</v>
      </c>
      <c r="AC219" s="1127">
        <v>43.3</v>
      </c>
      <c r="AD219" s="1128">
        <f t="shared" ref="AD219:AE219" si="653">AD212+AD215</f>
        <v>20.300267919191924</v>
      </c>
      <c r="AE219" s="1128">
        <f t="shared" si="653"/>
        <v>27.056678538408065</v>
      </c>
      <c r="AF219" s="1128">
        <f t="shared" si="649"/>
        <v>47.356946457599989</v>
      </c>
      <c r="AG219" s="1128">
        <f t="shared" si="649"/>
        <v>20.638777533636365</v>
      </c>
      <c r="AH219" s="1128">
        <f t="shared" si="649"/>
        <v>29.120649390148898</v>
      </c>
      <c r="AI219" s="1128">
        <f t="shared" si="649"/>
        <v>49.759426923785263</v>
      </c>
      <c r="AJ219" s="1128"/>
      <c r="AK219" s="1128"/>
      <c r="AL219" s="1128">
        <f t="shared" si="649"/>
        <v>52.84305845038309</v>
      </c>
      <c r="AM219" s="1128"/>
      <c r="AN219" s="1128"/>
      <c r="AO219" s="1128">
        <f t="shared" si="649"/>
        <v>55.551761191234149</v>
      </c>
      <c r="AP219" s="1128"/>
      <c r="AQ219" s="1128"/>
      <c r="AR219" s="1128">
        <f t="shared" si="649"/>
        <v>58.455064569516935</v>
      </c>
      <c r="AS219" s="1128"/>
      <c r="AT219" s="1128"/>
      <c r="AU219" s="1128">
        <f t="shared" si="649"/>
        <v>61.504513094696946</v>
      </c>
      <c r="AV219" s="1128"/>
      <c r="AW219" s="1128"/>
      <c r="AX219" s="1128">
        <f t="shared" ref="AX219:BA219" si="654">AX212+AX215</f>
        <v>64.079040062825555</v>
      </c>
      <c r="AY219" s="1128"/>
      <c r="AZ219" s="1128"/>
      <c r="BA219" s="1128">
        <f t="shared" si="654"/>
        <v>66.755478531768006</v>
      </c>
      <c r="BB219" s="1128"/>
      <c r="BC219" s="1128"/>
      <c r="BD219" s="1128">
        <f t="shared" ref="BD219:BG219" si="655">BD212+BD215</f>
        <v>69.537711524968913</v>
      </c>
      <c r="BE219" s="1128"/>
      <c r="BF219" s="1128"/>
      <c r="BG219" s="1128">
        <f t="shared" si="655"/>
        <v>72.429765937462975</v>
      </c>
      <c r="BH219" s="1128"/>
      <c r="BI219" s="1128"/>
      <c r="BJ219" s="1128">
        <f t="shared" ref="BJ219" si="656">BJ212+BJ215</f>
        <v>75.435817753233323</v>
      </c>
    </row>
    <row r="220" spans="2:64">
      <c r="B220" s="812" t="s">
        <v>59</v>
      </c>
      <c r="C220" s="1037"/>
      <c r="D220" s="830"/>
      <c r="E220" s="1037"/>
      <c r="F220" s="830"/>
      <c r="G220" s="830"/>
      <c r="H220" s="1037"/>
      <c r="I220" s="830"/>
      <c r="J220" s="1122"/>
      <c r="K220" s="1123"/>
      <c r="L220" s="852">
        <f t="shared" ref="L220:AU220" si="657">L219/L205</f>
        <v>0.16691729323308271</v>
      </c>
      <c r="M220" s="852">
        <f t="shared" si="657"/>
        <v>0.21253822629969418</v>
      </c>
      <c r="N220" s="902">
        <f t="shared" si="657"/>
        <v>0.18953752843062927</v>
      </c>
      <c r="O220" s="902">
        <f t="shared" si="657"/>
        <v>0.21111111111111111</v>
      </c>
      <c r="P220" s="902">
        <f t="shared" si="657"/>
        <v>0.24778761061946902</v>
      </c>
      <c r="Q220" s="902">
        <f t="shared" si="657"/>
        <v>0.23272490221642764</v>
      </c>
      <c r="R220" s="902">
        <f t="shared" si="657"/>
        <v>0.14786585365853658</v>
      </c>
      <c r="S220" s="902">
        <f t="shared" si="657"/>
        <v>0.27697841726618699</v>
      </c>
      <c r="T220" s="902">
        <f t="shared" si="657"/>
        <v>0.22907239819004524</v>
      </c>
      <c r="U220" s="902">
        <f>U219/U205</f>
        <v>0.25641025641025639</v>
      </c>
      <c r="V220" s="902">
        <f t="shared" ref="V220" si="658">V219/V205</f>
        <v>0.21440972222222227</v>
      </c>
      <c r="W220" s="902">
        <f t="shared" si="657"/>
        <v>0.23407202216066483</v>
      </c>
      <c r="X220" s="902">
        <f t="shared" ref="X220:Y220" si="659">X219/X205</f>
        <v>0.20738636363636365</v>
      </c>
      <c r="Y220" s="902">
        <f t="shared" si="659"/>
        <v>0.21994884910485935</v>
      </c>
      <c r="Z220" s="902">
        <f t="shared" si="657"/>
        <v>0.21399730820995963</v>
      </c>
      <c r="AA220" s="902">
        <f t="shared" si="657"/>
        <v>0.16744186046511628</v>
      </c>
      <c r="AB220" s="902">
        <f t="shared" si="657"/>
        <v>0.2038678485092667</v>
      </c>
      <c r="AC220" s="905">
        <f t="shared" si="657"/>
        <v>0.18696027633851467</v>
      </c>
      <c r="AD220" s="902">
        <f t="shared" ref="AD220:AE220" si="660">AD219/AD205</f>
        <v>0.16944186046511631</v>
      </c>
      <c r="AE220" s="902">
        <f t="shared" si="660"/>
        <v>0.20683661462862837</v>
      </c>
      <c r="AF220" s="902">
        <f t="shared" si="657"/>
        <v>0.18896027633851464</v>
      </c>
      <c r="AG220" s="902">
        <f t="shared" si="657"/>
        <v>0.16644186046511625</v>
      </c>
      <c r="AH220" s="902">
        <f t="shared" si="657"/>
        <v>0.21110093830358218</v>
      </c>
      <c r="AI220" s="902">
        <f t="shared" si="657"/>
        <v>0.18996027633851462</v>
      </c>
      <c r="AJ220" s="902"/>
      <c r="AK220" s="902"/>
      <c r="AL220" s="902">
        <f t="shared" si="657"/>
        <v>0.19116027633851462</v>
      </c>
      <c r="AM220" s="902"/>
      <c r="AN220" s="902"/>
      <c r="AO220" s="902">
        <f t="shared" si="657"/>
        <v>0.19136027633851463</v>
      </c>
      <c r="AP220" s="902"/>
      <c r="AQ220" s="902"/>
      <c r="AR220" s="902">
        <f t="shared" si="657"/>
        <v>0.19176027633851461</v>
      </c>
      <c r="AS220" s="902"/>
      <c r="AT220" s="902"/>
      <c r="AU220" s="902">
        <f t="shared" si="657"/>
        <v>0.1921602763385146</v>
      </c>
      <c r="AV220" s="902"/>
      <c r="AW220" s="902"/>
      <c r="AX220" s="902">
        <f t="shared" ref="AX220:BA220" si="661">AX219/AX205</f>
        <v>0.19256027633851458</v>
      </c>
      <c r="AY220" s="902"/>
      <c r="AZ220" s="902"/>
      <c r="BA220" s="902">
        <f t="shared" si="661"/>
        <v>0.19296027633851454</v>
      </c>
      <c r="BB220" s="902"/>
      <c r="BC220" s="902"/>
      <c r="BD220" s="902">
        <f t="shared" ref="BD220:BG220" si="662">BD219/BD205</f>
        <v>0.19336027633851452</v>
      </c>
      <c r="BE220" s="902"/>
      <c r="BF220" s="902"/>
      <c r="BG220" s="902">
        <f t="shared" si="662"/>
        <v>0.1937602763385145</v>
      </c>
      <c r="BH220" s="902"/>
      <c r="BI220" s="902"/>
      <c r="BJ220" s="902">
        <f t="shared" ref="BJ220" si="663">BJ219/BJ205</f>
        <v>0.19416027633851449</v>
      </c>
    </row>
    <row r="221" spans="2:64">
      <c r="B221" s="812" t="s">
        <v>798</v>
      </c>
      <c r="C221" s="1037"/>
      <c r="D221" s="830"/>
      <c r="E221" s="1037"/>
      <c r="F221" s="830"/>
      <c r="G221" s="830"/>
      <c r="H221" s="1037"/>
      <c r="I221" s="830"/>
      <c r="J221" s="1122"/>
      <c r="K221" s="1123"/>
      <c r="L221" s="1122"/>
      <c r="M221" s="1122"/>
      <c r="N221" s="1122"/>
      <c r="O221" s="1122"/>
      <c r="P221" s="1122"/>
      <c r="Q221" s="1122"/>
      <c r="R221" s="1122"/>
      <c r="S221" s="1122"/>
      <c r="T221" s="1122"/>
      <c r="U221" s="1122"/>
      <c r="V221" s="1122"/>
      <c r="W221" s="1122"/>
      <c r="X221" s="1122"/>
      <c r="Y221" s="862"/>
      <c r="Z221" s="862"/>
      <c r="AA221" s="944">
        <f>AA220-X220</f>
        <v>-3.994450317124737E-2</v>
      </c>
      <c r="AB221" s="862"/>
      <c r="AC221" s="863">
        <f>AC220-Z220</f>
        <v>-2.7037031871444961E-2</v>
      </c>
      <c r="AD221" s="1122"/>
      <c r="AE221" s="1122"/>
      <c r="AF221" s="902">
        <f>AF219/AC219-1</f>
        <v>9.3693913570438658E-2</v>
      </c>
      <c r="AG221" s="902">
        <f>AG219/AD219-1</f>
        <v>1.667513038704338E-2</v>
      </c>
      <c r="AH221" s="902">
        <f>AH219/AE219-1</f>
        <v>7.6283230730296081E-2</v>
      </c>
      <c r="AI221" s="1037"/>
      <c r="AJ221" s="1037"/>
      <c r="AK221" s="1037"/>
      <c r="AL221" s="1037"/>
      <c r="AM221" s="1037"/>
      <c r="AN221" s="1037"/>
      <c r="AO221" s="1037"/>
      <c r="AP221" s="1037"/>
      <c r="AQ221" s="1037"/>
      <c r="AR221" s="1037"/>
      <c r="AS221" s="1037"/>
      <c r="AT221" s="1037"/>
      <c r="AU221" s="1037"/>
      <c r="AV221" s="1037"/>
      <c r="AW221" s="1037"/>
      <c r="AX221" s="1037"/>
      <c r="AY221" s="1037"/>
      <c r="AZ221" s="1037"/>
      <c r="BA221" s="1037"/>
      <c r="BB221" s="1037"/>
      <c r="BC221" s="1037"/>
      <c r="BD221" s="1037"/>
      <c r="BE221" s="1037"/>
      <c r="BF221" s="1037"/>
      <c r="BG221" s="1037"/>
      <c r="BH221" s="1037"/>
      <c r="BI221" s="1037"/>
      <c r="BJ221" s="1037"/>
    </row>
    <row r="222" spans="2:64">
      <c r="C222" s="1037"/>
      <c r="D222" s="830"/>
      <c r="E222" s="1037"/>
      <c r="F222" s="830"/>
      <c r="G222" s="830"/>
      <c r="H222" s="1037"/>
      <c r="I222" s="830"/>
      <c r="J222" s="1122"/>
      <c r="K222" s="1123"/>
      <c r="L222" s="1122"/>
      <c r="M222" s="1122"/>
      <c r="N222" s="1122"/>
      <c r="O222" s="1122"/>
      <c r="P222" s="1122"/>
      <c r="Q222" s="1122"/>
      <c r="R222" s="1122"/>
      <c r="S222" s="1122"/>
      <c r="T222" s="1122"/>
      <c r="U222" s="1122"/>
      <c r="V222" s="1122"/>
      <c r="W222" s="1122"/>
      <c r="X222" s="1122"/>
      <c r="Y222" s="1122"/>
      <c r="Z222" s="1037"/>
      <c r="AA222" s="1122"/>
      <c r="AB222" s="1122"/>
      <c r="AC222" s="1066"/>
      <c r="AD222" s="1122"/>
      <c r="AE222" s="1122"/>
      <c r="AF222" s="1037"/>
      <c r="AG222" s="1122"/>
      <c r="AH222" s="1122"/>
      <c r="AI222" s="1037"/>
      <c r="AJ222" s="1037"/>
      <c r="AK222" s="1037"/>
      <c r="AL222" s="1037"/>
      <c r="AM222" s="1037"/>
      <c r="AN222" s="1037"/>
      <c r="AO222" s="1037"/>
      <c r="AP222" s="1037"/>
      <c r="AQ222" s="1037"/>
      <c r="AR222" s="1037"/>
      <c r="AS222" s="1037"/>
      <c r="AT222" s="1037"/>
      <c r="AU222" s="1037"/>
      <c r="AV222" s="1037"/>
      <c r="AW222" s="1037"/>
      <c r="AX222" s="1037"/>
      <c r="AY222" s="1037"/>
      <c r="AZ222" s="1037"/>
      <c r="BA222" s="1037"/>
      <c r="BB222" s="1037"/>
      <c r="BC222" s="1037"/>
      <c r="BD222" s="1037"/>
      <c r="BE222" s="1037"/>
      <c r="BF222" s="1037"/>
      <c r="BG222" s="1037"/>
      <c r="BH222" s="1037"/>
      <c r="BI222" s="1037"/>
      <c r="BJ222" s="1037"/>
    </row>
    <row r="223" spans="2:64">
      <c r="B223" s="812" t="s">
        <v>39</v>
      </c>
      <c r="C223" s="1037"/>
      <c r="D223" s="830"/>
      <c r="E223" s="1129">
        <v>3.8363374864571753E-2</v>
      </c>
      <c r="F223" s="830"/>
      <c r="G223" s="830"/>
      <c r="H223" s="1037"/>
      <c r="I223" s="830"/>
      <c r="J223" s="1122"/>
      <c r="K223" s="1123"/>
      <c r="L223" s="1122">
        <v>-1.4</v>
      </c>
      <c r="M223" s="1122">
        <f>N223-L223</f>
        <v>-15.9</v>
      </c>
      <c r="N223" s="1130">
        <v>-17.3</v>
      </c>
      <c r="O223" s="1130">
        <v>-8.8000000000000007</v>
      </c>
      <c r="P223" s="1130">
        <f>Q223-O223</f>
        <v>-8.8000000000000007</v>
      </c>
      <c r="Q223" s="1130">
        <v>-17.600000000000001</v>
      </c>
      <c r="R223" s="1130">
        <v>-10.5</v>
      </c>
      <c r="S223" s="1130">
        <f>T223-R223</f>
        <v>-10</v>
      </c>
      <c r="T223" s="1130">
        <v>-20.5</v>
      </c>
      <c r="U223" s="1130">
        <v>-9.5</v>
      </c>
      <c r="V223" s="1130">
        <f>W223-U223</f>
        <v>-10.8</v>
      </c>
      <c r="W223" s="1130">
        <v>-20.3</v>
      </c>
      <c r="X223" s="1130">
        <v>-12.7</v>
      </c>
      <c r="Y223" s="1130">
        <f>Z223-X223</f>
        <v>-13</v>
      </c>
      <c r="Z223" s="1025">
        <v>-25.7</v>
      </c>
      <c r="AA223" s="1025">
        <v>-14.1</v>
      </c>
      <c r="AB223" s="1130">
        <f>AC223-AA223</f>
        <v>-14.9</v>
      </c>
      <c r="AC223" s="1026">
        <v>-29</v>
      </c>
      <c r="AD223" s="1131">
        <f t="shared" ref="AD223" si="664">AD205*AD224</f>
        <v>-15.354759333333336</v>
      </c>
      <c r="AE223" s="1131">
        <f>AF223-AD223</f>
        <v>-14.719464122666663</v>
      </c>
      <c r="AF223" s="1131">
        <f t="shared" ref="AF223:AU223" si="665">AF205*AF224</f>
        <v>-30.074223455999999</v>
      </c>
      <c r="AG223" s="1131">
        <f t="shared" si="665"/>
        <v>-15.272176305454547</v>
      </c>
      <c r="AH223" s="1131">
        <f>AI223-AG223</f>
        <v>-14.851669619247854</v>
      </c>
      <c r="AI223" s="1131">
        <f t="shared" si="665"/>
        <v>-30.123845924702401</v>
      </c>
      <c r="AJ223" s="1131"/>
      <c r="AK223" s="1131"/>
      <c r="AL223" s="1131">
        <f t="shared" si="665"/>
        <v>-31.845111599985852</v>
      </c>
      <c r="AM223" s="1131"/>
      <c r="AN223" s="1131"/>
      <c r="AO223" s="1131">
        <f t="shared" si="665"/>
        <v>-33.442483527299075</v>
      </c>
      <c r="AP223" s="1131"/>
      <c r="AQ223" s="1131"/>
      <c r="AR223" s="1131">
        <f>AR205*AR224</f>
        <v>-35.116884304655322</v>
      </c>
      <c r="AS223" s="1131"/>
      <c r="AT223" s="1131"/>
      <c r="AU223" s="1131">
        <f t="shared" si="665"/>
        <v>-36.871928181594633</v>
      </c>
      <c r="AV223" s="1131"/>
      <c r="AW223" s="1131"/>
      <c r="AX223" s="1131">
        <f t="shared" ref="AX223:BA223" si="666">AX205*AX224</f>
        <v>-38.335556822012236</v>
      </c>
      <c r="AY223" s="1131"/>
      <c r="AZ223" s="1131"/>
      <c r="BA223" s="1131">
        <f t="shared" si="666"/>
        <v>-39.853959958932322</v>
      </c>
      <c r="BB223" s="1131"/>
      <c r="BC223" s="1131"/>
      <c r="BD223" s="1131">
        <f t="shared" ref="BD223:BG223" si="667">BD205*BD224</f>
        <v>-41.429111084078428</v>
      </c>
      <c r="BE223" s="1131"/>
      <c r="BF223" s="1131"/>
      <c r="BG223" s="1131">
        <f t="shared" si="667"/>
        <v>-43.063052931542416</v>
      </c>
      <c r="BH223" s="1131"/>
      <c r="BI223" s="1131"/>
      <c r="BJ223" s="1131">
        <f t="shared" ref="BJ223" si="668">BJ205*BJ224</f>
        <v>-44.757899860120112</v>
      </c>
    </row>
    <row r="224" spans="2:64" s="647" customFormat="1">
      <c r="B224" s="647" t="s">
        <v>818</v>
      </c>
      <c r="C224" s="1132"/>
      <c r="D224" s="852"/>
      <c r="E224" s="1132"/>
      <c r="F224" s="852"/>
      <c r="G224" s="852"/>
      <c r="H224" s="1132"/>
      <c r="I224" s="852"/>
      <c r="J224" s="852"/>
      <c r="K224" s="988"/>
      <c r="L224" s="852"/>
      <c r="M224" s="852"/>
      <c r="N224" s="902"/>
      <c r="O224" s="902">
        <f t="shared" ref="O224:X224" si="669">O223/O205</f>
        <v>-0.13968253968253969</v>
      </c>
      <c r="P224" s="902">
        <f t="shared" si="669"/>
        <v>-9.7345132743362831E-2</v>
      </c>
      <c r="Q224" s="902">
        <f t="shared" si="669"/>
        <v>-0.11473272490221643</v>
      </c>
      <c r="R224" s="902">
        <f t="shared" si="669"/>
        <v>-0.1600609756097561</v>
      </c>
      <c r="S224" s="902">
        <f t="shared" si="669"/>
        <v>-8.9928057553956817E-2</v>
      </c>
      <c r="T224" s="902">
        <f t="shared" si="669"/>
        <v>-0.11595022624434388</v>
      </c>
      <c r="U224" s="902">
        <f t="shared" si="669"/>
        <v>-9.3688362919132143E-2</v>
      </c>
      <c r="V224" s="902">
        <f>V223/V205</f>
        <v>-9.3750000000000014E-2</v>
      </c>
      <c r="W224" s="902">
        <f t="shared" si="669"/>
        <v>-9.3721144967682371E-2</v>
      </c>
      <c r="X224" s="902">
        <f t="shared" si="669"/>
        <v>-0.12026515151515152</v>
      </c>
      <c r="Y224" s="902">
        <f>Y223/Y205</f>
        <v>-0.11082693947144073</v>
      </c>
      <c r="Z224" s="902">
        <f t="shared" ref="Z224:AC224" si="670">Z223/Z205</f>
        <v>-0.11529834006280842</v>
      </c>
      <c r="AA224" s="902">
        <f t="shared" si="670"/>
        <v>-0.13116279069767442</v>
      </c>
      <c r="AB224" s="902">
        <f>AB223/AB205</f>
        <v>-0.12006446414182112</v>
      </c>
      <c r="AC224" s="905">
        <f t="shared" si="670"/>
        <v>-0.12521588946459414</v>
      </c>
      <c r="AD224" s="911">
        <f>AA224+0.3%</f>
        <v>-0.12816279069767442</v>
      </c>
      <c r="AE224" s="911">
        <f>AE223/AE205</f>
        <v>-0.11252394206325433</v>
      </c>
      <c r="AF224" s="911">
        <v>-0.12</v>
      </c>
      <c r="AG224" s="911">
        <f>AD224+0.5%</f>
        <v>-0.12316279069767441</v>
      </c>
      <c r="AH224" s="911">
        <f>AH223/AH205</f>
        <v>-0.10766248204130438</v>
      </c>
      <c r="AI224" s="911">
        <v>-0.115</v>
      </c>
      <c r="AJ224" s="911"/>
      <c r="AK224" s="911"/>
      <c r="AL224" s="911">
        <f>AI224-0.02%</f>
        <v>-0.11520000000000001</v>
      </c>
      <c r="AM224" s="911"/>
      <c r="AN224" s="911"/>
      <c r="AO224" s="911">
        <f>AL224</f>
        <v>-0.11520000000000001</v>
      </c>
      <c r="AP224" s="911"/>
      <c r="AQ224" s="911"/>
      <c r="AR224" s="911">
        <f t="shared" ref="AR224:BJ224" si="671">AO224</f>
        <v>-0.11520000000000001</v>
      </c>
      <c r="AS224" s="911">
        <f t="shared" si="671"/>
        <v>0</v>
      </c>
      <c r="AT224" s="911">
        <f t="shared" si="671"/>
        <v>0</v>
      </c>
      <c r="AU224" s="911">
        <f t="shared" si="671"/>
        <v>-0.11520000000000001</v>
      </c>
      <c r="AV224" s="911">
        <f t="shared" si="671"/>
        <v>0</v>
      </c>
      <c r="AW224" s="911">
        <f t="shared" si="671"/>
        <v>0</v>
      </c>
      <c r="AX224" s="911">
        <f t="shared" si="671"/>
        <v>-0.11520000000000001</v>
      </c>
      <c r="AY224" s="911">
        <f t="shared" si="671"/>
        <v>0</v>
      </c>
      <c r="AZ224" s="911">
        <f t="shared" si="671"/>
        <v>0</v>
      </c>
      <c r="BA224" s="911">
        <f t="shared" si="671"/>
        <v>-0.11520000000000001</v>
      </c>
      <c r="BB224" s="911">
        <f t="shared" si="671"/>
        <v>0</v>
      </c>
      <c r="BC224" s="911">
        <f t="shared" si="671"/>
        <v>0</v>
      </c>
      <c r="BD224" s="911">
        <f t="shared" si="671"/>
        <v>-0.11520000000000001</v>
      </c>
      <c r="BE224" s="911">
        <f t="shared" si="671"/>
        <v>0</v>
      </c>
      <c r="BF224" s="911">
        <f t="shared" si="671"/>
        <v>0</v>
      </c>
      <c r="BG224" s="911">
        <f t="shared" si="671"/>
        <v>-0.11520000000000001</v>
      </c>
      <c r="BH224" s="911">
        <f t="shared" si="671"/>
        <v>0</v>
      </c>
      <c r="BI224" s="911">
        <f t="shared" si="671"/>
        <v>0</v>
      </c>
      <c r="BJ224" s="911">
        <f t="shared" si="671"/>
        <v>-0.11520000000000001</v>
      </c>
      <c r="BK224" s="1068"/>
      <c r="BL224" s="838"/>
    </row>
    <row r="225" spans="2:65">
      <c r="B225" s="812" t="s">
        <v>819</v>
      </c>
      <c r="C225" s="1037"/>
      <c r="D225" s="830"/>
      <c r="E225" s="1037"/>
      <c r="F225" s="830"/>
      <c r="G225" s="830"/>
      <c r="H225" s="1037"/>
      <c r="I225" s="830"/>
      <c r="J225" s="1122"/>
      <c r="K225" s="1123"/>
      <c r="L225" s="1122"/>
      <c r="M225" s="1122"/>
      <c r="N225" s="1122"/>
      <c r="O225" s="1122"/>
      <c r="P225" s="1122"/>
      <c r="Q225" s="1122"/>
      <c r="R225" s="1122"/>
      <c r="S225" s="1122"/>
      <c r="T225" s="1122"/>
      <c r="U225" s="1122"/>
      <c r="V225" s="1122"/>
      <c r="W225" s="1122"/>
      <c r="X225" s="1122"/>
      <c r="Y225" s="1122"/>
      <c r="Z225" s="1037"/>
      <c r="AA225" s="1122"/>
      <c r="AB225" s="1122"/>
      <c r="AC225" s="1066"/>
      <c r="AD225" s="1122"/>
      <c r="AE225" s="1122"/>
      <c r="AF225" s="1037"/>
      <c r="AG225" s="1122"/>
      <c r="AH225" s="1122"/>
      <c r="AI225" s="1037"/>
      <c r="AJ225" s="1037"/>
      <c r="AK225" s="1037"/>
      <c r="AL225" s="1037"/>
      <c r="AM225" s="1037"/>
      <c r="AN225" s="1037"/>
      <c r="AO225" s="1037"/>
      <c r="AP225" s="1037"/>
      <c r="AQ225" s="1037"/>
      <c r="AR225" s="1037"/>
      <c r="AS225" s="1037"/>
      <c r="AT225" s="1037"/>
      <c r="AU225" s="1037"/>
      <c r="AV225" s="1037"/>
      <c r="AW225" s="1037"/>
      <c r="AX225" s="1037"/>
      <c r="AY225" s="1037"/>
      <c r="AZ225" s="1037"/>
      <c r="BA225" s="1037"/>
      <c r="BB225" s="1037"/>
      <c r="BC225" s="1037"/>
      <c r="BD225" s="1037"/>
      <c r="BE225" s="1037"/>
      <c r="BF225" s="1037"/>
      <c r="BG225" s="1037"/>
      <c r="BH225" s="1037"/>
      <c r="BI225" s="1037"/>
      <c r="BJ225" s="1037"/>
    </row>
    <row r="226" spans="2:65">
      <c r="B226" s="1112"/>
      <c r="C226" s="1037"/>
      <c r="D226" s="830"/>
      <c r="E226" s="1037"/>
      <c r="F226" s="830"/>
      <c r="G226" s="830"/>
      <c r="H226" s="1037"/>
      <c r="I226" s="830"/>
      <c r="J226" s="1122"/>
      <c r="K226" s="1123"/>
      <c r="L226" s="1122"/>
      <c r="M226" s="1122"/>
      <c r="N226" s="1122"/>
      <c r="O226" s="1122"/>
      <c r="P226" s="1122"/>
      <c r="Q226" s="1122"/>
      <c r="R226" s="1122"/>
      <c r="S226" s="1122"/>
      <c r="T226" s="1122"/>
      <c r="U226" s="1122"/>
      <c r="V226" s="1122"/>
      <c r="W226" s="1122"/>
      <c r="X226" s="1122"/>
      <c r="Y226" s="1122"/>
      <c r="Z226" s="1037"/>
      <c r="AA226" s="1122"/>
      <c r="AB226" s="1122"/>
      <c r="AC226" s="1066"/>
      <c r="AD226" s="1122"/>
      <c r="AE226" s="1122"/>
      <c r="AF226" s="1037"/>
      <c r="AG226" s="1122"/>
      <c r="AH226" s="1122"/>
      <c r="AI226" s="1037"/>
      <c r="AJ226" s="1037"/>
      <c r="AK226" s="1037"/>
      <c r="AL226" s="1037"/>
      <c r="AM226" s="1037"/>
      <c r="AN226" s="1037"/>
      <c r="AO226" s="1037"/>
      <c r="AP226" s="1037"/>
      <c r="AQ226" s="1037"/>
      <c r="AR226" s="1037"/>
      <c r="AS226" s="1037"/>
      <c r="AT226" s="1037"/>
      <c r="AU226" s="1037"/>
      <c r="AV226" s="1037"/>
      <c r="AW226" s="1037"/>
      <c r="AX226" s="1037"/>
      <c r="AY226" s="1037"/>
      <c r="AZ226" s="1037"/>
      <c r="BA226" s="1037"/>
      <c r="BB226" s="1037"/>
      <c r="BC226" s="1037"/>
      <c r="BD226" s="1037"/>
      <c r="BE226" s="1037"/>
      <c r="BF226" s="1037"/>
      <c r="BG226" s="1037"/>
      <c r="BH226" s="1037"/>
      <c r="BI226" s="1037"/>
      <c r="BJ226" s="1037"/>
    </row>
    <row r="227" spans="2:65" s="828" customFormat="1">
      <c r="B227" s="828" t="s">
        <v>70</v>
      </c>
      <c r="C227" s="1133">
        <v>-2</v>
      </c>
      <c r="D227" s="1134">
        <f>E227-C227</f>
        <v>4.3</v>
      </c>
      <c r="E227" s="1133">
        <f>H227</f>
        <v>2.2999999999999998</v>
      </c>
      <c r="F227" s="1134">
        <f>F293-F172</f>
        <v>-3.5</v>
      </c>
      <c r="G227" s="1134">
        <f>H227-F227</f>
        <v>5.8</v>
      </c>
      <c r="H227" s="1133">
        <f>-5.5+7.8</f>
        <v>2.2999999999999998</v>
      </c>
      <c r="I227" s="1134">
        <f>I287-I172</f>
        <v>-15.4</v>
      </c>
      <c r="J227" s="1134">
        <f>K227-I227</f>
        <v>28.4</v>
      </c>
      <c r="K227" s="1135">
        <f>15.4-2.4</f>
        <v>13</v>
      </c>
      <c r="L227" s="1134">
        <v>-8.6999999999999993</v>
      </c>
      <c r="M227" s="1134">
        <f>N227-L227</f>
        <v>16.399999999999999</v>
      </c>
      <c r="N227" s="1134">
        <f>N219+N223</f>
        <v>7.6999999999999993</v>
      </c>
      <c r="O227" s="1134">
        <f>O219+O223</f>
        <v>4.5</v>
      </c>
      <c r="P227" s="1134">
        <f>Q227-O227</f>
        <v>13.600000000000001</v>
      </c>
      <c r="Q227" s="1134">
        <f t="shared" ref="Q227:AU227" si="672">Q219+Q223</f>
        <v>18.100000000000001</v>
      </c>
      <c r="R227" s="1134">
        <f t="shared" si="672"/>
        <v>-0.80000000000000071</v>
      </c>
      <c r="S227" s="1134">
        <f t="shared" si="672"/>
        <v>20.8</v>
      </c>
      <c r="T227" s="1134">
        <f>T219+T223</f>
        <v>20</v>
      </c>
      <c r="U227" s="1134">
        <f>U219+U223</f>
        <v>16.5</v>
      </c>
      <c r="V227" s="1134">
        <f t="shared" ref="V227" si="673">V219+V223</f>
        <v>13.900000000000002</v>
      </c>
      <c r="W227" s="1134">
        <f t="shared" si="672"/>
        <v>30.400000000000002</v>
      </c>
      <c r="X227" s="1134">
        <f>X219+X223</f>
        <v>9.1999999999999993</v>
      </c>
      <c r="Y227" s="1134">
        <f t="shared" ref="Y227:Z227" si="674">Y219+Y223</f>
        <v>12.800000000000004</v>
      </c>
      <c r="Z227" s="1134">
        <f t="shared" si="674"/>
        <v>22.000000000000004</v>
      </c>
      <c r="AA227" s="1134">
        <f t="shared" si="672"/>
        <v>3.9000000000000004</v>
      </c>
      <c r="AB227" s="1134">
        <f t="shared" si="672"/>
        <v>10.399999999999997</v>
      </c>
      <c r="AC227" s="1136">
        <f t="shared" si="672"/>
        <v>14.299999999999997</v>
      </c>
      <c r="AD227" s="1134">
        <f t="shared" ref="AD227:AE227" si="675">AD219+AD223</f>
        <v>4.9455085858585885</v>
      </c>
      <c r="AE227" s="1134">
        <f t="shared" si="675"/>
        <v>12.337214415741402</v>
      </c>
      <c r="AF227" s="1134">
        <f t="shared" si="672"/>
        <v>17.28272300159999</v>
      </c>
      <c r="AG227" s="1134">
        <f t="shared" si="672"/>
        <v>5.3666012281818176</v>
      </c>
      <c r="AH227" s="1134">
        <f t="shared" si="672"/>
        <v>14.268979770901044</v>
      </c>
      <c r="AI227" s="1134">
        <f t="shared" si="672"/>
        <v>19.635580999082862</v>
      </c>
      <c r="AJ227" s="1134"/>
      <c r="AK227" s="1134"/>
      <c r="AL227" s="1134">
        <f t="shared" si="672"/>
        <v>20.997946850397238</v>
      </c>
      <c r="AM227" s="1134"/>
      <c r="AN227" s="1134"/>
      <c r="AO227" s="1134">
        <f t="shared" si="672"/>
        <v>22.109277663935075</v>
      </c>
      <c r="AP227" s="1134"/>
      <c r="AQ227" s="1134"/>
      <c r="AR227" s="1134">
        <f t="shared" si="672"/>
        <v>23.338180264861613</v>
      </c>
      <c r="AS227" s="1134"/>
      <c r="AT227" s="1134"/>
      <c r="AU227" s="1134">
        <f t="shared" si="672"/>
        <v>24.632584913102313</v>
      </c>
      <c r="AV227" s="1134"/>
      <c r="AW227" s="1134"/>
      <c r="AX227" s="1134">
        <f t="shared" ref="AX227:BA227" si="676">AX219+AX223</f>
        <v>25.743483240813319</v>
      </c>
      <c r="AY227" s="1134"/>
      <c r="AZ227" s="1134"/>
      <c r="BA227" s="1134">
        <f t="shared" si="676"/>
        <v>26.901518572835684</v>
      </c>
      <c r="BB227" s="1134"/>
      <c r="BC227" s="1134"/>
      <c r="BD227" s="1134">
        <f t="shared" ref="BD227:BG227" si="677">BD219+BD223</f>
        <v>28.108600440890484</v>
      </c>
      <c r="BE227" s="1134"/>
      <c r="BF227" s="1134"/>
      <c r="BG227" s="1134">
        <f t="shared" si="677"/>
        <v>29.366713005920559</v>
      </c>
      <c r="BH227" s="1134"/>
      <c r="BI227" s="1134"/>
      <c r="BJ227" s="1134">
        <f t="shared" ref="BJ227" si="678">BJ219+BJ223</f>
        <v>30.677917893113211</v>
      </c>
      <c r="BK227" s="810"/>
      <c r="BL227" s="811"/>
    </row>
    <row r="228" spans="2:65">
      <c r="B228" s="828" t="s">
        <v>496</v>
      </c>
      <c r="C228" s="1137"/>
      <c r="D228" s="1138"/>
      <c r="E228" s="1137"/>
      <c r="F228" s="852">
        <f t="shared" ref="F228:AU228" si="679">F227/F205</f>
        <v>-0.14583333333333334</v>
      </c>
      <c r="G228" s="852">
        <f t="shared" si="679"/>
        <v>0.10086956521739131</v>
      </c>
      <c r="H228" s="852">
        <f t="shared" si="679"/>
        <v>2.8220858895705518E-2</v>
      </c>
      <c r="I228" s="852">
        <f t="shared" si="679"/>
        <v>-0.22950819672131151</v>
      </c>
      <c r="J228" s="852">
        <f>J227/J205</f>
        <v>0.39609483960948383</v>
      </c>
      <c r="K228" s="988">
        <f t="shared" si="679"/>
        <v>9.3659942363112383E-2</v>
      </c>
      <c r="L228" s="852">
        <f t="shared" si="679"/>
        <v>-0.13082706766917293</v>
      </c>
      <c r="M228" s="852">
        <f t="shared" si="679"/>
        <v>0.25076452599388377</v>
      </c>
      <c r="N228" s="852">
        <f t="shared" si="679"/>
        <v>5.8377558756633807E-2</v>
      </c>
      <c r="O228" s="852">
        <f t="shared" si="679"/>
        <v>7.1428571428571425E-2</v>
      </c>
      <c r="P228" s="852">
        <f t="shared" si="679"/>
        <v>0.15044247787610621</v>
      </c>
      <c r="Q228" s="852">
        <f t="shared" si="679"/>
        <v>0.11799217731421122</v>
      </c>
      <c r="R228" s="852">
        <f t="shared" si="679"/>
        <v>-1.2195121951219525E-2</v>
      </c>
      <c r="S228" s="852">
        <f t="shared" si="679"/>
        <v>0.18705035971223019</v>
      </c>
      <c r="T228" s="852">
        <f t="shared" si="679"/>
        <v>0.11312217194570134</v>
      </c>
      <c r="U228" s="852">
        <f t="shared" si="679"/>
        <v>0.16272189349112426</v>
      </c>
      <c r="V228" s="852">
        <f t="shared" ref="V228" si="680">V227/V205</f>
        <v>0.12065972222222225</v>
      </c>
      <c r="W228" s="852">
        <f t="shared" si="679"/>
        <v>0.14035087719298248</v>
      </c>
      <c r="X228" s="852">
        <f t="shared" ref="X228" si="681">X227/X205</f>
        <v>8.7121212121212113E-2</v>
      </c>
      <c r="Y228" s="852">
        <f t="shared" ref="Y228" si="682">Y227/Y205</f>
        <v>0.10912190963341861</v>
      </c>
      <c r="Z228" s="852">
        <f>Z227/Z205</f>
        <v>9.8698968147151206E-2</v>
      </c>
      <c r="AA228" s="852">
        <f t="shared" si="679"/>
        <v>3.6279069767441864E-2</v>
      </c>
      <c r="AB228" s="852">
        <f t="shared" si="679"/>
        <v>8.3803384367445583E-2</v>
      </c>
      <c r="AC228" s="853">
        <f t="shared" si="679"/>
        <v>6.1744386873920545E-2</v>
      </c>
      <c r="AD228" s="852">
        <f t="shared" ref="AD228:AE228" si="683">AD227/AD205</f>
        <v>4.1279069767441876E-2</v>
      </c>
      <c r="AE228" s="852">
        <f t="shared" si="683"/>
        <v>9.4312672565374039E-2</v>
      </c>
      <c r="AF228" s="852">
        <f t="shared" si="679"/>
        <v>6.8960276338514634E-2</v>
      </c>
      <c r="AG228" s="852">
        <f t="shared" si="679"/>
        <v>4.327906976744185E-2</v>
      </c>
      <c r="AH228" s="852">
        <f t="shared" si="679"/>
        <v>0.10343845626227779</v>
      </c>
      <c r="AI228" s="852">
        <f t="shared" si="679"/>
        <v>7.4960276338514611E-2</v>
      </c>
      <c r="AJ228" s="852"/>
      <c r="AK228" s="852"/>
      <c r="AL228" s="852">
        <f t="shared" si="679"/>
        <v>7.5960276338514598E-2</v>
      </c>
      <c r="AM228" s="852"/>
      <c r="AN228" s="852"/>
      <c r="AO228" s="852">
        <f t="shared" si="679"/>
        <v>7.6160276338514618E-2</v>
      </c>
      <c r="AP228" s="852"/>
      <c r="AQ228" s="852"/>
      <c r="AR228" s="852">
        <f t="shared" si="679"/>
        <v>7.6560276338514616E-2</v>
      </c>
      <c r="AS228" s="852"/>
      <c r="AT228" s="852"/>
      <c r="AU228" s="852">
        <f t="shared" si="679"/>
        <v>7.6960276338514585E-2</v>
      </c>
      <c r="AV228" s="852"/>
      <c r="AW228" s="852"/>
      <c r="AX228" s="852">
        <f t="shared" ref="AX228:BA228" si="684">AX227/AX205</f>
        <v>7.7360276338514583E-2</v>
      </c>
      <c r="AY228" s="852"/>
      <c r="AZ228" s="852"/>
      <c r="BA228" s="852">
        <f t="shared" si="684"/>
        <v>7.7760276338514539E-2</v>
      </c>
      <c r="BB228" s="852"/>
      <c r="BC228" s="852"/>
      <c r="BD228" s="852">
        <f t="shared" ref="BD228:BG228" si="685">BD227/BD205</f>
        <v>7.8160276338514495E-2</v>
      </c>
      <c r="BE228" s="852"/>
      <c r="BF228" s="852"/>
      <c r="BG228" s="852">
        <f t="shared" si="685"/>
        <v>7.8560276338514493E-2</v>
      </c>
      <c r="BH228" s="852"/>
      <c r="BI228" s="852"/>
      <c r="BJ228" s="852">
        <f t="shared" ref="BJ228" si="686">BJ227/BJ205</f>
        <v>7.8960276338514476E-2</v>
      </c>
      <c r="BK228" s="1139"/>
      <c r="BM228" s="1140"/>
    </row>
    <row r="229" spans="2:65">
      <c r="B229" s="828" t="s">
        <v>806</v>
      </c>
      <c r="C229" s="1137"/>
      <c r="D229" s="1138"/>
      <c r="E229" s="1137"/>
      <c r="F229" s="1138"/>
      <c r="G229" s="1138"/>
      <c r="H229" s="1137"/>
      <c r="I229" s="1138"/>
      <c r="J229" s="1138"/>
      <c r="K229" s="988">
        <f>K227/H227-1</f>
        <v>4.6521739130434785</v>
      </c>
      <c r="L229" s="852"/>
      <c r="M229" s="852">
        <f>M227/J227-1</f>
        <v>-0.42253521126760563</v>
      </c>
      <c r="N229" s="852">
        <f>N227/K227-1</f>
        <v>-0.4076923076923078</v>
      </c>
      <c r="O229" s="852"/>
      <c r="P229" s="852">
        <f t="shared" ref="P229:Z229" si="687">P227/M227-1</f>
        <v>-0.17073170731707299</v>
      </c>
      <c r="Q229" s="852">
        <f t="shared" si="687"/>
        <v>1.3506493506493511</v>
      </c>
      <c r="R229" s="852">
        <f t="shared" si="687"/>
        <v>-1.177777777777778</v>
      </c>
      <c r="S229" s="852">
        <f t="shared" si="687"/>
        <v>0.52941176470588225</v>
      </c>
      <c r="T229" s="852">
        <f t="shared" si="687"/>
        <v>0.10497237569060758</v>
      </c>
      <c r="U229" s="852">
        <f t="shared" si="687"/>
        <v>-21.624999999999982</v>
      </c>
      <c r="V229" s="852">
        <f t="shared" si="687"/>
        <v>-0.33173076923076916</v>
      </c>
      <c r="W229" s="852">
        <f t="shared" si="687"/>
        <v>0.52</v>
      </c>
      <c r="X229" s="852">
        <f t="shared" si="687"/>
        <v>-0.4424242424242425</v>
      </c>
      <c r="Y229" s="852">
        <f t="shared" ref="Y229" si="688">Y227/V227-1</f>
        <v>-7.9136690647481855E-2</v>
      </c>
      <c r="Z229" s="852">
        <f t="shared" si="687"/>
        <v>-0.27631578947368418</v>
      </c>
      <c r="AA229" s="852">
        <f t="shared" ref="AA229:AB229" si="689">AA227/X227-1</f>
        <v>-0.57608695652173902</v>
      </c>
      <c r="AB229" s="852">
        <f t="shared" si="689"/>
        <v>-0.18750000000000056</v>
      </c>
      <c r="AC229" s="853">
        <f>AC227/Z227-1</f>
        <v>-0.3500000000000002</v>
      </c>
      <c r="AD229" s="852">
        <f t="shared" ref="AD229" si="690">AD227/AA227-1</f>
        <v>0.26807912457912519</v>
      </c>
      <c r="AE229" s="852">
        <f t="shared" ref="AE229" si="691">AE227/AB227-1</f>
        <v>0.186270616898212</v>
      </c>
      <c r="AF229" s="852">
        <f>AF227/AC227-1</f>
        <v>0.20858202808391568</v>
      </c>
      <c r="AG229" s="852">
        <f t="shared" ref="AG229" si="692">AG227/AD227-1</f>
        <v>8.5146478873238785E-2</v>
      </c>
      <c r="AH229" s="852">
        <f t="shared" ref="AH229" si="693">AH227/AE227-1</f>
        <v>0.15658035031756024</v>
      </c>
      <c r="AI229" s="852">
        <f>AI227/AF227-1</f>
        <v>0.13613931075936647</v>
      </c>
      <c r="AJ229" s="852"/>
      <c r="AK229" s="852"/>
      <c r="AL229" s="852">
        <f>AL227/AI227-1</f>
        <v>6.938250777392363E-2</v>
      </c>
      <c r="AM229" s="852"/>
      <c r="AN229" s="852"/>
      <c r="AO229" s="852">
        <f>AO227/AL227-1</f>
        <v>5.2925689423621636E-2</v>
      </c>
      <c r="AP229" s="852"/>
      <c r="AQ229" s="852"/>
      <c r="AR229" s="852">
        <f>AR227/AO227-1</f>
        <v>5.5583118526352449E-2</v>
      </c>
      <c r="AS229" s="852"/>
      <c r="AT229" s="852"/>
      <c r="AU229" s="852">
        <f>AU227/AR227-1</f>
        <v>5.5462963845110957E-2</v>
      </c>
      <c r="AV229" s="852"/>
      <c r="AW229" s="852"/>
      <c r="AX229" s="852">
        <f>AX227/AU227-1</f>
        <v>4.509873127931896E-2</v>
      </c>
      <c r="AY229" s="852"/>
      <c r="AZ229" s="852"/>
      <c r="BA229" s="852">
        <f>BA227/AX227-1</f>
        <v>4.4983630272162678E-2</v>
      </c>
      <c r="BB229" s="852"/>
      <c r="BC229" s="852"/>
      <c r="BD229" s="852">
        <f>BD227/BA227-1</f>
        <v>4.4870398850779925E-2</v>
      </c>
      <c r="BE229" s="852"/>
      <c r="BF229" s="852"/>
      <c r="BG229" s="852">
        <f>BG227/BD227-1</f>
        <v>4.4758989963792573E-2</v>
      </c>
      <c r="BH229" s="852"/>
      <c r="BI229" s="852"/>
      <c r="BJ229" s="852">
        <f t="shared" ref="BJ229" si="694">BJ227/BG227-1</f>
        <v>4.4649358167129671E-2</v>
      </c>
    </row>
    <row r="230" spans="2:65">
      <c r="B230" s="828"/>
      <c r="C230" s="1137"/>
      <c r="D230" s="1138"/>
      <c r="E230" s="1137"/>
      <c r="F230" s="1138"/>
      <c r="G230" s="1138"/>
      <c r="H230" s="1137"/>
      <c r="I230" s="1138"/>
      <c r="J230" s="1138"/>
      <c r="K230" s="1038"/>
      <c r="L230" s="1138"/>
      <c r="M230" s="830"/>
      <c r="N230" s="1037"/>
      <c r="O230" s="1037"/>
      <c r="P230" s="1037"/>
      <c r="Q230" s="1037"/>
      <c r="R230" s="1037"/>
      <c r="S230" s="1037"/>
      <c r="T230" s="1037"/>
      <c r="U230" s="830"/>
      <c r="V230" s="830"/>
      <c r="W230" s="1037"/>
      <c r="X230" s="830"/>
      <c r="Y230" s="830"/>
      <c r="Z230" s="1037"/>
      <c r="AA230" s="830"/>
      <c r="AB230" s="830"/>
      <c r="AC230" s="1066"/>
      <c r="AD230" s="830"/>
      <c r="AE230" s="830"/>
      <c r="AF230" s="1037"/>
      <c r="AG230" s="830"/>
      <c r="AH230" s="830"/>
      <c r="AI230" s="1037"/>
      <c r="AJ230" s="1037"/>
      <c r="AK230" s="1037"/>
      <c r="AL230" s="1037"/>
      <c r="AM230" s="1037"/>
      <c r="AN230" s="1037"/>
      <c r="AO230" s="1037"/>
      <c r="AP230" s="1037"/>
      <c r="AQ230" s="1037"/>
      <c r="AR230" s="1037"/>
      <c r="AS230" s="1037"/>
      <c r="AT230" s="1037"/>
      <c r="AU230" s="1037"/>
      <c r="AV230" s="1037"/>
      <c r="AW230" s="1037"/>
      <c r="AX230" s="1037"/>
      <c r="AY230" s="1037"/>
      <c r="AZ230" s="1037"/>
      <c r="BA230" s="1037"/>
      <c r="BB230" s="1037"/>
      <c r="BC230" s="1037"/>
      <c r="BD230" s="1037"/>
      <c r="BE230" s="1037"/>
      <c r="BF230" s="1037"/>
      <c r="BG230" s="1037"/>
      <c r="BH230" s="1037"/>
      <c r="BI230" s="1037"/>
      <c r="BJ230" s="1037"/>
    </row>
    <row r="231" spans="2:65">
      <c r="B231" s="812" t="s">
        <v>252</v>
      </c>
      <c r="C231" s="1141">
        <v>53</v>
      </c>
      <c r="D231" s="1142">
        <v>17</v>
      </c>
      <c r="E231" s="1142">
        <v>53</v>
      </c>
      <c r="F231" s="1142">
        <f>E233</f>
        <v>15</v>
      </c>
      <c r="G231" s="1142">
        <f>F233</f>
        <v>15</v>
      </c>
      <c r="H231" s="1142">
        <f>E233</f>
        <v>15</v>
      </c>
      <c r="I231" s="1142">
        <f>H233</f>
        <v>63</v>
      </c>
      <c r="J231" s="1142">
        <f>I233</f>
        <v>68</v>
      </c>
      <c r="K231" s="1143">
        <f>H233</f>
        <v>63</v>
      </c>
      <c r="L231" s="1142">
        <f>K233</f>
        <v>70</v>
      </c>
      <c r="M231" s="1142">
        <f>L233</f>
        <v>73</v>
      </c>
      <c r="N231" s="1142">
        <f>K233</f>
        <v>70</v>
      </c>
      <c r="O231" s="1142">
        <f>N233</f>
        <v>72</v>
      </c>
      <c r="P231" s="1142">
        <f>O233</f>
        <v>72</v>
      </c>
      <c r="Q231" s="1142">
        <f>N233</f>
        <v>72</v>
      </c>
      <c r="R231" s="1142">
        <f>Q233</f>
        <v>76</v>
      </c>
      <c r="S231" s="1142">
        <f>R233</f>
        <v>82</v>
      </c>
      <c r="T231" s="1142">
        <f>Q233</f>
        <v>76</v>
      </c>
      <c r="U231" s="1142">
        <f>T233</f>
        <v>85</v>
      </c>
      <c r="V231" s="1142">
        <f>U233</f>
        <v>87</v>
      </c>
      <c r="W231" s="1142">
        <f>T233</f>
        <v>85</v>
      </c>
      <c r="X231" s="1142">
        <f>W233</f>
        <v>89</v>
      </c>
      <c r="Y231" s="1142">
        <f>X233</f>
        <v>93</v>
      </c>
      <c r="Z231" s="1142">
        <f>W233</f>
        <v>89</v>
      </c>
      <c r="AA231" s="1142">
        <f>Z233</f>
        <v>97</v>
      </c>
      <c r="AB231" s="1142">
        <f>AA233</f>
        <v>101</v>
      </c>
      <c r="AC231" s="1142">
        <f>Z233</f>
        <v>97</v>
      </c>
      <c r="AD231" s="1142">
        <f>AC233</f>
        <v>103</v>
      </c>
      <c r="AE231" s="1142">
        <f>AD233</f>
        <v>103</v>
      </c>
      <c r="AF231" s="1142">
        <f>AC233</f>
        <v>103</v>
      </c>
      <c r="AG231" s="1142">
        <f>AF233</f>
        <v>103</v>
      </c>
      <c r="AH231" s="1142">
        <f>AG233</f>
        <v>104</v>
      </c>
      <c r="AI231" s="1142">
        <f>AF233</f>
        <v>103</v>
      </c>
      <c r="AJ231" s="1142"/>
      <c r="AK231" s="1142"/>
      <c r="AL231" s="1142">
        <f>AI233</f>
        <v>105</v>
      </c>
      <c r="AM231" s="1142"/>
      <c r="AN231" s="1142"/>
      <c r="AO231" s="1142">
        <f>AL233</f>
        <v>106</v>
      </c>
      <c r="AP231" s="1142"/>
      <c r="AQ231" s="1142"/>
      <c r="AR231" s="1142">
        <f>AO233</f>
        <v>107</v>
      </c>
      <c r="AS231" s="1142"/>
      <c r="AT231" s="1142"/>
      <c r="AU231" s="1142">
        <f>AR233</f>
        <v>108</v>
      </c>
      <c r="AV231" s="1142"/>
      <c r="AW231" s="1142"/>
      <c r="AX231" s="1142">
        <f>AU233</f>
        <v>109</v>
      </c>
      <c r="AY231" s="1142"/>
      <c r="AZ231" s="1142"/>
      <c r="BA231" s="1142">
        <f>AX233</f>
        <v>110</v>
      </c>
      <c r="BB231" s="1142"/>
      <c r="BC231" s="1142"/>
      <c r="BD231" s="1142">
        <f>BA233</f>
        <v>111</v>
      </c>
      <c r="BE231" s="1142"/>
      <c r="BF231" s="1142"/>
      <c r="BG231" s="1142">
        <f>BD233</f>
        <v>112</v>
      </c>
      <c r="BH231" s="1142"/>
      <c r="BI231" s="1142"/>
      <c r="BJ231" s="1142">
        <f t="shared" ref="BJ231" si="695">BG233</f>
        <v>113</v>
      </c>
    </row>
    <row r="232" spans="2:65">
      <c r="B232" s="812" t="s">
        <v>253</v>
      </c>
      <c r="C232" s="932">
        <v>-36</v>
      </c>
      <c r="D232" s="899">
        <v>-2</v>
      </c>
      <c r="E232" s="932">
        <v>-38</v>
      </c>
      <c r="F232" s="932">
        <v>0</v>
      </c>
      <c r="G232" s="899">
        <f>H232-F232</f>
        <v>48</v>
      </c>
      <c r="H232" s="899">
        <f>H233-H231</f>
        <v>48</v>
      </c>
      <c r="I232" s="931">
        <v>5</v>
      </c>
      <c r="J232" s="899">
        <f>K232-I232</f>
        <v>2</v>
      </c>
      <c r="K232" s="1047">
        <v>7</v>
      </c>
      <c r="L232" s="931">
        <f>3</f>
        <v>3</v>
      </c>
      <c r="M232" s="899">
        <f>N232-L232</f>
        <v>-1</v>
      </c>
      <c r="N232" s="933">
        <f>3-1</f>
        <v>2</v>
      </c>
      <c r="O232" s="933">
        <v>0</v>
      </c>
      <c r="P232" s="933">
        <f>Q232-O232</f>
        <v>2</v>
      </c>
      <c r="Q232" s="933">
        <f>3-1</f>
        <v>2</v>
      </c>
      <c r="R232" s="933">
        <v>6</v>
      </c>
      <c r="S232" s="933">
        <f>T232-R232</f>
        <v>3</v>
      </c>
      <c r="T232" s="933">
        <v>9</v>
      </c>
      <c r="U232" s="931">
        <v>2</v>
      </c>
      <c r="V232" s="899">
        <f>W232-U232</f>
        <v>2</v>
      </c>
      <c r="W232" s="933">
        <v>4</v>
      </c>
      <c r="X232" s="931">
        <v>4</v>
      </c>
      <c r="Y232" s="899">
        <f>Z232-X232</f>
        <v>4</v>
      </c>
      <c r="Z232" s="933">
        <v>8</v>
      </c>
      <c r="AA232" s="931">
        <v>4</v>
      </c>
      <c r="AB232" s="899">
        <f>AC232-AA232</f>
        <v>2</v>
      </c>
      <c r="AC232" s="1358">
        <v>6</v>
      </c>
      <c r="AD232" s="932">
        <v>0</v>
      </c>
      <c r="AE232" s="932">
        <f>AF232-AD232</f>
        <v>0</v>
      </c>
      <c r="AF232" s="1087">
        <v>0</v>
      </c>
      <c r="AG232" s="932">
        <v>1</v>
      </c>
      <c r="AH232" s="932">
        <f>AI232-AG232</f>
        <v>1</v>
      </c>
      <c r="AI232" s="1087">
        <v>2</v>
      </c>
      <c r="AJ232" s="1087"/>
      <c r="AK232" s="1087"/>
      <c r="AL232" s="1087">
        <v>1</v>
      </c>
      <c r="AM232" s="1087"/>
      <c r="AN232" s="1087"/>
      <c r="AO232" s="1087">
        <v>1</v>
      </c>
      <c r="AP232" s="1087"/>
      <c r="AQ232" s="1087"/>
      <c r="AR232" s="1087">
        <v>1</v>
      </c>
      <c r="AS232" s="1087"/>
      <c r="AT232" s="1087"/>
      <c r="AU232" s="1087">
        <v>1</v>
      </c>
      <c r="AV232" s="1087"/>
      <c r="AW232" s="1087"/>
      <c r="AX232" s="1087">
        <v>1</v>
      </c>
      <c r="AY232" s="1087"/>
      <c r="AZ232" s="1087"/>
      <c r="BA232" s="1087">
        <v>1</v>
      </c>
      <c r="BB232" s="1087"/>
      <c r="BC232" s="1087"/>
      <c r="BD232" s="1087">
        <v>1</v>
      </c>
      <c r="BE232" s="1087"/>
      <c r="BF232" s="1087"/>
      <c r="BG232" s="1087">
        <v>1</v>
      </c>
      <c r="BH232" s="1087"/>
      <c r="BI232" s="1087"/>
      <c r="BJ232" s="1087">
        <v>1</v>
      </c>
    </row>
    <row r="233" spans="2:65" s="828" customFormat="1">
      <c r="B233" s="828" t="s">
        <v>180</v>
      </c>
      <c r="C233" s="887">
        <v>17</v>
      </c>
      <c r="D233" s="887">
        <v>15</v>
      </c>
      <c r="E233" s="887">
        <v>15</v>
      </c>
      <c r="F233" s="887">
        <f>E233+F232</f>
        <v>15</v>
      </c>
      <c r="G233" s="887">
        <f>G232+F233</f>
        <v>63</v>
      </c>
      <c r="H233" s="1105">
        <f>54+9</f>
        <v>63</v>
      </c>
      <c r="I233" s="938">
        <f>I231+I232</f>
        <v>68</v>
      </c>
      <c r="J233" s="887">
        <f>J232+I233</f>
        <v>70</v>
      </c>
      <c r="K233" s="1144">
        <f>H233+K232</f>
        <v>70</v>
      </c>
      <c r="L233" s="938">
        <f>L231+L232</f>
        <v>73</v>
      </c>
      <c r="M233" s="887">
        <f>M232+L233</f>
        <v>72</v>
      </c>
      <c r="N233" s="938">
        <f>K233+N232</f>
        <v>72</v>
      </c>
      <c r="O233" s="938">
        <v>72</v>
      </c>
      <c r="P233" s="938">
        <f>P232+O233</f>
        <v>74</v>
      </c>
      <c r="Q233" s="938">
        <v>76</v>
      </c>
      <c r="R233" s="938">
        <f>Q233+R232</f>
        <v>82</v>
      </c>
      <c r="S233" s="938">
        <f>S232+R233</f>
        <v>85</v>
      </c>
      <c r="T233" s="938">
        <f>Q233+T232</f>
        <v>85</v>
      </c>
      <c r="U233" s="887">
        <f>T233+U232</f>
        <v>87</v>
      </c>
      <c r="V233" s="887">
        <f>V232+U233</f>
        <v>89</v>
      </c>
      <c r="W233" s="938">
        <f>T233+W232</f>
        <v>89</v>
      </c>
      <c r="X233" s="887">
        <f>W233+X232</f>
        <v>93</v>
      </c>
      <c r="Y233" s="887">
        <f>Y232+X233</f>
        <v>97</v>
      </c>
      <c r="Z233" s="887">
        <f>W233+Z232</f>
        <v>97</v>
      </c>
      <c r="AA233" s="887">
        <f>Z233+AA232</f>
        <v>101</v>
      </c>
      <c r="AB233" s="887">
        <f>AB232+AA233</f>
        <v>103</v>
      </c>
      <c r="AC233" s="889">
        <f>Z233+AC232</f>
        <v>103</v>
      </c>
      <c r="AD233" s="887">
        <f>AC233+AD232</f>
        <v>103</v>
      </c>
      <c r="AE233" s="887">
        <f>AE232+AD233</f>
        <v>103</v>
      </c>
      <c r="AF233" s="887">
        <f>AC233+AF232</f>
        <v>103</v>
      </c>
      <c r="AG233" s="887">
        <f>AF233+AG232</f>
        <v>104</v>
      </c>
      <c r="AH233" s="887">
        <f>AH232+AG233</f>
        <v>105</v>
      </c>
      <c r="AI233" s="887">
        <f>AF233+AI232</f>
        <v>105</v>
      </c>
      <c r="AJ233" s="887"/>
      <c r="AK233" s="887"/>
      <c r="AL233" s="887">
        <f>AI233+AL232</f>
        <v>106</v>
      </c>
      <c r="AM233" s="887"/>
      <c r="AN233" s="887"/>
      <c r="AO233" s="887">
        <f>AL233+AO232</f>
        <v>107</v>
      </c>
      <c r="AP233" s="887"/>
      <c r="AQ233" s="887"/>
      <c r="AR233" s="887">
        <f>AO233+AR232</f>
        <v>108</v>
      </c>
      <c r="AS233" s="887"/>
      <c r="AT233" s="887"/>
      <c r="AU233" s="887">
        <f>AR233+AU232</f>
        <v>109</v>
      </c>
      <c r="AV233" s="887"/>
      <c r="AW233" s="887"/>
      <c r="AX233" s="887">
        <f>AU233+AX232</f>
        <v>110</v>
      </c>
      <c r="AY233" s="887"/>
      <c r="AZ233" s="887"/>
      <c r="BA233" s="887">
        <f>AX233+BA232</f>
        <v>111</v>
      </c>
      <c r="BB233" s="887"/>
      <c r="BC233" s="887"/>
      <c r="BD233" s="887">
        <f>BA233+BD232</f>
        <v>112</v>
      </c>
      <c r="BE233" s="887"/>
      <c r="BF233" s="887"/>
      <c r="BG233" s="887">
        <f>BD233+BG232</f>
        <v>113</v>
      </c>
      <c r="BH233" s="887"/>
      <c r="BI233" s="887"/>
      <c r="BJ233" s="887">
        <f t="shared" ref="BJ233" si="696">BG233+BJ232</f>
        <v>114</v>
      </c>
      <c r="BK233" s="810"/>
      <c r="BL233" s="811"/>
    </row>
    <row r="234" spans="2:65" s="828" customFormat="1">
      <c r="C234" s="887"/>
      <c r="D234" s="887"/>
      <c r="E234" s="887"/>
      <c r="F234" s="887"/>
      <c r="G234" s="887"/>
      <c r="H234" s="1105"/>
      <c r="I234" s="938"/>
      <c r="J234" s="887"/>
      <c r="K234" s="1144"/>
      <c r="L234" s="938"/>
      <c r="M234" s="887"/>
      <c r="N234" s="938"/>
      <c r="O234" s="938"/>
      <c r="P234" s="938"/>
      <c r="Q234" s="938"/>
      <c r="R234" s="938"/>
      <c r="S234" s="938"/>
      <c r="T234" s="938"/>
      <c r="U234" s="887"/>
      <c r="V234" s="887"/>
      <c r="W234" s="938"/>
      <c r="X234" s="887"/>
      <c r="Y234" s="887"/>
      <c r="Z234" s="887"/>
      <c r="AA234" s="887"/>
      <c r="AB234" s="887"/>
      <c r="AC234" s="889"/>
      <c r="AD234" s="887"/>
      <c r="AE234" s="887"/>
      <c r="AF234" s="887"/>
      <c r="AG234" s="887"/>
      <c r="AH234" s="887"/>
      <c r="AI234" s="887"/>
      <c r="AJ234" s="887"/>
      <c r="AK234" s="887"/>
      <c r="AL234" s="887"/>
      <c r="AM234" s="887"/>
      <c r="AN234" s="887"/>
      <c r="AO234" s="887"/>
      <c r="AP234" s="887"/>
      <c r="AQ234" s="887"/>
      <c r="AR234" s="887"/>
      <c r="AS234" s="887"/>
      <c r="AT234" s="887"/>
      <c r="AU234" s="887"/>
      <c r="AV234" s="887"/>
      <c r="AW234" s="887"/>
      <c r="AX234" s="887"/>
      <c r="AY234" s="887"/>
      <c r="AZ234" s="887"/>
      <c r="BA234" s="887"/>
      <c r="BB234" s="887"/>
      <c r="BC234" s="887"/>
      <c r="BD234" s="887"/>
      <c r="BE234" s="887"/>
      <c r="BF234" s="887"/>
      <c r="BG234" s="887"/>
      <c r="BH234" s="887"/>
      <c r="BI234" s="887"/>
      <c r="BJ234" s="887"/>
      <c r="BK234" s="810"/>
      <c r="BL234" s="811"/>
    </row>
    <row r="235" spans="2:65" s="828" customFormat="1">
      <c r="B235" s="812" t="s">
        <v>661</v>
      </c>
      <c r="E235" s="1145">
        <f>H235/(1+H236)</f>
        <v>5.3618421052631584</v>
      </c>
      <c r="F235" s="1145"/>
      <c r="G235" s="973"/>
      <c r="H235" s="973">
        <f>H237*H205</f>
        <v>8.15</v>
      </c>
      <c r="I235" s="1020">
        <f>L235/(1+L236)</f>
        <v>5.1968503937007871</v>
      </c>
      <c r="J235" s="973">
        <f>K235-I235</f>
        <v>6.8250075297964798</v>
      </c>
      <c r="K235" s="1146">
        <f>N235/(1+N236)</f>
        <v>12.021857923497267</v>
      </c>
      <c r="L235" s="1020">
        <v>6.6</v>
      </c>
      <c r="M235" s="973">
        <f>N235-L235</f>
        <v>15.4</v>
      </c>
      <c r="N235" s="1020">
        <v>22</v>
      </c>
      <c r="O235" s="1020">
        <v>12.8</v>
      </c>
      <c r="P235" s="1020">
        <f>Q235-O235</f>
        <v>17.2</v>
      </c>
      <c r="Q235" s="1020">
        <v>30</v>
      </c>
      <c r="R235" s="1020">
        <v>19</v>
      </c>
      <c r="S235" s="1020">
        <f>T235-R235</f>
        <v>22</v>
      </c>
      <c r="T235" s="1020">
        <v>41</v>
      </c>
      <c r="U235" s="975">
        <v>19</v>
      </c>
      <c r="V235" s="973">
        <f>W235-U235</f>
        <v>20</v>
      </c>
      <c r="W235" s="1020">
        <v>39</v>
      </c>
      <c r="X235" s="975">
        <v>19</v>
      </c>
      <c r="Y235" s="973">
        <f>Z235-X235</f>
        <v>20</v>
      </c>
      <c r="Z235" s="1147">
        <v>39</v>
      </c>
      <c r="AA235" s="975">
        <v>20</v>
      </c>
      <c r="AB235" s="973">
        <f>AC235-AA235</f>
        <v>22</v>
      </c>
      <c r="AC235" s="1377">
        <v>42</v>
      </c>
      <c r="AD235" s="979">
        <f>AF235*0.5</f>
        <v>22.470000000000002</v>
      </c>
      <c r="AE235" s="973">
        <f>AF235-AD235</f>
        <v>22.470000000000002</v>
      </c>
      <c r="AF235" s="973">
        <f>AC235*(1+AF236)</f>
        <v>44.940000000000005</v>
      </c>
      <c r="AG235" s="979">
        <f>AI235*0.5</f>
        <v>23.593500000000002</v>
      </c>
      <c r="AH235" s="973">
        <f>AI235-AG235</f>
        <v>23.593500000000002</v>
      </c>
      <c r="AI235" s="973">
        <f>AF235*(1+AI236)</f>
        <v>47.187000000000005</v>
      </c>
      <c r="AJ235" s="973"/>
      <c r="AK235" s="973"/>
      <c r="AL235" s="973">
        <f>AI235*(1+AL236)</f>
        <v>49.546350000000004</v>
      </c>
      <c r="AM235" s="973"/>
      <c r="AN235" s="973"/>
      <c r="AO235" s="973">
        <f>AL235*(1+AO236)</f>
        <v>52.023667500000009</v>
      </c>
      <c r="AP235" s="973"/>
      <c r="AQ235" s="973"/>
      <c r="AR235" s="973">
        <f>AO235*(1+AR236)</f>
        <v>54.624850875000014</v>
      </c>
      <c r="AS235" s="973"/>
      <c r="AT235" s="973"/>
      <c r="AU235" s="973">
        <f>AR235*(1+AU236)</f>
        <v>57.356093418750014</v>
      </c>
      <c r="AV235" s="973"/>
      <c r="AW235" s="973"/>
      <c r="AX235" s="973">
        <f>AU235*(1+AX236)</f>
        <v>60.223898089687516</v>
      </c>
      <c r="AY235" s="973"/>
      <c r="AZ235" s="973"/>
      <c r="BA235" s="973">
        <f>AX235*(1+BA236)</f>
        <v>63.235092994171893</v>
      </c>
      <c r="BB235" s="973"/>
      <c r="BC235" s="973"/>
      <c r="BD235" s="973">
        <f>BA235*(1+BD236)</f>
        <v>66.396847643880491</v>
      </c>
      <c r="BE235" s="973"/>
      <c r="BF235" s="973"/>
      <c r="BG235" s="973">
        <f>BD235*(1+BG236)</f>
        <v>69.716690026074517</v>
      </c>
      <c r="BH235" s="973"/>
      <c r="BI235" s="973"/>
      <c r="BJ235" s="973">
        <f t="shared" ref="BJ235" si="697">BG235*(1+BJ236)</f>
        <v>73.202524527378245</v>
      </c>
      <c r="BK235" s="873"/>
      <c r="BL235" s="992"/>
    </row>
    <row r="236" spans="2:65" s="828" customFormat="1">
      <c r="B236" s="812" t="s">
        <v>663</v>
      </c>
      <c r="G236" s="834"/>
      <c r="H236" s="947">
        <v>0.52</v>
      </c>
      <c r="I236" s="947"/>
      <c r="J236" s="834"/>
      <c r="K236" s="1089"/>
      <c r="L236" s="947">
        <v>0.27</v>
      </c>
      <c r="M236" s="944">
        <f>M235/J235-1</f>
        <v>1.2564077669902916</v>
      </c>
      <c r="N236" s="944">
        <v>0.83</v>
      </c>
      <c r="O236" s="944">
        <f>O235/L235-1</f>
        <v>0.93939393939393967</v>
      </c>
      <c r="P236" s="944">
        <f>P235/M235-1</f>
        <v>0.11688311688311681</v>
      </c>
      <c r="Q236" s="944">
        <v>0.38</v>
      </c>
      <c r="R236" s="944">
        <f>R235/O235-1</f>
        <v>0.484375</v>
      </c>
      <c r="S236" s="944">
        <f>S235/P235-1</f>
        <v>0.27906976744186052</v>
      </c>
      <c r="T236" s="944">
        <v>0.35</v>
      </c>
      <c r="U236" s="944">
        <f t="shared" ref="U236:AC236" si="698">U235/R235-1</f>
        <v>0</v>
      </c>
      <c r="V236" s="944">
        <f t="shared" si="698"/>
        <v>-9.0909090909090939E-2</v>
      </c>
      <c r="W236" s="944">
        <f t="shared" si="698"/>
        <v>-4.8780487804878092E-2</v>
      </c>
      <c r="X236" s="947">
        <f t="shared" si="698"/>
        <v>0</v>
      </c>
      <c r="Y236" s="944">
        <f t="shared" si="698"/>
        <v>0</v>
      </c>
      <c r="Z236" s="852">
        <f t="shared" si="698"/>
        <v>0</v>
      </c>
      <c r="AA236" s="944">
        <f t="shared" si="698"/>
        <v>5.2631578947368363E-2</v>
      </c>
      <c r="AB236" s="944">
        <f t="shared" si="698"/>
        <v>0.10000000000000009</v>
      </c>
      <c r="AC236" s="853">
        <f t="shared" si="698"/>
        <v>7.6923076923076872E-2</v>
      </c>
      <c r="AD236" s="1148">
        <f>AD235/AA235-1</f>
        <v>0.12350000000000017</v>
      </c>
      <c r="AE236" s="1148">
        <f>AE235/AB235-1</f>
        <v>2.1363636363636473E-2</v>
      </c>
      <c r="AF236" s="957">
        <v>7.0000000000000007E-2</v>
      </c>
      <c r="AG236" s="1148">
        <f>AG235/AD235-1</f>
        <v>5.0000000000000044E-2</v>
      </c>
      <c r="AH236" s="1148">
        <f>AH235/AE235-1</f>
        <v>5.0000000000000044E-2</v>
      </c>
      <c r="AI236" s="957">
        <v>0.05</v>
      </c>
      <c r="AJ236" s="957"/>
      <c r="AK236" s="957"/>
      <c r="AL236" s="957">
        <v>0.05</v>
      </c>
      <c r="AM236" s="957"/>
      <c r="AN236" s="957"/>
      <c r="AO236" s="957">
        <v>0.05</v>
      </c>
      <c r="AP236" s="957"/>
      <c r="AQ236" s="957"/>
      <c r="AR236" s="957">
        <v>0.05</v>
      </c>
      <c r="AS236" s="957"/>
      <c r="AT236" s="957"/>
      <c r="AU236" s="957">
        <v>0.05</v>
      </c>
      <c r="AV236" s="957"/>
      <c r="AW236" s="957"/>
      <c r="AX236" s="957">
        <v>0.05</v>
      </c>
      <c r="AY236" s="957"/>
      <c r="AZ236" s="957"/>
      <c r="BA236" s="957">
        <v>0.05</v>
      </c>
      <c r="BB236" s="957"/>
      <c r="BC236" s="957"/>
      <c r="BD236" s="957">
        <v>0.05</v>
      </c>
      <c r="BE236" s="957"/>
      <c r="BF236" s="957"/>
      <c r="BG236" s="957">
        <v>0.05</v>
      </c>
      <c r="BH236" s="957"/>
      <c r="BI236" s="957"/>
      <c r="BJ236" s="957">
        <v>0.05</v>
      </c>
      <c r="BK236" s="873"/>
      <c r="BL236" s="992"/>
    </row>
    <row r="237" spans="2:65" s="828" customFormat="1">
      <c r="B237" s="812" t="s">
        <v>662</v>
      </c>
      <c r="E237" s="944">
        <f>E235/E205</f>
        <v>7.3349413204694375E-2</v>
      </c>
      <c r="G237" s="834"/>
      <c r="H237" s="947">
        <v>0.1</v>
      </c>
      <c r="I237" s="944">
        <f t="shared" ref="I237:AU237" si="699">I235/I205</f>
        <v>7.7449335226539309E-2</v>
      </c>
      <c r="J237" s="944">
        <f t="shared" si="699"/>
        <v>9.5188389536910431E-2</v>
      </c>
      <c r="K237" s="1089">
        <f t="shared" si="699"/>
        <v>8.6612809247098452E-2</v>
      </c>
      <c r="L237" s="944">
        <f t="shared" si="699"/>
        <v>9.9248120300751877E-2</v>
      </c>
      <c r="M237" s="944">
        <f t="shared" si="699"/>
        <v>0.23547400611620795</v>
      </c>
      <c r="N237" s="944">
        <f t="shared" si="699"/>
        <v>0.16679302501895374</v>
      </c>
      <c r="O237" s="944">
        <f t="shared" si="699"/>
        <v>0.20317460317460317</v>
      </c>
      <c r="P237" s="944">
        <f t="shared" si="699"/>
        <v>0.19026548672566371</v>
      </c>
      <c r="Q237" s="944">
        <f t="shared" si="699"/>
        <v>0.19556714471968709</v>
      </c>
      <c r="R237" s="944">
        <f t="shared" si="699"/>
        <v>0.28963414634146345</v>
      </c>
      <c r="S237" s="944">
        <f t="shared" si="699"/>
        <v>0.197841726618705</v>
      </c>
      <c r="T237" s="944">
        <f t="shared" si="699"/>
        <v>0.23190045248868776</v>
      </c>
      <c r="U237" s="944">
        <f t="shared" si="699"/>
        <v>0.18737672583826429</v>
      </c>
      <c r="V237" s="944">
        <f t="shared" ref="V237" si="700">V235/V205</f>
        <v>0.17361111111111113</v>
      </c>
      <c r="W237" s="944">
        <f t="shared" si="699"/>
        <v>0.18005540166204986</v>
      </c>
      <c r="X237" s="944">
        <f t="shared" ref="X237" si="701">X235/X205</f>
        <v>0.17992424242424243</v>
      </c>
      <c r="Y237" s="944">
        <f t="shared" ref="Y237:Z237" si="702">Y235/Y205</f>
        <v>0.17050298380221651</v>
      </c>
      <c r="Z237" s="852">
        <f t="shared" si="702"/>
        <v>0.17496635262449528</v>
      </c>
      <c r="AA237" s="944">
        <f t="shared" si="699"/>
        <v>0.18604651162790697</v>
      </c>
      <c r="AB237" s="944">
        <f t="shared" si="699"/>
        <v>0.17727639000805803</v>
      </c>
      <c r="AC237" s="853">
        <f t="shared" si="699"/>
        <v>0.18134715025906736</v>
      </c>
      <c r="AD237" s="944">
        <f t="shared" ref="AD237:AE237" si="703">AD235/AD205</f>
        <v>0.18755213575539451</v>
      </c>
      <c r="AE237" s="944">
        <f t="shared" si="703"/>
        <v>0.1717734393786656</v>
      </c>
      <c r="AF237" s="944">
        <f t="shared" si="699"/>
        <v>0.17931635069114651</v>
      </c>
      <c r="AG237" s="944">
        <f t="shared" si="699"/>
        <v>0.19027028265040022</v>
      </c>
      <c r="AH237" s="944">
        <f t="shared" si="699"/>
        <v>0.17103361676922069</v>
      </c>
      <c r="AI237" s="944">
        <f t="shared" si="699"/>
        <v>0.18013984713519313</v>
      </c>
      <c r="AJ237" s="944"/>
      <c r="AK237" s="944"/>
      <c r="AL237" s="944">
        <f t="shared" si="699"/>
        <v>0.17923440155262438</v>
      </c>
      <c r="AM237" s="944"/>
      <c r="AN237" s="944"/>
      <c r="AO237" s="944">
        <f t="shared" si="699"/>
        <v>0.17920698057929269</v>
      </c>
      <c r="AP237" s="944"/>
      <c r="AQ237" s="944"/>
      <c r="AR237" s="944">
        <f t="shared" si="699"/>
        <v>0.17919536272657849</v>
      </c>
      <c r="AS237" s="944"/>
      <c r="AT237" s="944"/>
      <c r="AU237" s="944">
        <f t="shared" si="699"/>
        <v>0.17919925232275294</v>
      </c>
      <c r="AV237" s="944"/>
      <c r="AW237" s="944"/>
      <c r="AX237" s="944">
        <f t="shared" ref="AX237:BA237" si="704">AX235/AX205</f>
        <v>0.18097540860416897</v>
      </c>
      <c r="AY237" s="944"/>
      <c r="AZ237" s="944"/>
      <c r="BA237" s="944">
        <f t="shared" si="704"/>
        <v>0.18278441390604933</v>
      </c>
      <c r="BB237" s="944"/>
      <c r="BC237" s="944"/>
      <c r="BD237" s="944">
        <f t="shared" ref="BD237:BG237" si="705">BD235/BD205</f>
        <v>0.18462662240210553</v>
      </c>
      <c r="BE237" s="944"/>
      <c r="BF237" s="944"/>
      <c r="BG237" s="944">
        <f t="shared" si="705"/>
        <v>0.18650239925560522</v>
      </c>
      <c r="BH237" s="944"/>
      <c r="BI237" s="944"/>
      <c r="BJ237" s="944">
        <f t="shared" ref="BJ237" si="706">BJ235/BJ205</f>
        <v>0.18841212058450107</v>
      </c>
      <c r="BK237" s="873"/>
      <c r="BL237" s="992"/>
    </row>
    <row r="238" spans="2:65" s="828" customFormat="1">
      <c r="B238" s="812"/>
      <c r="E238" s="944"/>
      <c r="G238" s="834"/>
      <c r="H238" s="947"/>
      <c r="I238" s="944"/>
      <c r="J238" s="944"/>
      <c r="K238" s="1089"/>
      <c r="L238" s="944"/>
      <c r="M238" s="944"/>
      <c r="N238" s="944"/>
      <c r="O238" s="944"/>
      <c r="P238" s="944"/>
      <c r="Q238" s="944"/>
      <c r="R238" s="944"/>
      <c r="S238" s="944"/>
      <c r="T238" s="944"/>
      <c r="U238" s="845"/>
      <c r="V238" s="834"/>
      <c r="W238" s="944"/>
      <c r="X238" s="845"/>
      <c r="Y238" s="834"/>
      <c r="Z238" s="944"/>
      <c r="AA238" s="845"/>
      <c r="AB238" s="834"/>
      <c r="AC238" s="989"/>
      <c r="AD238" s="845"/>
      <c r="AE238" s="834"/>
      <c r="AF238" s="944"/>
      <c r="AG238" s="845"/>
      <c r="AH238" s="834"/>
      <c r="AI238" s="944"/>
      <c r="AJ238" s="944"/>
      <c r="AK238" s="944"/>
      <c r="AL238" s="944"/>
      <c r="AM238" s="944"/>
      <c r="AN238" s="944"/>
      <c r="AO238" s="944"/>
      <c r="AP238" s="944"/>
      <c r="AQ238" s="944"/>
      <c r="AR238" s="944"/>
      <c r="AS238" s="944"/>
      <c r="AT238" s="944"/>
      <c r="AU238" s="944"/>
      <c r="AV238" s="944"/>
      <c r="AW238" s="944"/>
      <c r="AX238" s="944"/>
      <c r="AY238" s="944"/>
      <c r="AZ238" s="944"/>
      <c r="BA238" s="944"/>
      <c r="BB238" s="944"/>
      <c r="BC238" s="944"/>
      <c r="BD238" s="944"/>
      <c r="BE238" s="944"/>
      <c r="BF238" s="944"/>
      <c r="BG238" s="944"/>
      <c r="BH238" s="944"/>
      <c r="BI238" s="944"/>
      <c r="BJ238" s="944"/>
      <c r="BK238" s="873"/>
      <c r="BL238" s="992"/>
    </row>
    <row r="239" spans="2:65" s="1145" customFormat="1">
      <c r="B239" s="1017" t="s">
        <v>805</v>
      </c>
      <c r="E239" s="973">
        <f t="shared" ref="E239:AU239" si="707">E205-E235</f>
        <v>67.73815789473683</v>
      </c>
      <c r="F239" s="1145">
        <f t="shared" si="707"/>
        <v>24</v>
      </c>
      <c r="G239" s="973">
        <f t="shared" si="707"/>
        <v>57.5</v>
      </c>
      <c r="H239" s="1020">
        <f t="shared" si="707"/>
        <v>73.349999999999994</v>
      </c>
      <c r="I239" s="973">
        <f t="shared" si="707"/>
        <v>61.903149606299209</v>
      </c>
      <c r="J239" s="973">
        <f t="shared" si="707"/>
        <v>64.874992470203537</v>
      </c>
      <c r="K239" s="1019">
        <f t="shared" si="707"/>
        <v>126.77814207650275</v>
      </c>
      <c r="L239" s="973">
        <f t="shared" si="707"/>
        <v>59.9</v>
      </c>
      <c r="M239" s="973">
        <f t="shared" si="707"/>
        <v>50.000000000000007</v>
      </c>
      <c r="N239" s="973">
        <f t="shared" si="707"/>
        <v>109.9</v>
      </c>
      <c r="O239" s="973">
        <f t="shared" si="707"/>
        <v>50.2</v>
      </c>
      <c r="P239" s="973">
        <f t="shared" si="707"/>
        <v>73.2</v>
      </c>
      <c r="Q239" s="973">
        <f t="shared" si="707"/>
        <v>123.4</v>
      </c>
      <c r="R239" s="973">
        <f t="shared" si="707"/>
        <v>46.599999999999994</v>
      </c>
      <c r="S239" s="973">
        <f t="shared" si="707"/>
        <v>89.200000000000017</v>
      </c>
      <c r="T239" s="973">
        <f t="shared" si="707"/>
        <v>135.80000000000001</v>
      </c>
      <c r="U239" s="979">
        <f t="shared" si="707"/>
        <v>82.4</v>
      </c>
      <c r="V239" s="973">
        <f t="shared" ref="V239" si="708">V205-V235</f>
        <v>95.199999999999989</v>
      </c>
      <c r="W239" s="973">
        <f t="shared" si="707"/>
        <v>177.6</v>
      </c>
      <c r="X239" s="979">
        <f t="shared" ref="X239" si="709">X205-X235</f>
        <v>86.6</v>
      </c>
      <c r="Y239" s="973">
        <f t="shared" ref="Y239:Z239" si="710">Y205-Y235</f>
        <v>97.300000000000011</v>
      </c>
      <c r="Z239" s="973">
        <f t="shared" si="710"/>
        <v>183.9</v>
      </c>
      <c r="AA239" s="973">
        <f t="shared" si="707"/>
        <v>87.5</v>
      </c>
      <c r="AB239" s="973">
        <f t="shared" si="707"/>
        <v>102.1</v>
      </c>
      <c r="AC239" s="1027">
        <f t="shared" si="707"/>
        <v>189.6</v>
      </c>
      <c r="AD239" s="979">
        <f t="shared" ref="AD239:AE239" si="711">AD205-AD235</f>
        <v>97.336686868686883</v>
      </c>
      <c r="AE239" s="973">
        <f t="shared" si="711"/>
        <v>108.34184193131313</v>
      </c>
      <c r="AF239" s="973">
        <f t="shared" si="707"/>
        <v>205.67852880000001</v>
      </c>
      <c r="AG239" s="979">
        <f t="shared" si="707"/>
        <v>100.40642090909093</v>
      </c>
      <c r="AH239" s="973">
        <f t="shared" si="707"/>
        <v>114.35306539266907</v>
      </c>
      <c r="AI239" s="973">
        <f t="shared" si="707"/>
        <v>214.75948630175998</v>
      </c>
      <c r="AJ239" s="973"/>
      <c r="AK239" s="973"/>
      <c r="AL239" s="973">
        <f t="shared" si="707"/>
        <v>226.8869104165438</v>
      </c>
      <c r="AM239" s="973"/>
      <c r="AN239" s="973"/>
      <c r="AO239" s="973">
        <f t="shared" si="707"/>
        <v>238.27566867447112</v>
      </c>
      <c r="AP239" s="973"/>
      <c r="AQ239" s="973"/>
      <c r="AR239" s="973">
        <f t="shared" si="707"/>
        <v>250.20921426957742</v>
      </c>
      <c r="AS239" s="973"/>
      <c r="AT239" s="973"/>
      <c r="AU239" s="973">
        <f t="shared" si="707"/>
        <v>262.71272760203675</v>
      </c>
      <c r="AV239" s="973"/>
      <c r="AW239" s="973"/>
      <c r="AX239" s="973">
        <f t="shared" ref="AX239:BA239" si="712">AX205-AX235</f>
        <v>272.55003265694648</v>
      </c>
      <c r="AY239" s="973"/>
      <c r="AZ239" s="973"/>
      <c r="BA239" s="973">
        <f t="shared" si="712"/>
        <v>282.7194205382267</v>
      </c>
      <c r="BB239" s="973"/>
      <c r="BC239" s="973"/>
      <c r="BD239" s="973">
        <f t="shared" ref="BD239:BG239" si="713">BD205-BD235</f>
        <v>293.23085273874472</v>
      </c>
      <c r="BE239" s="973"/>
      <c r="BF239" s="973"/>
      <c r="BG239" s="973">
        <f t="shared" si="713"/>
        <v>304.09453333800894</v>
      </c>
      <c r="BH239" s="973"/>
      <c r="BI239" s="973"/>
      <c r="BJ239" s="973">
        <f t="shared" ref="BJ239" si="714">BJ205-BJ235</f>
        <v>315.32091175838661</v>
      </c>
      <c r="BK239" s="1149"/>
      <c r="BL239" s="1023"/>
    </row>
    <row r="240" spans="2:65" s="1150" customFormat="1">
      <c r="B240" s="832" t="s">
        <v>806</v>
      </c>
      <c r="E240" s="1034"/>
      <c r="G240" s="1034"/>
      <c r="H240" s="1007">
        <f t="shared" ref="H240:Z240" si="715">H239/E239-1</f>
        <v>8.2846098560634074E-2</v>
      </c>
      <c r="I240" s="1034">
        <f t="shared" si="715"/>
        <v>1.5792979002624672</v>
      </c>
      <c r="J240" s="1034">
        <f t="shared" si="715"/>
        <v>0.12826073861223541</v>
      </c>
      <c r="K240" s="1035">
        <f t="shared" si="715"/>
        <v>0.72840002830951267</v>
      </c>
      <c r="L240" s="1034">
        <f t="shared" si="715"/>
        <v>-3.2359413358433842E-2</v>
      </c>
      <c r="M240" s="1034">
        <f t="shared" si="715"/>
        <v>-0.22928700110501699</v>
      </c>
      <c r="N240" s="1034">
        <f t="shared" si="715"/>
        <v>-0.13313132532197725</v>
      </c>
      <c r="O240" s="1034">
        <f t="shared" si="715"/>
        <v>-0.16193656093489139</v>
      </c>
      <c r="P240" s="1034">
        <f t="shared" si="715"/>
        <v>0.46399999999999975</v>
      </c>
      <c r="Q240" s="1034">
        <f t="shared" si="715"/>
        <v>0.12283894449499555</v>
      </c>
      <c r="R240" s="1034">
        <f t="shared" si="715"/>
        <v>-7.1713147410358724E-2</v>
      </c>
      <c r="S240" s="1034">
        <f t="shared" si="715"/>
        <v>0.21857923497267784</v>
      </c>
      <c r="T240" s="1034">
        <f t="shared" si="715"/>
        <v>0.10048622366288495</v>
      </c>
      <c r="U240" s="1151">
        <f t="shared" si="715"/>
        <v>0.76824034334763991</v>
      </c>
      <c r="V240" s="1034">
        <f t="shared" si="715"/>
        <v>6.726457399103114E-2</v>
      </c>
      <c r="W240" s="1034">
        <f t="shared" si="715"/>
        <v>0.30780559646539007</v>
      </c>
      <c r="X240" s="1151">
        <f t="shared" si="715"/>
        <v>5.0970873786407633E-2</v>
      </c>
      <c r="Y240" s="1034">
        <f t="shared" ref="Y240" si="716">Y239/V239-1</f>
        <v>2.2058823529411908E-2</v>
      </c>
      <c r="Z240" s="1034">
        <f t="shared" si="715"/>
        <v>3.5472972972973027E-2</v>
      </c>
      <c r="AA240" s="1034">
        <f t="shared" ref="AA240:AB240" si="717">AA239/X239-1</f>
        <v>1.0392609699769073E-2</v>
      </c>
      <c r="AB240" s="1034">
        <f t="shared" si="717"/>
        <v>4.9331963001027601E-2</v>
      </c>
      <c r="AC240" s="1152">
        <f>AC239/Z239-1</f>
        <v>3.0995106035889064E-2</v>
      </c>
      <c r="AD240" s="1151">
        <f t="shared" ref="AD240" si="718">AD239/AA239-1</f>
        <v>0.11241927849927857</v>
      </c>
      <c r="AE240" s="1034">
        <f t="shared" ref="AE240" si="719">AE239/AB239-1</f>
        <v>6.1134592863008264E-2</v>
      </c>
      <c r="AF240" s="1034">
        <f>AF239/AC239-1</f>
        <v>8.4802367088607777E-2</v>
      </c>
      <c r="AG240" s="1151">
        <f t="shared" ref="AG240" si="720">AG239/AD239-1</f>
        <v>3.1537276839361805E-2</v>
      </c>
      <c r="AH240" s="1034">
        <f t="shared" ref="AH240" si="721">AH239/AE239-1</f>
        <v>5.5483858813910159E-2</v>
      </c>
      <c r="AI240" s="1034">
        <f>AI239/AF239-1</f>
        <v>4.4151217702408818E-2</v>
      </c>
      <c r="AJ240" s="1034"/>
      <c r="AK240" s="1034"/>
      <c r="AL240" s="1034">
        <f>AL239/AI239-1</f>
        <v>5.6469794762609382E-2</v>
      </c>
      <c r="AM240" s="1034"/>
      <c r="AN240" s="1034"/>
      <c r="AO240" s="1034">
        <f>AO239/AL239-1</f>
        <v>5.0195748344488367E-2</v>
      </c>
      <c r="AP240" s="1034"/>
      <c r="AQ240" s="1034"/>
      <c r="AR240" s="1034">
        <f>AR239/AO239-1</f>
        <v>5.0082938226519991E-2</v>
      </c>
      <c r="AS240" s="1034"/>
      <c r="AT240" s="1034"/>
      <c r="AU240" s="1034">
        <f>AU239/AR239-1</f>
        <v>4.9972233712336278E-2</v>
      </c>
      <c r="AV240" s="1034"/>
      <c r="AW240" s="1034"/>
      <c r="AX240" s="1034">
        <f>AX239/AU239-1</f>
        <v>3.7445102659097396E-2</v>
      </c>
      <c r="AY240" s="1034"/>
      <c r="AZ240" s="1034"/>
      <c r="BA240" s="1034">
        <f>BA239/AX239-1</f>
        <v>3.7312003899409696E-2</v>
      </c>
      <c r="BB240" s="1034"/>
      <c r="BC240" s="1034"/>
      <c r="BD240" s="1034">
        <f>BD239/BA239-1</f>
        <v>3.717973169479083E-2</v>
      </c>
      <c r="BE240" s="1034"/>
      <c r="BF240" s="1034"/>
      <c r="BG240" s="1034">
        <f>BG239/BD239-1</f>
        <v>3.7048218145528056E-2</v>
      </c>
      <c r="BH240" s="1034"/>
      <c r="BI240" s="1034"/>
      <c r="BJ240" s="1034">
        <f t="shared" ref="BJ240" si="722">BJ239/BG239-1</f>
        <v>3.691739636733038E-2</v>
      </c>
      <c r="BK240" s="873"/>
      <c r="BL240" s="992"/>
    </row>
    <row r="241" spans="2:64" s="828" customFormat="1">
      <c r="B241" s="812"/>
      <c r="E241" s="944"/>
      <c r="G241" s="834"/>
      <c r="H241" s="947"/>
      <c r="I241" s="944"/>
      <c r="J241" s="944"/>
      <c r="K241" s="1089"/>
      <c r="L241" s="944"/>
      <c r="M241" s="944"/>
      <c r="N241" s="944"/>
      <c r="O241" s="944"/>
      <c r="P241" s="944"/>
      <c r="Q241" s="944"/>
      <c r="R241" s="944"/>
      <c r="S241" s="944"/>
      <c r="T241" s="944"/>
      <c r="U241" s="845"/>
      <c r="V241" s="834"/>
      <c r="W241" s="944"/>
      <c r="X241" s="845"/>
      <c r="Y241" s="834"/>
      <c r="Z241" s="944"/>
      <c r="AA241" s="845"/>
      <c r="AB241" s="834"/>
      <c r="AC241" s="989"/>
      <c r="AD241" s="845"/>
      <c r="AE241" s="834"/>
      <c r="AF241" s="944"/>
      <c r="AG241" s="845"/>
      <c r="AH241" s="834"/>
      <c r="AI241" s="944"/>
      <c r="AJ241" s="944"/>
      <c r="AK241" s="944"/>
      <c r="AL241" s="944"/>
      <c r="AM241" s="944"/>
      <c r="AN241" s="944"/>
      <c r="AO241" s="944"/>
      <c r="AP241" s="944"/>
      <c r="AQ241" s="944"/>
      <c r="AR241" s="944"/>
      <c r="AS241" s="944"/>
      <c r="AT241" s="944"/>
      <c r="AU241" s="944"/>
      <c r="AV241" s="944"/>
      <c r="AW241" s="944"/>
      <c r="AX241" s="944"/>
      <c r="AY241" s="944"/>
      <c r="AZ241" s="944"/>
      <c r="BA241" s="944"/>
      <c r="BB241" s="944"/>
      <c r="BC241" s="944"/>
      <c r="BD241" s="944"/>
      <c r="BE241" s="944"/>
      <c r="BF241" s="944"/>
      <c r="BG241" s="944"/>
      <c r="BH241" s="944"/>
      <c r="BI241" s="944"/>
      <c r="BJ241" s="944"/>
      <c r="BK241" s="873"/>
      <c r="BL241" s="992"/>
    </row>
    <row r="242" spans="2:64" s="1024" customFormat="1">
      <c r="B242" s="1017" t="s">
        <v>263</v>
      </c>
      <c r="C242" s="973"/>
      <c r="D242" s="973"/>
      <c r="E242" s="973"/>
      <c r="F242" s="1018"/>
      <c r="G242" s="973"/>
      <c r="H242" s="973"/>
      <c r="I242" s="1018"/>
      <c r="J242" s="973"/>
      <c r="K242" s="1019"/>
      <c r="L242" s="1018"/>
      <c r="M242" s="973"/>
      <c r="N242" s="1020">
        <v>42.4</v>
      </c>
      <c r="O242" s="1020"/>
      <c r="P242" s="1020"/>
      <c r="Q242" s="1020">
        <v>43.6</v>
      </c>
      <c r="R242" s="1020"/>
      <c r="S242" s="1020"/>
      <c r="T242" s="1020">
        <v>56.1</v>
      </c>
      <c r="U242" s="1020">
        <v>53</v>
      </c>
      <c r="V242" s="1020"/>
      <c r="W242" s="1020">
        <v>61.1</v>
      </c>
      <c r="X242" s="1020"/>
      <c r="Y242" s="1020"/>
      <c r="Z242" s="1020">
        <v>64.400000000000006</v>
      </c>
      <c r="AA242" s="1020">
        <v>74.599999999999994</v>
      </c>
      <c r="AB242" s="1020"/>
      <c r="AC242" s="1021">
        <v>78.900000000000006</v>
      </c>
      <c r="AD242" s="973"/>
      <c r="AE242" s="973"/>
      <c r="AF242" s="973"/>
      <c r="AG242" s="973"/>
      <c r="AH242" s="973"/>
      <c r="AI242" s="973"/>
      <c r="AJ242" s="973"/>
      <c r="AK242" s="973"/>
      <c r="AL242" s="973"/>
      <c r="AM242" s="973"/>
      <c r="AN242" s="973"/>
      <c r="AO242" s="973"/>
      <c r="AP242" s="973"/>
      <c r="AQ242" s="973"/>
      <c r="AR242" s="973"/>
      <c r="AS242" s="973"/>
      <c r="AT242" s="973"/>
      <c r="AU242" s="973"/>
      <c r="AV242" s="973"/>
      <c r="AW242" s="973"/>
      <c r="AX242" s="973"/>
      <c r="AY242" s="973"/>
      <c r="AZ242" s="973"/>
      <c r="BA242" s="973"/>
      <c r="BB242" s="973"/>
      <c r="BC242" s="973"/>
      <c r="BD242" s="973"/>
      <c r="BE242" s="973"/>
      <c r="BF242" s="973"/>
      <c r="BG242" s="973"/>
      <c r="BH242" s="973"/>
      <c r="BI242" s="973"/>
      <c r="BJ242" s="973"/>
      <c r="BK242" s="1022"/>
      <c r="BL242" s="1023"/>
    </row>
    <row r="243" spans="2:64" s="1024" customFormat="1">
      <c r="B243" s="1017" t="s">
        <v>799</v>
      </c>
      <c r="C243" s="973"/>
      <c r="D243" s="973"/>
      <c r="E243" s="973"/>
      <c r="F243" s="1018"/>
      <c r="G243" s="973"/>
      <c r="H243" s="973"/>
      <c r="I243" s="1018"/>
      <c r="J243" s="973"/>
      <c r="K243" s="1019"/>
      <c r="L243" s="1018"/>
      <c r="M243" s="973"/>
      <c r="N243" s="1025">
        <v>-5.7</v>
      </c>
      <c r="O243" s="1094"/>
      <c r="P243" s="1025"/>
      <c r="Q243" s="1025">
        <v>-5.7</v>
      </c>
      <c r="R243" s="1025"/>
      <c r="S243" s="1025"/>
      <c r="T243" s="1025">
        <v>-8.9</v>
      </c>
      <c r="U243" s="1025"/>
      <c r="V243" s="973"/>
      <c r="W243" s="1025">
        <v>-7.6</v>
      </c>
      <c r="X243" s="1025"/>
      <c r="Y243" s="1094"/>
      <c r="Z243" s="1025">
        <v>-6.4</v>
      </c>
      <c r="AA243" s="973">
        <v>-14.1</v>
      </c>
      <c r="AB243" s="1094"/>
      <c r="AC243" s="1026">
        <v>-6.3</v>
      </c>
      <c r="AD243" s="973"/>
      <c r="AE243" s="973"/>
      <c r="AF243" s="973"/>
      <c r="AG243" s="973"/>
      <c r="AH243" s="973"/>
      <c r="AI243" s="973"/>
      <c r="AJ243" s="973"/>
      <c r="AK243" s="973"/>
      <c r="AL243" s="973"/>
      <c r="AM243" s="973"/>
      <c r="AN243" s="973"/>
      <c r="AO243" s="973"/>
      <c r="AP243" s="973"/>
      <c r="AQ243" s="973"/>
      <c r="AR243" s="973"/>
      <c r="AS243" s="973"/>
      <c r="AT243" s="973"/>
      <c r="AU243" s="973"/>
      <c r="AV243" s="973"/>
      <c r="AW243" s="973"/>
      <c r="AX243" s="973"/>
      <c r="AY243" s="973"/>
      <c r="AZ243" s="973"/>
      <c r="BA243" s="973"/>
      <c r="BB243" s="973"/>
      <c r="BC243" s="973"/>
      <c r="BD243" s="973"/>
      <c r="BE243" s="973"/>
      <c r="BF243" s="973"/>
      <c r="BG243" s="973"/>
      <c r="BH243" s="973"/>
      <c r="BI243" s="973"/>
      <c r="BJ243" s="973"/>
      <c r="BK243" s="1022"/>
      <c r="BL243" s="1023"/>
    </row>
    <row r="244" spans="2:64" s="1145" customFormat="1">
      <c r="B244" s="1153" t="s">
        <v>800</v>
      </c>
      <c r="C244" s="979"/>
      <c r="D244" s="979"/>
      <c r="E244" s="979"/>
      <c r="F244" s="976"/>
      <c r="G244" s="979"/>
      <c r="H244" s="979"/>
      <c r="I244" s="976"/>
      <c r="J244" s="979"/>
      <c r="K244" s="1154"/>
      <c r="L244" s="976"/>
      <c r="M244" s="979"/>
      <c r="N244" s="979">
        <f>SUM(N242:N243)</f>
        <v>36.699999999999996</v>
      </c>
      <c r="O244" s="979"/>
      <c r="P244" s="979"/>
      <c r="Q244" s="979">
        <f>SUM(Q242:Q243)</f>
        <v>37.9</v>
      </c>
      <c r="R244" s="979"/>
      <c r="S244" s="979"/>
      <c r="T244" s="979">
        <f>SUM(T242:T243)</f>
        <v>47.2</v>
      </c>
      <c r="U244" s="979"/>
      <c r="V244" s="979"/>
      <c r="W244" s="979">
        <f>SUM(W242:W243)</f>
        <v>53.5</v>
      </c>
      <c r="X244" s="979"/>
      <c r="Y244" s="979"/>
      <c r="Z244" s="979">
        <f>SUM(Z242:Z243)</f>
        <v>58.000000000000007</v>
      </c>
      <c r="AA244" s="979">
        <f>SUM(AA242:AA243)</f>
        <v>60.499999999999993</v>
      </c>
      <c r="AB244" s="979"/>
      <c r="AC244" s="1095">
        <f>SUM(AC242:AC243)</f>
        <v>72.600000000000009</v>
      </c>
      <c r="AD244" s="979"/>
      <c r="AE244" s="979"/>
      <c r="AF244" s="979"/>
      <c r="AG244" s="979"/>
      <c r="AH244" s="979"/>
      <c r="AI244" s="979"/>
      <c r="AJ244" s="979"/>
      <c r="AK244" s="979"/>
      <c r="AL244" s="979"/>
      <c r="AM244" s="979"/>
      <c r="AN244" s="979"/>
      <c r="AO244" s="979"/>
      <c r="AP244" s="979"/>
      <c r="AQ244" s="979"/>
      <c r="AR244" s="979"/>
      <c r="AS244" s="979"/>
      <c r="AT244" s="979"/>
      <c r="AU244" s="979"/>
      <c r="AV244" s="979"/>
      <c r="AW244" s="979"/>
      <c r="AX244" s="979"/>
      <c r="AY244" s="979"/>
      <c r="AZ244" s="979"/>
      <c r="BA244" s="979"/>
      <c r="BB244" s="979"/>
      <c r="BC244" s="979"/>
      <c r="BD244" s="979"/>
      <c r="BE244" s="979"/>
      <c r="BF244" s="979"/>
      <c r="BG244" s="979"/>
      <c r="BH244" s="979"/>
      <c r="BI244" s="979"/>
      <c r="BJ244" s="979"/>
      <c r="BK244" s="1022"/>
      <c r="BL244" s="1023"/>
    </row>
    <row r="245" spans="2:64" s="1145" customFormat="1">
      <c r="B245" s="1153" t="s">
        <v>802</v>
      </c>
      <c r="C245" s="979"/>
      <c r="D245" s="979"/>
      <c r="E245" s="979"/>
      <c r="F245" s="976"/>
      <c r="G245" s="979"/>
      <c r="H245" s="979"/>
      <c r="I245" s="976"/>
      <c r="J245" s="979"/>
      <c r="K245" s="1154"/>
      <c r="L245" s="976"/>
      <c r="M245" s="979"/>
      <c r="N245" s="979">
        <f>N242/(N205-N212)*365</f>
        <v>200.22408122815145</v>
      </c>
      <c r="O245" s="979"/>
      <c r="P245" s="979"/>
      <c r="Q245" s="979">
        <f>Q242/(Q205-Q212)*365</f>
        <v>178.5574033889329</v>
      </c>
      <c r="R245" s="979"/>
      <c r="S245" s="979"/>
      <c r="T245" s="979">
        <f>T242/(T205-T212)*365</f>
        <v>196.6337991380436</v>
      </c>
      <c r="U245" s="979"/>
      <c r="V245" s="979"/>
      <c r="W245" s="979">
        <f>W242/(W205-W212)*365</f>
        <v>179.0637922036212</v>
      </c>
      <c r="X245" s="979"/>
      <c r="Y245" s="979"/>
      <c r="Z245" s="979">
        <f>Z242/(Z205-Z212)*365</f>
        <v>180.14240032199709</v>
      </c>
      <c r="AA245" s="979">
        <f>AA242/(AA205-AA212)*365/2</f>
        <v>227.20938576947785</v>
      </c>
      <c r="AB245" s="979"/>
      <c r="AC245" s="1095">
        <f>AC242/(AC205-AC212)*365</f>
        <v>213.24962257293745</v>
      </c>
      <c r="AD245" s="979"/>
      <c r="AE245" s="979"/>
      <c r="AF245" s="979"/>
      <c r="AG245" s="979"/>
      <c r="AH245" s="979"/>
      <c r="AI245" s="979"/>
      <c r="AJ245" s="979"/>
      <c r="AK245" s="979"/>
      <c r="AL245" s="979"/>
      <c r="AM245" s="979"/>
      <c r="AN245" s="979"/>
      <c r="AO245" s="979"/>
      <c r="AP245" s="979"/>
      <c r="AQ245" s="979"/>
      <c r="AR245" s="979"/>
      <c r="AS245" s="979"/>
      <c r="AT245" s="979"/>
      <c r="AU245" s="979"/>
      <c r="AV245" s="979"/>
      <c r="AW245" s="979"/>
      <c r="AX245" s="979"/>
      <c r="AY245" s="979"/>
      <c r="AZ245" s="979"/>
      <c r="BA245" s="979"/>
      <c r="BB245" s="979"/>
      <c r="BC245" s="979"/>
      <c r="BD245" s="979"/>
      <c r="BE245" s="979"/>
      <c r="BF245" s="979"/>
      <c r="BG245" s="979"/>
      <c r="BH245" s="979"/>
      <c r="BI245" s="979"/>
      <c r="BJ245" s="979"/>
      <c r="BK245" s="1022"/>
      <c r="BL245" s="1023"/>
    </row>
    <row r="246" spans="2:64">
      <c r="C246" s="902"/>
      <c r="D246" s="902"/>
      <c r="E246" s="902"/>
      <c r="F246" s="902"/>
      <c r="G246" s="902"/>
      <c r="H246" s="902"/>
      <c r="I246" s="902"/>
      <c r="J246" s="902"/>
      <c r="K246" s="904"/>
      <c r="L246" s="902"/>
      <c r="M246" s="902"/>
      <c r="N246" s="902"/>
      <c r="O246" s="902"/>
      <c r="P246" s="902"/>
      <c r="Q246" s="902"/>
      <c r="R246" s="902"/>
      <c r="S246" s="902"/>
      <c r="T246" s="902"/>
      <c r="U246" s="902"/>
      <c r="V246" s="902"/>
      <c r="W246" s="902"/>
      <c r="X246" s="902"/>
      <c r="Y246" s="902"/>
      <c r="Z246" s="902"/>
      <c r="AA246" s="902"/>
      <c r="AB246" s="902"/>
      <c r="AC246" s="905"/>
      <c r="AD246" s="902"/>
      <c r="AE246" s="902"/>
      <c r="AF246" s="902"/>
      <c r="AG246" s="902"/>
      <c r="AH246" s="902"/>
      <c r="AI246" s="902"/>
      <c r="AJ246" s="902"/>
      <c r="AK246" s="902"/>
      <c r="AL246" s="902"/>
      <c r="AM246" s="902"/>
      <c r="AN246" s="902"/>
      <c r="AO246" s="902"/>
      <c r="AP246" s="902"/>
      <c r="AQ246" s="902"/>
      <c r="AR246" s="902"/>
      <c r="AS246" s="902"/>
      <c r="AT246" s="902"/>
      <c r="AU246" s="902"/>
      <c r="AV246" s="902"/>
      <c r="AW246" s="902"/>
      <c r="AX246" s="902"/>
      <c r="AY246" s="902"/>
      <c r="AZ246" s="902"/>
      <c r="BA246" s="902"/>
      <c r="BB246" s="902"/>
      <c r="BC246" s="902"/>
      <c r="BD246" s="902"/>
      <c r="BE246" s="902"/>
      <c r="BF246" s="902"/>
      <c r="BG246" s="902"/>
      <c r="BH246" s="902"/>
      <c r="BI246" s="902"/>
      <c r="BJ246" s="902"/>
      <c r="BK246" s="1028"/>
    </row>
    <row r="247" spans="2:64" hidden="1" outlineLevel="1">
      <c r="B247" s="1155" t="s">
        <v>178</v>
      </c>
      <c r="C247" s="1122"/>
      <c r="D247" s="1122"/>
      <c r="E247" s="1079"/>
      <c r="F247" s="1122"/>
      <c r="G247" s="1122"/>
      <c r="H247" s="1079"/>
      <c r="I247" s="1122"/>
      <c r="J247" s="1122"/>
      <c r="K247" s="1085"/>
      <c r="L247" s="1122"/>
      <c r="M247" s="1122"/>
      <c r="N247" s="1079"/>
      <c r="O247" s="1079"/>
      <c r="P247" s="1079"/>
      <c r="Q247" s="1079"/>
      <c r="R247" s="1079"/>
      <c r="S247" s="1079"/>
      <c r="T247" s="1079"/>
      <c r="U247" s="1122"/>
      <c r="V247" s="1122"/>
      <c r="W247" s="1079"/>
      <c r="X247" s="1122"/>
      <c r="Y247" s="1122"/>
      <c r="Z247" s="1079"/>
      <c r="AA247" s="1122"/>
      <c r="AB247" s="1122"/>
      <c r="AC247" s="1086"/>
      <c r="AD247" s="1122"/>
      <c r="AE247" s="1122"/>
      <c r="AF247" s="1079"/>
      <c r="AG247" s="1122"/>
      <c r="AH247" s="1122"/>
      <c r="AI247" s="1079"/>
      <c r="AJ247" s="1079"/>
      <c r="AK247" s="1079"/>
      <c r="AL247" s="1079"/>
      <c r="AM247" s="1079"/>
      <c r="AN247" s="1079"/>
      <c r="AO247" s="1079"/>
      <c r="AP247" s="1079"/>
      <c r="AQ247" s="1079"/>
      <c r="AR247" s="1079"/>
      <c r="AS247" s="1079"/>
      <c r="AT247" s="1079"/>
      <c r="AU247" s="1079"/>
      <c r="AV247" s="1079"/>
      <c r="AW247" s="1079"/>
      <c r="AX247" s="1079"/>
      <c r="AY247" s="1079"/>
      <c r="AZ247" s="1079"/>
      <c r="BA247" s="1079"/>
      <c r="BB247" s="1079"/>
      <c r="BC247" s="1079"/>
      <c r="BD247" s="1079"/>
      <c r="BE247" s="1079"/>
      <c r="BF247" s="1079"/>
      <c r="BG247" s="1079"/>
      <c r="BH247" s="1079"/>
      <c r="BI247" s="1079"/>
      <c r="BJ247" s="1079"/>
    </row>
    <row r="248" spans="2:64" hidden="1" outlineLevel="1">
      <c r="B248" s="812" t="s">
        <v>142</v>
      </c>
      <c r="C248" s="1156"/>
      <c r="D248" s="1156"/>
      <c r="E248" s="1156"/>
      <c r="F248" s="1156"/>
      <c r="G248" s="1156"/>
      <c r="H248" s="1156"/>
      <c r="I248" s="1156"/>
      <c r="J248" s="1156"/>
      <c r="K248" s="1157"/>
      <c r="L248" s="1156"/>
      <c r="M248" s="1156"/>
      <c r="N248" s="1156"/>
      <c r="O248" s="1156"/>
      <c r="P248" s="1156"/>
      <c r="Q248" s="1156"/>
      <c r="R248" s="1156"/>
      <c r="S248" s="1156"/>
      <c r="T248" s="1156"/>
      <c r="U248" s="1156"/>
      <c r="V248" s="1156"/>
      <c r="W248" s="1156"/>
      <c r="X248" s="1156"/>
      <c r="Y248" s="1156"/>
      <c r="Z248" s="1156"/>
      <c r="AA248" s="1156"/>
      <c r="AB248" s="1156"/>
      <c r="AC248" s="1158"/>
      <c r="AD248" s="1156"/>
      <c r="AE248" s="1156"/>
      <c r="AF248" s="1156"/>
      <c r="AG248" s="1156"/>
      <c r="AH248" s="1156"/>
      <c r="AI248" s="1156"/>
      <c r="AJ248" s="1156"/>
      <c r="AK248" s="1156"/>
      <c r="AL248" s="1156"/>
      <c r="AM248" s="1156"/>
      <c r="AN248" s="1156"/>
      <c r="AO248" s="1156"/>
      <c r="AP248" s="1156"/>
      <c r="AQ248" s="1156"/>
      <c r="AR248" s="1156"/>
      <c r="AS248" s="1156"/>
      <c r="AT248" s="1156"/>
      <c r="AU248" s="1156"/>
      <c r="AV248" s="1156"/>
      <c r="AW248" s="1156"/>
      <c r="AX248" s="1156"/>
      <c r="AY248" s="1156"/>
      <c r="AZ248" s="1156"/>
      <c r="BA248" s="1156"/>
      <c r="BB248" s="1156"/>
      <c r="BC248" s="1156"/>
      <c r="BD248" s="1156"/>
      <c r="BE248" s="1156"/>
      <c r="BF248" s="1156"/>
      <c r="BG248" s="1156"/>
      <c r="BH248" s="1156"/>
      <c r="BI248" s="1156"/>
      <c r="BJ248" s="1156"/>
    </row>
    <row r="249" spans="2:64" hidden="1" outlineLevel="1">
      <c r="B249" s="1033" t="s">
        <v>37</v>
      </c>
      <c r="C249" s="1159"/>
      <c r="D249" s="1159"/>
      <c r="E249" s="1015"/>
      <c r="F249" s="1159"/>
      <c r="G249" s="1159"/>
      <c r="H249" s="1015"/>
      <c r="I249" s="1159"/>
      <c r="J249" s="1159"/>
      <c r="K249" s="1160"/>
      <c r="L249" s="1159"/>
      <c r="M249" s="1159"/>
      <c r="N249" s="1015"/>
      <c r="O249" s="1015"/>
      <c r="P249" s="1015"/>
      <c r="Q249" s="1015"/>
      <c r="R249" s="1015"/>
      <c r="S249" s="1015"/>
      <c r="T249" s="1015"/>
      <c r="U249" s="1159"/>
      <c r="V249" s="1159"/>
      <c r="W249" s="1015"/>
      <c r="X249" s="1159"/>
      <c r="Y249" s="1159"/>
      <c r="Z249" s="1015"/>
      <c r="AA249" s="1159"/>
      <c r="AB249" s="1159"/>
      <c r="AC249" s="1359"/>
      <c r="AD249" s="1159"/>
      <c r="AE249" s="1159"/>
      <c r="AF249" s="1015"/>
      <c r="AG249" s="1159"/>
      <c r="AH249" s="1159"/>
      <c r="AI249" s="1015"/>
      <c r="AJ249" s="1015"/>
      <c r="AK249" s="1015"/>
      <c r="AL249" s="1015"/>
      <c r="AM249" s="1015"/>
      <c r="AN249" s="1015"/>
      <c r="AO249" s="1015"/>
      <c r="AP249" s="1015"/>
      <c r="AQ249" s="1015"/>
      <c r="AR249" s="1015"/>
      <c r="AS249" s="1015"/>
      <c r="AT249" s="1015"/>
      <c r="AU249" s="1015"/>
      <c r="AV249" s="1015"/>
      <c r="AW249" s="1015"/>
      <c r="AX249" s="1015"/>
      <c r="AY249" s="1015"/>
      <c r="AZ249" s="1015"/>
      <c r="BA249" s="1015"/>
      <c r="BB249" s="1015"/>
      <c r="BC249" s="1015"/>
      <c r="BD249" s="1015"/>
      <c r="BE249" s="1015"/>
      <c r="BF249" s="1015"/>
      <c r="BG249" s="1015"/>
      <c r="BH249" s="1015"/>
      <c r="BI249" s="1015"/>
      <c r="BJ249" s="1015"/>
    </row>
    <row r="250" spans="2:64" hidden="1" outlineLevel="1">
      <c r="B250" s="812" t="s">
        <v>175</v>
      </c>
      <c r="C250" s="1161"/>
      <c r="D250" s="1161"/>
      <c r="E250" s="1161"/>
      <c r="F250" s="1161"/>
      <c r="G250" s="1161"/>
      <c r="H250" s="1161"/>
      <c r="I250" s="1161"/>
      <c r="J250" s="1161"/>
      <c r="K250" s="1162"/>
      <c r="L250" s="1161"/>
      <c r="M250" s="1161"/>
      <c r="N250" s="1161"/>
      <c r="O250" s="1161"/>
      <c r="P250" s="1161"/>
      <c r="Q250" s="1161"/>
      <c r="R250" s="1161"/>
      <c r="S250" s="1161"/>
      <c r="T250" s="1161"/>
      <c r="U250" s="1161"/>
      <c r="V250" s="1161"/>
      <c r="W250" s="1161"/>
      <c r="X250" s="1161"/>
      <c r="Y250" s="1161"/>
      <c r="Z250" s="1161"/>
      <c r="AA250" s="1161"/>
      <c r="AB250" s="1161"/>
      <c r="AC250" s="1163"/>
      <c r="AD250" s="1161"/>
      <c r="AE250" s="1161"/>
      <c r="AF250" s="1161"/>
      <c r="AG250" s="1161"/>
      <c r="AH250" s="1161"/>
      <c r="AI250" s="1161"/>
      <c r="AJ250" s="1161"/>
      <c r="AK250" s="1161"/>
      <c r="AL250" s="1161"/>
      <c r="AM250" s="1161"/>
      <c r="AN250" s="1161"/>
      <c r="AO250" s="1161"/>
      <c r="AP250" s="1161"/>
      <c r="AQ250" s="1161"/>
      <c r="AR250" s="1161"/>
      <c r="AS250" s="1161"/>
      <c r="AT250" s="1161"/>
      <c r="AU250" s="1161"/>
      <c r="AV250" s="1161"/>
      <c r="AW250" s="1161"/>
      <c r="AX250" s="1161"/>
      <c r="AY250" s="1161"/>
      <c r="AZ250" s="1161"/>
      <c r="BA250" s="1161"/>
      <c r="BB250" s="1161"/>
      <c r="BC250" s="1161"/>
      <c r="BD250" s="1161"/>
      <c r="BE250" s="1161"/>
      <c r="BF250" s="1161"/>
      <c r="BG250" s="1161"/>
      <c r="BH250" s="1161"/>
      <c r="BI250" s="1161"/>
      <c r="BJ250" s="1161"/>
    </row>
    <row r="251" spans="2:64" hidden="1" outlineLevel="1">
      <c r="B251" s="812" t="s">
        <v>37</v>
      </c>
      <c r="C251" s="1159"/>
      <c r="D251" s="1159"/>
      <c r="E251" s="1164"/>
      <c r="F251" s="1159"/>
      <c r="G251" s="1159"/>
      <c r="H251" s="1164"/>
      <c r="I251" s="1159"/>
      <c r="J251" s="1159"/>
      <c r="K251" s="1165"/>
      <c r="L251" s="1159"/>
      <c r="M251" s="1159"/>
      <c r="N251" s="1164"/>
      <c r="O251" s="1164"/>
      <c r="P251" s="1164"/>
      <c r="Q251" s="1164"/>
      <c r="R251" s="1164"/>
      <c r="S251" s="1164"/>
      <c r="T251" s="1164"/>
      <c r="U251" s="1159"/>
      <c r="V251" s="1159"/>
      <c r="W251" s="1164"/>
      <c r="X251" s="1159"/>
      <c r="Y251" s="1159"/>
      <c r="Z251" s="1164"/>
      <c r="AA251" s="1159"/>
      <c r="AB251" s="1159"/>
      <c r="AC251" s="1360"/>
      <c r="AD251" s="1159"/>
      <c r="AE251" s="1159"/>
      <c r="AF251" s="1164"/>
      <c r="AG251" s="1159"/>
      <c r="AH251" s="1159"/>
      <c r="AI251" s="1164"/>
      <c r="AJ251" s="1164"/>
      <c r="AK251" s="1164"/>
      <c r="AL251" s="1164"/>
      <c r="AM251" s="1164"/>
      <c r="AN251" s="1164"/>
      <c r="AO251" s="1164"/>
      <c r="AP251" s="1164"/>
      <c r="AQ251" s="1164"/>
      <c r="AR251" s="1164"/>
      <c r="AS251" s="1164"/>
      <c r="AT251" s="1164"/>
      <c r="AU251" s="1164"/>
      <c r="AV251" s="1164"/>
      <c r="AW251" s="1164"/>
      <c r="AX251" s="1164"/>
      <c r="AY251" s="1164"/>
      <c r="AZ251" s="1164"/>
      <c r="BA251" s="1164"/>
      <c r="BB251" s="1164"/>
      <c r="BC251" s="1164"/>
      <c r="BD251" s="1164"/>
      <c r="BE251" s="1164"/>
      <c r="BF251" s="1164"/>
      <c r="BG251" s="1164"/>
      <c r="BH251" s="1164"/>
      <c r="BI251" s="1164"/>
      <c r="BJ251" s="1164"/>
    </row>
    <row r="252" spans="2:64" hidden="1" outlineLevel="1">
      <c r="B252" s="828" t="s">
        <v>38</v>
      </c>
      <c r="C252" s="864"/>
      <c r="D252" s="864"/>
      <c r="E252" s="1166"/>
      <c r="F252" s="864"/>
      <c r="G252" s="864"/>
      <c r="H252" s="1166"/>
      <c r="I252" s="864"/>
      <c r="J252" s="864"/>
      <c r="K252" s="1167"/>
      <c r="L252" s="864"/>
      <c r="M252" s="864"/>
      <c r="N252" s="1166"/>
      <c r="O252" s="1166"/>
      <c r="P252" s="1166"/>
      <c r="Q252" s="1166"/>
      <c r="R252" s="1166"/>
      <c r="S252" s="1166"/>
      <c r="T252" s="1166"/>
      <c r="U252" s="864"/>
      <c r="V252" s="864"/>
      <c r="W252" s="1166"/>
      <c r="X252" s="864"/>
      <c r="Y252" s="864"/>
      <c r="Z252" s="1166"/>
      <c r="AA252" s="864"/>
      <c r="AB252" s="864"/>
      <c r="AC252" s="1175"/>
      <c r="AD252" s="864"/>
      <c r="AE252" s="864"/>
      <c r="AF252" s="1166"/>
      <c r="AG252" s="864"/>
      <c r="AH252" s="864"/>
      <c r="AI252" s="1166"/>
      <c r="AJ252" s="1166"/>
      <c r="AK252" s="1166"/>
      <c r="AL252" s="1166"/>
      <c r="AM252" s="1166"/>
      <c r="AN252" s="1166"/>
      <c r="AO252" s="1166"/>
      <c r="AP252" s="1166"/>
      <c r="AQ252" s="1166"/>
      <c r="AR252" s="1166"/>
      <c r="AS252" s="1166"/>
      <c r="AT252" s="1166"/>
      <c r="AU252" s="1166"/>
      <c r="AV252" s="1166"/>
      <c r="AW252" s="1166"/>
      <c r="AX252" s="1166"/>
      <c r="AY252" s="1166"/>
      <c r="AZ252" s="1166"/>
      <c r="BA252" s="1166"/>
      <c r="BB252" s="1166"/>
      <c r="BC252" s="1166"/>
      <c r="BD252" s="1166"/>
      <c r="BE252" s="1166"/>
      <c r="BF252" s="1166"/>
      <c r="BG252" s="1166"/>
      <c r="BH252" s="1166"/>
      <c r="BI252" s="1166"/>
      <c r="BJ252" s="1166"/>
    </row>
    <row r="253" spans="2:64" hidden="1" outlineLevel="1">
      <c r="B253" s="812" t="s">
        <v>37</v>
      </c>
      <c r="C253" s="1168"/>
      <c r="D253" s="1168"/>
      <c r="E253" s="1169"/>
      <c r="F253" s="1168"/>
      <c r="G253" s="1168"/>
      <c r="H253" s="1169"/>
      <c r="I253" s="1168"/>
      <c r="J253" s="1168"/>
      <c r="K253" s="1170"/>
      <c r="L253" s="1168"/>
      <c r="M253" s="1168"/>
      <c r="N253" s="1169"/>
      <c r="O253" s="1169"/>
      <c r="P253" s="1169"/>
      <c r="Q253" s="1169"/>
      <c r="R253" s="1169"/>
      <c r="S253" s="1169"/>
      <c r="T253" s="1169"/>
      <c r="U253" s="1168"/>
      <c r="V253" s="1168"/>
      <c r="W253" s="1169"/>
      <c r="X253" s="1168"/>
      <c r="Y253" s="1168"/>
      <c r="Z253" s="1169"/>
      <c r="AA253" s="1168"/>
      <c r="AB253" s="1168"/>
      <c r="AC253" s="1361"/>
      <c r="AD253" s="1168"/>
      <c r="AE253" s="1168"/>
      <c r="AF253" s="1169"/>
      <c r="AG253" s="1168"/>
      <c r="AH253" s="1168"/>
      <c r="AI253" s="1169"/>
      <c r="AJ253" s="1169"/>
      <c r="AK253" s="1169"/>
      <c r="AL253" s="1169"/>
      <c r="AM253" s="1169"/>
      <c r="AN253" s="1169"/>
      <c r="AO253" s="1169"/>
      <c r="AP253" s="1169"/>
      <c r="AQ253" s="1169"/>
      <c r="AR253" s="1169"/>
      <c r="AS253" s="1169"/>
      <c r="AT253" s="1169"/>
      <c r="AU253" s="1169"/>
      <c r="AV253" s="1169"/>
      <c r="AW253" s="1169"/>
      <c r="AX253" s="1169"/>
      <c r="AY253" s="1169"/>
      <c r="AZ253" s="1169"/>
      <c r="BA253" s="1169"/>
      <c r="BB253" s="1169"/>
      <c r="BC253" s="1169"/>
      <c r="BD253" s="1169"/>
      <c r="BE253" s="1169"/>
      <c r="BF253" s="1169"/>
      <c r="BG253" s="1169"/>
      <c r="BH253" s="1169"/>
      <c r="BI253" s="1169"/>
      <c r="BJ253" s="1169"/>
    </row>
    <row r="254" spans="2:64" hidden="1" outlineLevel="1">
      <c r="B254" s="828"/>
      <c r="C254" s="1161"/>
      <c r="D254" s="1161"/>
      <c r="E254" s="1171"/>
      <c r="F254" s="1161"/>
      <c r="G254" s="1161"/>
      <c r="H254" s="1171"/>
      <c r="I254" s="1161"/>
      <c r="J254" s="1161"/>
      <c r="K254" s="1172"/>
      <c r="L254" s="1161"/>
      <c r="M254" s="1161"/>
      <c r="N254" s="1171"/>
      <c r="O254" s="1171"/>
      <c r="P254" s="1171"/>
      <c r="Q254" s="1171"/>
      <c r="R254" s="1171"/>
      <c r="S254" s="1171"/>
      <c r="T254" s="1171"/>
      <c r="U254" s="1161"/>
      <c r="V254" s="1161"/>
      <c r="W254" s="1171"/>
      <c r="X254" s="1161"/>
      <c r="Y254" s="1161"/>
      <c r="Z254" s="1171"/>
      <c r="AA254" s="1161"/>
      <c r="AB254" s="1161"/>
      <c r="AC254" s="1362"/>
      <c r="AD254" s="1161"/>
      <c r="AE254" s="1161"/>
      <c r="AF254" s="1171"/>
      <c r="AG254" s="1161"/>
      <c r="AH254" s="1161"/>
      <c r="AI254" s="1171"/>
      <c r="AJ254" s="1171"/>
      <c r="AK254" s="1171"/>
      <c r="AL254" s="1171"/>
      <c r="AM254" s="1171"/>
      <c r="AN254" s="1171"/>
      <c r="AO254" s="1171"/>
      <c r="AP254" s="1171"/>
      <c r="AQ254" s="1171"/>
      <c r="AR254" s="1171"/>
      <c r="AS254" s="1171"/>
      <c r="AT254" s="1171"/>
      <c r="AU254" s="1171"/>
      <c r="AV254" s="1171"/>
      <c r="AW254" s="1171"/>
      <c r="AX254" s="1171"/>
      <c r="AY254" s="1171"/>
      <c r="AZ254" s="1171"/>
      <c r="BA254" s="1171"/>
      <c r="BB254" s="1171"/>
      <c r="BC254" s="1171"/>
      <c r="BD254" s="1171"/>
      <c r="BE254" s="1171"/>
      <c r="BF254" s="1171"/>
      <c r="BG254" s="1171"/>
      <c r="BH254" s="1171"/>
      <c r="BI254" s="1171"/>
      <c r="BJ254" s="1171"/>
    </row>
    <row r="255" spans="2:64" hidden="1" outlineLevel="1">
      <c r="B255" s="812" t="s">
        <v>253</v>
      </c>
      <c r="C255" s="1156"/>
      <c r="D255" s="1156"/>
      <c r="E255" s="1173"/>
      <c r="F255" s="1156"/>
      <c r="G255" s="1156"/>
      <c r="H255" s="1173"/>
      <c r="I255" s="1156"/>
      <c r="J255" s="1156"/>
      <c r="K255" s="1174"/>
      <c r="L255" s="1156"/>
      <c r="M255" s="1156"/>
      <c r="N255" s="1173"/>
      <c r="O255" s="1173"/>
      <c r="P255" s="1173"/>
      <c r="Q255" s="1173"/>
      <c r="R255" s="1173"/>
      <c r="S255" s="1173"/>
      <c r="T255" s="1173"/>
      <c r="U255" s="1156"/>
      <c r="V255" s="1156"/>
      <c r="W255" s="1173"/>
      <c r="X255" s="1156"/>
      <c r="Y255" s="1156"/>
      <c r="Z255" s="1173"/>
      <c r="AA255" s="1156"/>
      <c r="AB255" s="1156"/>
      <c r="AC255" s="1363"/>
      <c r="AD255" s="1156"/>
      <c r="AE255" s="1156"/>
      <c r="AF255" s="1173"/>
      <c r="AG255" s="1156"/>
      <c r="AH255" s="1156"/>
      <c r="AI255" s="1173"/>
      <c r="AJ255" s="1173"/>
      <c r="AK255" s="1173"/>
      <c r="AL255" s="1173"/>
      <c r="AM255" s="1173"/>
      <c r="AN255" s="1173"/>
      <c r="AO255" s="1173"/>
      <c r="AP255" s="1173"/>
      <c r="AQ255" s="1173"/>
      <c r="AR255" s="1173"/>
      <c r="AS255" s="1173"/>
      <c r="AT255" s="1173"/>
      <c r="AU255" s="1173"/>
      <c r="AV255" s="1173"/>
      <c r="AW255" s="1173"/>
      <c r="AX255" s="1173"/>
      <c r="AY255" s="1173"/>
      <c r="AZ255" s="1173"/>
      <c r="BA255" s="1173"/>
      <c r="BB255" s="1173"/>
      <c r="BC255" s="1173"/>
      <c r="BD255" s="1173"/>
      <c r="BE255" s="1173"/>
      <c r="BF255" s="1173"/>
      <c r="BG255" s="1173"/>
      <c r="BH255" s="1173"/>
      <c r="BI255" s="1173"/>
      <c r="BJ255" s="1173"/>
    </row>
    <row r="256" spans="2:64" s="828" customFormat="1" hidden="1" outlineLevel="1">
      <c r="B256" s="828" t="s">
        <v>180</v>
      </c>
      <c r="C256" s="1166"/>
      <c r="D256" s="1166"/>
      <c r="E256" s="1166"/>
      <c r="F256" s="1166"/>
      <c r="G256" s="1166"/>
      <c r="H256" s="1166"/>
      <c r="I256" s="1166"/>
      <c r="J256" s="1166"/>
      <c r="K256" s="1167"/>
      <c r="L256" s="1166"/>
      <c r="M256" s="1166"/>
      <c r="N256" s="1166"/>
      <c r="O256" s="1166"/>
      <c r="P256" s="1166"/>
      <c r="Q256" s="1166"/>
      <c r="R256" s="1166"/>
      <c r="S256" s="1166"/>
      <c r="T256" s="1166"/>
      <c r="U256" s="1166"/>
      <c r="V256" s="1166"/>
      <c r="W256" s="1166"/>
      <c r="X256" s="1166"/>
      <c r="Y256" s="1166"/>
      <c r="Z256" s="1166"/>
      <c r="AA256" s="1166"/>
      <c r="AB256" s="1166"/>
      <c r="AC256" s="1175"/>
      <c r="AD256" s="1166"/>
      <c r="AE256" s="1166"/>
      <c r="AF256" s="1166"/>
      <c r="AG256" s="1166"/>
      <c r="AH256" s="1166"/>
      <c r="AI256" s="1166"/>
      <c r="AJ256" s="1166"/>
      <c r="AK256" s="1166"/>
      <c r="AL256" s="1166"/>
      <c r="AM256" s="1166"/>
      <c r="AN256" s="1166"/>
      <c r="AO256" s="1166"/>
      <c r="AP256" s="1166"/>
      <c r="AQ256" s="1166"/>
      <c r="AR256" s="1166"/>
      <c r="AS256" s="1166"/>
      <c r="AT256" s="1166"/>
      <c r="AU256" s="1166"/>
      <c r="AV256" s="1166"/>
      <c r="AW256" s="1166"/>
      <c r="AX256" s="1166"/>
      <c r="AY256" s="1166"/>
      <c r="AZ256" s="1166"/>
      <c r="BA256" s="1166"/>
      <c r="BB256" s="1166"/>
      <c r="BC256" s="1166"/>
      <c r="BD256" s="1166"/>
      <c r="BE256" s="1166"/>
      <c r="BF256" s="1166"/>
      <c r="BG256" s="1166"/>
      <c r="BH256" s="1166"/>
      <c r="BI256" s="1166"/>
      <c r="BJ256" s="1166"/>
      <c r="BK256" s="810"/>
      <c r="BL256" s="811"/>
    </row>
    <row r="257" spans="2:64" collapsed="1">
      <c r="B257" s="828"/>
      <c r="C257" s="1122"/>
      <c r="D257" s="1122"/>
      <c r="E257" s="1079"/>
      <c r="F257" s="1122"/>
      <c r="G257" s="1122"/>
      <c r="H257" s="1018"/>
      <c r="I257" s="1122"/>
      <c r="J257" s="1122"/>
      <c r="K257" s="1085"/>
      <c r="L257" s="1122"/>
      <c r="M257" s="1122"/>
      <c r="N257" s="1079"/>
      <c r="O257" s="1079"/>
      <c r="P257" s="1079"/>
      <c r="Q257" s="1079"/>
      <c r="R257" s="1079"/>
      <c r="S257" s="1079"/>
      <c r="T257" s="1079"/>
      <c r="U257" s="899"/>
      <c r="V257" s="899"/>
      <c r="W257" s="1079"/>
      <c r="X257" s="899"/>
      <c r="Y257" s="899"/>
      <c r="Z257" s="1079"/>
      <c r="AA257" s="899"/>
      <c r="AB257" s="899"/>
      <c r="AC257" s="1086"/>
      <c r="AD257" s="899"/>
      <c r="AE257" s="899"/>
      <c r="AF257" s="1079"/>
      <c r="AG257" s="899"/>
      <c r="AH257" s="899"/>
      <c r="AI257" s="1079"/>
      <c r="AJ257" s="1079"/>
      <c r="AK257" s="1079"/>
      <c r="AL257" s="1079"/>
      <c r="AM257" s="1079"/>
      <c r="AN257" s="1079"/>
      <c r="AO257" s="1079"/>
      <c r="AP257" s="1079"/>
      <c r="AQ257" s="1079"/>
      <c r="AR257" s="1079"/>
      <c r="AS257" s="1079"/>
      <c r="AT257" s="1079"/>
      <c r="AU257" s="1079"/>
      <c r="AV257" s="1079"/>
      <c r="AW257" s="1079"/>
      <c r="AX257" s="1079"/>
      <c r="AY257" s="1079"/>
      <c r="AZ257" s="1079"/>
      <c r="BA257" s="1079"/>
      <c r="BB257" s="1079"/>
      <c r="BC257" s="1079"/>
      <c r="BD257" s="1079"/>
      <c r="BE257" s="1079"/>
      <c r="BF257" s="1079"/>
      <c r="BG257" s="1079"/>
      <c r="BH257" s="1079"/>
      <c r="BI257" s="1079"/>
      <c r="BJ257" s="1079"/>
    </row>
    <row r="258" spans="2:64" hidden="1" outlineLevel="1">
      <c r="B258" s="1176" t="s">
        <v>206</v>
      </c>
      <c r="C258" s="1177"/>
      <c r="D258" s="1177"/>
      <c r="E258" s="1178"/>
      <c r="F258" s="1177"/>
      <c r="G258" s="1177"/>
      <c r="H258" s="1178"/>
      <c r="I258" s="1177"/>
      <c r="J258" s="1177"/>
      <c r="K258" s="1179"/>
      <c r="L258" s="1180"/>
      <c r="M258" s="1181"/>
      <c r="N258" s="1177"/>
      <c r="O258" s="1177"/>
      <c r="P258" s="1177"/>
      <c r="Q258" s="1177"/>
      <c r="R258" s="1177"/>
      <c r="S258" s="1177"/>
      <c r="T258" s="1177"/>
      <c r="U258" s="1181"/>
      <c r="V258" s="1181"/>
      <c r="W258" s="1177"/>
      <c r="X258" s="1181"/>
      <c r="Y258" s="1181"/>
      <c r="Z258" s="1178"/>
      <c r="AA258" s="1181"/>
      <c r="AB258" s="1181"/>
      <c r="AC258" s="1364"/>
      <c r="AD258" s="1181"/>
      <c r="AE258" s="1181"/>
      <c r="AF258" s="1178"/>
      <c r="AG258" s="1181"/>
      <c r="AH258" s="1181"/>
      <c r="AI258" s="1178"/>
      <c r="AJ258" s="1178"/>
      <c r="AK258" s="1178"/>
      <c r="AL258" s="1178"/>
      <c r="AM258" s="1178"/>
      <c r="AN258" s="1178"/>
      <c r="AO258" s="1178"/>
      <c r="AP258" s="1178"/>
      <c r="AQ258" s="1178"/>
      <c r="AR258" s="1178"/>
      <c r="AS258" s="1178"/>
      <c r="AT258" s="1178"/>
      <c r="AU258" s="1178"/>
      <c r="AV258" s="1178"/>
      <c r="AW258" s="1178"/>
      <c r="AX258" s="1178"/>
      <c r="AY258" s="1178"/>
      <c r="AZ258" s="1178"/>
      <c r="BA258" s="1178"/>
      <c r="BB258" s="1178"/>
      <c r="BC258" s="1178"/>
      <c r="BD258" s="1178"/>
      <c r="BE258" s="1178"/>
      <c r="BF258" s="1178"/>
      <c r="BG258" s="1178"/>
      <c r="BH258" s="1178"/>
      <c r="BI258" s="1178"/>
      <c r="BJ258" s="1178"/>
    </row>
    <row r="259" spans="2:64" hidden="1" outlineLevel="1">
      <c r="B259" s="812" t="s">
        <v>253</v>
      </c>
      <c r="C259" s="890">
        <f>C177+C232</f>
        <v>-24</v>
      </c>
      <c r="D259" s="890">
        <f>D177+D232</f>
        <v>-1</v>
      </c>
      <c r="E259" s="890">
        <f>E177+E232</f>
        <v>-23</v>
      </c>
      <c r="F259" s="890">
        <f>F177+F232</f>
        <v>1</v>
      </c>
      <c r="G259" s="890">
        <f>G177+G232</f>
        <v>46</v>
      </c>
      <c r="H259" s="890"/>
      <c r="I259" s="890"/>
      <c r="J259" s="890"/>
      <c r="K259" s="1182"/>
      <c r="L259" s="890"/>
      <c r="M259" s="890"/>
      <c r="N259" s="890"/>
      <c r="O259" s="890"/>
      <c r="P259" s="890"/>
      <c r="Q259" s="890"/>
      <c r="R259" s="890"/>
      <c r="S259" s="890"/>
      <c r="T259" s="890"/>
      <c r="U259" s="890"/>
      <c r="V259" s="890"/>
      <c r="W259" s="890"/>
      <c r="X259" s="890"/>
      <c r="Y259" s="890"/>
      <c r="Z259" s="890"/>
      <c r="AA259" s="890"/>
      <c r="AB259" s="890"/>
      <c r="AC259" s="1183"/>
      <c r="AD259" s="890"/>
      <c r="AE259" s="890"/>
      <c r="AF259" s="890">
        <f>AF177+AF232</f>
        <v>4</v>
      </c>
      <c r="AG259" s="890"/>
      <c r="AH259" s="890"/>
      <c r="AI259" s="890">
        <f>AI177+AI232</f>
        <v>6</v>
      </c>
      <c r="AJ259" s="890"/>
      <c r="AK259" s="890"/>
      <c r="AL259" s="890">
        <f>AL177+AL232</f>
        <v>3</v>
      </c>
      <c r="AM259" s="890"/>
      <c r="AN259" s="890"/>
      <c r="AO259" s="890">
        <f>AO177+AO232</f>
        <v>3</v>
      </c>
      <c r="AP259" s="890"/>
      <c r="AQ259" s="890"/>
      <c r="AR259" s="890">
        <f>AR177+AR232</f>
        <v>1</v>
      </c>
      <c r="AS259" s="890"/>
      <c r="AT259" s="890"/>
      <c r="AU259" s="890">
        <f>AU177+AU232</f>
        <v>1</v>
      </c>
      <c r="AV259" s="890"/>
      <c r="AW259" s="890"/>
      <c r="AX259" s="890">
        <f>AX177+AX232</f>
        <v>1</v>
      </c>
      <c r="AY259" s="890"/>
      <c r="AZ259" s="890"/>
      <c r="BA259" s="890">
        <f>BA177+BA232</f>
        <v>1</v>
      </c>
      <c r="BB259" s="890"/>
      <c r="BC259" s="890"/>
      <c r="BD259" s="890">
        <f>BD177+BD232</f>
        <v>1</v>
      </c>
      <c r="BE259" s="890"/>
      <c r="BF259" s="890"/>
      <c r="BG259" s="890">
        <f>BG177+BG232</f>
        <v>1</v>
      </c>
      <c r="BH259" s="890"/>
      <c r="BI259" s="890"/>
      <c r="BJ259" s="890">
        <f>BJ177+BJ232</f>
        <v>1</v>
      </c>
      <c r="BK259" s="906"/>
    </row>
    <row r="260" spans="2:64" hidden="1" outlineLevel="1">
      <c r="B260" s="812" t="s">
        <v>180</v>
      </c>
      <c r="C260" s="899">
        <f>C233+C178</f>
        <v>149</v>
      </c>
      <c r="D260" s="899">
        <f>D233+D178</f>
        <v>148</v>
      </c>
      <c r="E260" s="899">
        <f>E233+E178</f>
        <v>150</v>
      </c>
      <c r="F260" s="899">
        <f>F233+F178</f>
        <v>151</v>
      </c>
      <c r="G260" s="899">
        <f>G233+G178</f>
        <v>197</v>
      </c>
      <c r="H260" s="899"/>
      <c r="I260" s="899"/>
      <c r="J260" s="899"/>
      <c r="K260" s="900"/>
      <c r="L260" s="899"/>
      <c r="M260" s="899"/>
      <c r="N260" s="899"/>
      <c r="O260" s="899"/>
      <c r="P260" s="899"/>
      <c r="Q260" s="899"/>
      <c r="R260" s="899"/>
      <c r="S260" s="899"/>
      <c r="T260" s="899"/>
      <c r="U260" s="899"/>
      <c r="V260" s="899"/>
      <c r="W260" s="899"/>
      <c r="X260" s="899"/>
      <c r="Y260" s="899"/>
      <c r="Z260" s="899"/>
      <c r="AA260" s="899"/>
      <c r="AB260" s="899"/>
      <c r="AC260" s="901"/>
      <c r="AD260" s="899"/>
      <c r="AE260" s="899"/>
      <c r="AF260" s="899">
        <f>AF233+AF178</f>
        <v>272</v>
      </c>
      <c r="AG260" s="899"/>
      <c r="AH260" s="899"/>
      <c r="AI260" s="899">
        <f>AI233+AI178</f>
        <v>278</v>
      </c>
      <c r="AJ260" s="899"/>
      <c r="AK260" s="899"/>
      <c r="AL260" s="899">
        <f>AL233+AL178</f>
        <v>281</v>
      </c>
      <c r="AM260" s="899"/>
      <c r="AN260" s="899"/>
      <c r="AO260" s="899">
        <f>AO233+AO178</f>
        <v>284</v>
      </c>
      <c r="AP260" s="899"/>
      <c r="AQ260" s="899"/>
      <c r="AR260" s="899">
        <f>AR233+AR178</f>
        <v>285</v>
      </c>
      <c r="AS260" s="899"/>
      <c r="AT260" s="899"/>
      <c r="AU260" s="899">
        <f>AU233+AU178</f>
        <v>286</v>
      </c>
      <c r="AV260" s="899"/>
      <c r="AW260" s="899"/>
      <c r="AX260" s="899">
        <f>AX233+AX178</f>
        <v>287</v>
      </c>
      <c r="AY260" s="899"/>
      <c r="AZ260" s="899"/>
      <c r="BA260" s="899">
        <f>BA233+BA178</f>
        <v>288</v>
      </c>
      <c r="BB260" s="899"/>
      <c r="BC260" s="899"/>
      <c r="BD260" s="899">
        <f>BD233+BD178</f>
        <v>289</v>
      </c>
      <c r="BE260" s="899"/>
      <c r="BF260" s="899"/>
      <c r="BG260" s="899">
        <f>BG233+BG178</f>
        <v>290</v>
      </c>
      <c r="BH260" s="899"/>
      <c r="BI260" s="899"/>
      <c r="BJ260" s="899">
        <f>BJ233+BJ178</f>
        <v>291</v>
      </c>
      <c r="BK260" s="939"/>
    </row>
    <row r="261" spans="2:64" hidden="1" outlineLevel="1">
      <c r="B261" s="1112" t="s">
        <v>216</v>
      </c>
      <c r="C261" s="969" t="e">
        <f>+C260/#REF!-1</f>
        <v>#REF!</v>
      </c>
      <c r="D261" s="969" t="e">
        <f>+D260/#REF!-1</f>
        <v>#REF!</v>
      </c>
      <c r="E261" s="969" t="e">
        <f>+E260/#REF!-1</f>
        <v>#REF!</v>
      </c>
      <c r="F261" s="927">
        <f>+F260/C260-1</f>
        <v>1.3422818791946289E-2</v>
      </c>
      <c r="G261" s="969">
        <f>+G260/F260-1</f>
        <v>0.30463576158940397</v>
      </c>
      <c r="H261" s="969"/>
      <c r="I261" s="969"/>
      <c r="J261" s="969"/>
      <c r="K261" s="1184"/>
      <c r="L261" s="969"/>
      <c r="M261" s="969"/>
      <c r="N261" s="969"/>
      <c r="O261" s="969"/>
      <c r="P261" s="969"/>
      <c r="Q261" s="969"/>
      <c r="R261" s="969"/>
      <c r="S261" s="969"/>
      <c r="T261" s="969"/>
      <c r="U261" s="969"/>
      <c r="V261" s="969"/>
      <c r="W261" s="969"/>
      <c r="X261" s="969"/>
      <c r="Y261" s="969"/>
      <c r="Z261" s="969"/>
      <c r="AA261" s="969"/>
      <c r="AB261" s="969"/>
      <c r="AC261" s="1185"/>
      <c r="AD261" s="969"/>
      <c r="AE261" s="969"/>
      <c r="AF261" s="969" t="e">
        <f>+AF260/AC260-1</f>
        <v>#DIV/0!</v>
      </c>
      <c r="AG261" s="969"/>
      <c r="AH261" s="969"/>
      <c r="AI261" s="969">
        <f>+AI260/AF260-1</f>
        <v>2.2058823529411686E-2</v>
      </c>
      <c r="AJ261" s="969"/>
      <c r="AK261" s="969"/>
      <c r="AL261" s="969">
        <f>+AL260/AI260-1</f>
        <v>1.0791366906474753E-2</v>
      </c>
      <c r="AM261" s="969"/>
      <c r="AN261" s="969"/>
      <c r="AO261" s="969">
        <f>+AO260/AL260-1</f>
        <v>1.067615658362997E-2</v>
      </c>
      <c r="AP261" s="969"/>
      <c r="AQ261" s="969"/>
      <c r="AR261" s="969">
        <f>+AR260/AO260-1</f>
        <v>3.5211267605634866E-3</v>
      </c>
      <c r="AS261" s="969"/>
      <c r="AT261" s="969"/>
      <c r="AU261" s="969">
        <f>+AU260/AR260-1</f>
        <v>3.5087719298245723E-3</v>
      </c>
      <c r="AV261" s="969"/>
      <c r="AW261" s="969"/>
      <c r="AX261" s="969">
        <f>+AX260/AU260-1</f>
        <v>3.4965034965035446E-3</v>
      </c>
      <c r="AY261" s="969"/>
      <c r="AZ261" s="969"/>
      <c r="BA261" s="969">
        <f>+BA260/AX260-1</f>
        <v>3.4843205574912606E-3</v>
      </c>
      <c r="BB261" s="969"/>
      <c r="BC261" s="969"/>
      <c r="BD261" s="969">
        <f>+BD260/BA260-1</f>
        <v>3.4722222222223209E-3</v>
      </c>
      <c r="BE261" s="969"/>
      <c r="BF261" s="969"/>
      <c r="BG261" s="969">
        <f>+BG260/BD260-1</f>
        <v>3.4602076124568004E-3</v>
      </c>
      <c r="BH261" s="969"/>
      <c r="BI261" s="969"/>
      <c r="BJ261" s="969">
        <f t="shared" ref="BJ261" si="723">+BJ260/BG260-1</f>
        <v>3.4482758620688614E-3</v>
      </c>
    </row>
    <row r="262" spans="2:64" hidden="1" outlineLevel="1">
      <c r="B262" s="812" t="s">
        <v>218</v>
      </c>
      <c r="C262" s="899" t="e">
        <f>(C260+#REF!)/2</f>
        <v>#REF!</v>
      </c>
      <c r="D262" s="899">
        <f>(D260+C260)/2</f>
        <v>148.5</v>
      </c>
      <c r="E262" s="899" t="e">
        <f>AVERAGE(C262:D262)</f>
        <v>#REF!</v>
      </c>
      <c r="F262" s="899">
        <f>(F260+E260)/2</f>
        <v>150.5</v>
      </c>
      <c r="G262" s="899">
        <f>(G260+F260)/2</f>
        <v>174</v>
      </c>
      <c r="H262" s="899"/>
      <c r="I262" s="899"/>
      <c r="J262" s="899"/>
      <c r="K262" s="900"/>
      <c r="L262" s="899"/>
      <c r="M262" s="899"/>
      <c r="N262" s="899"/>
      <c r="O262" s="899"/>
      <c r="P262" s="899"/>
      <c r="Q262" s="899"/>
      <c r="R262" s="899"/>
      <c r="S262" s="899"/>
      <c r="T262" s="899"/>
      <c r="U262" s="899"/>
      <c r="V262" s="899"/>
      <c r="W262" s="899"/>
      <c r="X262" s="899"/>
      <c r="Y262" s="899"/>
      <c r="Z262" s="899"/>
      <c r="AA262" s="899"/>
      <c r="AB262" s="899"/>
      <c r="AC262" s="901"/>
      <c r="AD262" s="899"/>
      <c r="AE262" s="899"/>
      <c r="AF262" s="899">
        <f>(AF260+AC260)/2</f>
        <v>136</v>
      </c>
      <c r="AG262" s="899"/>
      <c r="AH262" s="899"/>
      <c r="AI262" s="899">
        <f>(AI260+AF260)/2</f>
        <v>275</v>
      </c>
      <c r="AJ262" s="899"/>
      <c r="AK262" s="899"/>
      <c r="AL262" s="899">
        <f>(AL260+AI260)/2</f>
        <v>279.5</v>
      </c>
      <c r="AM262" s="899"/>
      <c r="AN262" s="899"/>
      <c r="AO262" s="899">
        <f>(AO260+AL260)/2</f>
        <v>282.5</v>
      </c>
      <c r="AP262" s="899"/>
      <c r="AQ262" s="899"/>
      <c r="AR262" s="899">
        <f>(AR260+AO260)/2</f>
        <v>284.5</v>
      </c>
      <c r="AS262" s="899"/>
      <c r="AT262" s="899"/>
      <c r="AU262" s="899">
        <f>(AU260+AR260)/2</f>
        <v>285.5</v>
      </c>
      <c r="AV262" s="899"/>
      <c r="AW262" s="899"/>
      <c r="AX262" s="899">
        <f>(AX260+AU260)/2</f>
        <v>286.5</v>
      </c>
      <c r="AY262" s="899"/>
      <c r="AZ262" s="899"/>
      <c r="BA262" s="899">
        <f>(BA260+AX260)/2</f>
        <v>287.5</v>
      </c>
      <c r="BB262" s="899"/>
      <c r="BC262" s="899"/>
      <c r="BD262" s="899">
        <f>(BD260+BA260)/2</f>
        <v>288.5</v>
      </c>
      <c r="BE262" s="899"/>
      <c r="BF262" s="899"/>
      <c r="BG262" s="899">
        <f>(BG260+BD260)/2</f>
        <v>289.5</v>
      </c>
      <c r="BH262" s="899"/>
      <c r="BI262" s="899"/>
      <c r="BJ262" s="899">
        <f t="shared" ref="BJ262" si="724">(BJ260+BG260)/2</f>
        <v>290.5</v>
      </c>
      <c r="BK262" s="873"/>
    </row>
    <row r="263" spans="2:64" hidden="1" outlineLevel="1">
      <c r="B263" s="1112" t="s">
        <v>217</v>
      </c>
      <c r="C263" s="969" t="e">
        <f>C262/#REF!-1</f>
        <v>#REF!</v>
      </c>
      <c r="D263" s="969" t="e">
        <f>D262/#REF!-1</f>
        <v>#REF!</v>
      </c>
      <c r="E263" s="969" t="e">
        <f>E262/#REF!-1</f>
        <v>#REF!</v>
      </c>
      <c r="F263" s="969" t="e">
        <f t="shared" ref="F263:G263" si="725">F262/C262-1</f>
        <v>#REF!</v>
      </c>
      <c r="G263" s="969">
        <f t="shared" si="725"/>
        <v>0.17171717171717171</v>
      </c>
      <c r="H263" s="969"/>
      <c r="I263" s="969"/>
      <c r="J263" s="969"/>
      <c r="K263" s="1184"/>
      <c r="L263" s="969"/>
      <c r="M263" s="969"/>
      <c r="N263" s="969"/>
      <c r="O263" s="969"/>
      <c r="P263" s="969"/>
      <c r="Q263" s="969"/>
      <c r="R263" s="969"/>
      <c r="S263" s="969"/>
      <c r="T263" s="969"/>
      <c r="U263" s="969"/>
      <c r="V263" s="969"/>
      <c r="W263" s="969"/>
      <c r="X263" s="969"/>
      <c r="Y263" s="969"/>
      <c r="Z263" s="969"/>
      <c r="AA263" s="969"/>
      <c r="AB263" s="969"/>
      <c r="AC263" s="1185"/>
      <c r="AD263" s="969"/>
      <c r="AE263" s="969"/>
      <c r="AF263" s="969" t="e">
        <f>AF262/AC262-1</f>
        <v>#DIV/0!</v>
      </c>
      <c r="AG263" s="969"/>
      <c r="AH263" s="969"/>
      <c r="AI263" s="969">
        <f>AI262/AF262-1</f>
        <v>1.0220588235294117</v>
      </c>
      <c r="AJ263" s="969"/>
      <c r="AK263" s="969"/>
      <c r="AL263" s="969">
        <f>AL262/AI262-1</f>
        <v>1.6363636363636358E-2</v>
      </c>
      <c r="AM263" s="969"/>
      <c r="AN263" s="969"/>
      <c r="AO263" s="969">
        <f>AO262/AL262-1</f>
        <v>1.0733452593917781E-2</v>
      </c>
      <c r="AP263" s="969"/>
      <c r="AQ263" s="969"/>
      <c r="AR263" s="969">
        <f>AR262/AO262-1</f>
        <v>7.0796460176991705E-3</v>
      </c>
      <c r="AS263" s="969"/>
      <c r="AT263" s="969"/>
      <c r="AU263" s="969">
        <f>AU262/AR262-1</f>
        <v>3.5149384885764245E-3</v>
      </c>
      <c r="AV263" s="969"/>
      <c r="AW263" s="969"/>
      <c r="AX263" s="969">
        <f>AX262/AU262-1</f>
        <v>3.5026269702276291E-3</v>
      </c>
      <c r="AY263" s="969"/>
      <c r="AZ263" s="969"/>
      <c r="BA263" s="969">
        <f>BA262/AX262-1</f>
        <v>3.4904013961605251E-3</v>
      </c>
      <c r="BB263" s="969"/>
      <c r="BC263" s="969"/>
      <c r="BD263" s="969">
        <f>BD262/BA262-1</f>
        <v>3.4782608695651529E-3</v>
      </c>
      <c r="BE263" s="969"/>
      <c r="BF263" s="969"/>
      <c r="BG263" s="969">
        <f>BG262/BD262-1</f>
        <v>3.4662045060658286E-3</v>
      </c>
      <c r="BH263" s="969"/>
      <c r="BI263" s="969"/>
      <c r="BJ263" s="969">
        <f t="shared" ref="BJ263" si="726">BJ262/BG262-1</f>
        <v>3.4542314335059832E-3</v>
      </c>
      <c r="BK263" s="873"/>
    </row>
    <row r="264" spans="2:64" s="1192" customFormat="1" hidden="1" outlineLevel="1">
      <c r="B264" s="1186" t="s">
        <v>139</v>
      </c>
      <c r="C264" s="1057">
        <f>C152+C205+C252</f>
        <v>311</v>
      </c>
      <c r="D264" s="1187">
        <f>E264-C264</f>
        <v>242.5</v>
      </c>
      <c r="E264" s="1057">
        <v>553.5</v>
      </c>
      <c r="F264" s="1057">
        <v>299.10000000000002</v>
      </c>
      <c r="G264" s="1187">
        <f>H264-F264</f>
        <v>-299.10000000000002</v>
      </c>
      <c r="H264" s="1057"/>
      <c r="I264" s="1187"/>
      <c r="J264" s="1187"/>
      <c r="K264" s="1188"/>
      <c r="L264" s="1187"/>
      <c r="M264" s="1187"/>
      <c r="N264" s="1187"/>
      <c r="O264" s="1187"/>
      <c r="P264" s="1187"/>
      <c r="Q264" s="1187"/>
      <c r="R264" s="1187"/>
      <c r="S264" s="1187"/>
      <c r="T264" s="1187"/>
      <c r="U264" s="1187"/>
      <c r="V264" s="1187"/>
      <c r="W264" s="1187"/>
      <c r="X264" s="1187"/>
      <c r="Y264" s="1187"/>
      <c r="Z264" s="1187"/>
      <c r="AA264" s="1187"/>
      <c r="AB264" s="1187"/>
      <c r="AC264" s="1189"/>
      <c r="AD264" s="1187"/>
      <c r="AE264" s="1187"/>
      <c r="AF264" s="1187">
        <f>AF152+AF205</f>
        <v>1233.0553291211006</v>
      </c>
      <c r="AG264" s="1187"/>
      <c r="AH264" s="1187"/>
      <c r="AI264" s="1187">
        <f>AI152+AI205</f>
        <v>1288.1346682256633</v>
      </c>
      <c r="AJ264" s="1187"/>
      <c r="AK264" s="1187"/>
      <c r="AL264" s="1187">
        <f>AL152+AL205</f>
        <v>1357.4847031403576</v>
      </c>
      <c r="AM264" s="1187"/>
      <c r="AN264" s="1187"/>
      <c r="AO264" s="1187">
        <f>AO152+AO205</f>
        <v>1422.3764069948488</v>
      </c>
      <c r="AP264" s="1187"/>
      <c r="AQ264" s="1187"/>
      <c r="AR264" s="1187">
        <f>AR152+AR205</f>
        <v>1483.5327712888934</v>
      </c>
      <c r="AS264" s="1187"/>
      <c r="AT264" s="1187"/>
      <c r="AU264" s="1187">
        <f>AU152+AU205</f>
        <v>1540.3755914919971</v>
      </c>
      <c r="AV264" s="1187"/>
      <c r="AW264" s="1187"/>
      <c r="AX264" s="1187">
        <f>AX152+AX205</f>
        <v>1596.1575302154779</v>
      </c>
      <c r="AY264" s="1187"/>
      <c r="AZ264" s="1187"/>
      <c r="BA264" s="1187">
        <f>BA152+BA205</f>
        <v>1653.9355540624924</v>
      </c>
      <c r="BB264" s="1187"/>
      <c r="BC264" s="1187"/>
      <c r="BD264" s="1187">
        <f>BD152+BD205</f>
        <v>1713.7804716434312</v>
      </c>
      <c r="BE264" s="1187"/>
      <c r="BF264" s="1187"/>
      <c r="BG264" s="1187">
        <f>BG152+BG205</f>
        <v>1775.7655874503957</v>
      </c>
      <c r="BH264" s="1187"/>
      <c r="BI264" s="1187"/>
      <c r="BJ264" s="1187">
        <f>BJ152+BJ205</f>
        <v>1839.9667894243237</v>
      </c>
      <c r="BK264" s="1190"/>
      <c r="BL264" s="1191"/>
    </row>
    <row r="265" spans="2:64" s="1192" customFormat="1" hidden="1" outlineLevel="1">
      <c r="B265" s="1193"/>
      <c r="C265" s="1194"/>
      <c r="D265" s="1195"/>
      <c r="E265" s="1194"/>
      <c r="F265" s="1194"/>
      <c r="G265" s="1195"/>
      <c r="H265" s="1194"/>
      <c r="I265" s="1195"/>
      <c r="J265" s="1195"/>
      <c r="K265" s="1196"/>
      <c r="L265" s="1195"/>
      <c r="M265" s="1195"/>
      <c r="N265" s="1195"/>
      <c r="O265" s="1195"/>
      <c r="P265" s="1195"/>
      <c r="Q265" s="1195"/>
      <c r="R265" s="1195"/>
      <c r="S265" s="1195"/>
      <c r="T265" s="1195"/>
      <c r="U265" s="857"/>
      <c r="V265" s="857"/>
      <c r="W265" s="1195"/>
      <c r="X265" s="857"/>
      <c r="Y265" s="857"/>
      <c r="Z265" s="1195"/>
      <c r="AA265" s="857"/>
      <c r="AB265" s="857"/>
      <c r="AC265" s="1287"/>
      <c r="AD265" s="857"/>
      <c r="AE265" s="857"/>
      <c r="AF265" s="1195"/>
      <c r="AG265" s="857"/>
      <c r="AH265" s="857"/>
      <c r="AI265" s="1195"/>
      <c r="AJ265" s="1195"/>
      <c r="AK265" s="1195"/>
      <c r="AL265" s="1195"/>
      <c r="AM265" s="1195"/>
      <c r="AN265" s="1195"/>
      <c r="AO265" s="1195"/>
      <c r="AP265" s="1195"/>
      <c r="AQ265" s="1195"/>
      <c r="AR265" s="1195"/>
      <c r="AS265" s="1195"/>
      <c r="AT265" s="1195"/>
      <c r="AU265" s="1195"/>
      <c r="AV265" s="1195"/>
      <c r="AW265" s="1195"/>
      <c r="AX265" s="1195"/>
      <c r="AY265" s="1195"/>
      <c r="AZ265" s="1195"/>
      <c r="BA265" s="1195"/>
      <c r="BB265" s="1195"/>
      <c r="BC265" s="1195"/>
      <c r="BD265" s="1195"/>
      <c r="BE265" s="1195"/>
      <c r="BF265" s="1195"/>
      <c r="BG265" s="1195"/>
      <c r="BH265" s="1195"/>
      <c r="BI265" s="1195"/>
      <c r="BJ265" s="1195"/>
      <c r="BK265" s="1195"/>
      <c r="BL265" s="1195"/>
    </row>
    <row r="266" spans="2:64" s="950" customFormat="1" hidden="1" outlineLevel="1">
      <c r="B266" s="942" t="s">
        <v>176</v>
      </c>
      <c r="C266" s="943">
        <v>5.8000000000000003E-2</v>
      </c>
      <c r="D266" s="943"/>
      <c r="E266" s="943">
        <v>4.8000000000000001E-2</v>
      </c>
      <c r="F266" s="943">
        <v>1.6E-2</v>
      </c>
      <c r="G266" s="943"/>
      <c r="H266" s="943"/>
      <c r="I266" s="907"/>
      <c r="J266" s="943"/>
      <c r="K266" s="904"/>
      <c r="L266" s="907"/>
      <c r="M266" s="943"/>
      <c r="N266" s="902"/>
      <c r="O266" s="902"/>
      <c r="P266" s="902"/>
      <c r="Q266" s="902"/>
      <c r="R266" s="902"/>
      <c r="S266" s="902"/>
      <c r="T266" s="902"/>
      <c r="U266" s="943"/>
      <c r="V266" s="943"/>
      <c r="W266" s="902"/>
      <c r="X266" s="943"/>
      <c r="Y266" s="943"/>
      <c r="Z266" s="902"/>
      <c r="AA266" s="943"/>
      <c r="AB266" s="943"/>
      <c r="AC266" s="905"/>
      <c r="AD266" s="943"/>
      <c r="AE266" s="943"/>
      <c r="AF266" s="902"/>
      <c r="AG266" s="943"/>
      <c r="AH266" s="943"/>
      <c r="AI266" s="902"/>
      <c r="AJ266" s="902"/>
      <c r="AK266" s="902"/>
      <c r="AL266" s="902"/>
      <c r="AM266" s="902"/>
      <c r="AN266" s="902"/>
      <c r="AO266" s="902"/>
      <c r="AP266" s="902"/>
      <c r="AQ266" s="902"/>
      <c r="AR266" s="902"/>
      <c r="AS266" s="902"/>
      <c r="AT266" s="902"/>
      <c r="AU266" s="902"/>
      <c r="AV266" s="902"/>
      <c r="AW266" s="902"/>
      <c r="AX266" s="902"/>
      <c r="AY266" s="902"/>
      <c r="AZ266" s="902"/>
      <c r="BA266" s="902"/>
      <c r="BB266" s="902"/>
      <c r="BC266" s="902"/>
      <c r="BD266" s="902"/>
      <c r="BE266" s="902"/>
      <c r="BF266" s="902"/>
      <c r="BG266" s="902"/>
      <c r="BH266" s="902"/>
      <c r="BI266" s="902"/>
      <c r="BJ266" s="902"/>
      <c r="BK266" s="949"/>
      <c r="BL266" s="1040"/>
    </row>
    <row r="267" spans="2:64" s="950" customFormat="1" hidden="1" outlineLevel="1">
      <c r="B267" s="1197" t="s">
        <v>150</v>
      </c>
      <c r="C267" s="943"/>
      <c r="D267" s="943"/>
      <c r="E267" s="943">
        <v>5.0999999999999997E-2</v>
      </c>
      <c r="F267" s="943">
        <v>1.6E-2</v>
      </c>
      <c r="G267" s="943"/>
      <c r="H267" s="943"/>
      <c r="I267" s="907"/>
      <c r="J267" s="943"/>
      <c r="K267" s="1110"/>
      <c r="L267" s="907"/>
      <c r="M267" s="943"/>
      <c r="N267" s="907"/>
      <c r="O267" s="907"/>
      <c r="P267" s="907"/>
      <c r="Q267" s="907"/>
      <c r="R267" s="907"/>
      <c r="S267" s="907"/>
      <c r="T267" s="907"/>
      <c r="U267" s="943"/>
      <c r="V267" s="943"/>
      <c r="W267" s="907"/>
      <c r="X267" s="943"/>
      <c r="Y267" s="943"/>
      <c r="Z267" s="902"/>
      <c r="AA267" s="943"/>
      <c r="AB267" s="943"/>
      <c r="AC267" s="905"/>
      <c r="AD267" s="943"/>
      <c r="AE267" s="943"/>
      <c r="AF267" s="902"/>
      <c r="AG267" s="943"/>
      <c r="AH267" s="943"/>
      <c r="AI267" s="902"/>
      <c r="AJ267" s="902"/>
      <c r="AK267" s="902"/>
      <c r="AL267" s="902"/>
      <c r="AM267" s="902"/>
      <c r="AN267" s="902"/>
      <c r="AO267" s="902"/>
      <c r="AP267" s="902"/>
      <c r="AQ267" s="902"/>
      <c r="AR267" s="902"/>
      <c r="AS267" s="902"/>
      <c r="AT267" s="902"/>
      <c r="AU267" s="902"/>
      <c r="AV267" s="902"/>
      <c r="AW267" s="902"/>
      <c r="AX267" s="902"/>
      <c r="AY267" s="902"/>
      <c r="AZ267" s="902"/>
      <c r="BA267" s="902"/>
      <c r="BB267" s="902"/>
      <c r="BC267" s="902"/>
      <c r="BD267" s="902"/>
      <c r="BE267" s="902"/>
      <c r="BF267" s="902"/>
      <c r="BG267" s="902"/>
      <c r="BH267" s="902"/>
      <c r="BI267" s="902"/>
      <c r="BJ267" s="902"/>
      <c r="BK267" s="949"/>
      <c r="BL267" s="1040"/>
    </row>
    <row r="268" spans="2:64" s="950" customFormat="1" hidden="1" outlineLevel="1">
      <c r="B268" s="1197" t="s">
        <v>246</v>
      </c>
      <c r="C268" s="943"/>
      <c r="D268" s="943"/>
      <c r="E268" s="943"/>
      <c r="F268" s="943"/>
      <c r="G268" s="943"/>
      <c r="H268" s="902"/>
      <c r="I268" s="943"/>
      <c r="J268" s="943"/>
      <c r="K268" s="904"/>
      <c r="L268" s="907"/>
      <c r="M268" s="943"/>
      <c r="N268" s="907"/>
      <c r="O268" s="907"/>
      <c r="P268" s="907"/>
      <c r="Q268" s="907"/>
      <c r="R268" s="907"/>
      <c r="S268" s="907"/>
      <c r="T268" s="907"/>
      <c r="U268" s="943"/>
      <c r="V268" s="943"/>
      <c r="W268" s="907"/>
      <c r="X268" s="943"/>
      <c r="Y268" s="943"/>
      <c r="Z268" s="902"/>
      <c r="AA268" s="943"/>
      <c r="AB268" s="943"/>
      <c r="AC268" s="905"/>
      <c r="AD268" s="943"/>
      <c r="AE268" s="943"/>
      <c r="AF268" s="902"/>
      <c r="AG268" s="943"/>
      <c r="AH268" s="943"/>
      <c r="AI268" s="902"/>
      <c r="AJ268" s="902"/>
      <c r="AK268" s="902"/>
      <c r="AL268" s="902"/>
      <c r="AM268" s="902"/>
      <c r="AN268" s="902"/>
      <c r="AO268" s="902"/>
      <c r="AP268" s="902"/>
      <c r="AQ268" s="902"/>
      <c r="AR268" s="902"/>
      <c r="AS268" s="902"/>
      <c r="AT268" s="902"/>
      <c r="AU268" s="902"/>
      <c r="AV268" s="902"/>
      <c r="AW268" s="902"/>
      <c r="AX268" s="902"/>
      <c r="AY268" s="902"/>
      <c r="AZ268" s="902"/>
      <c r="BA268" s="902"/>
      <c r="BB268" s="902"/>
      <c r="BC268" s="902"/>
      <c r="BD268" s="902"/>
      <c r="BE268" s="902"/>
      <c r="BF268" s="902"/>
      <c r="BG268" s="902"/>
      <c r="BH268" s="902"/>
      <c r="BI268" s="902"/>
      <c r="BJ268" s="902"/>
      <c r="BK268" s="949"/>
      <c r="BL268" s="1040"/>
    </row>
    <row r="269" spans="2:64" s="950" customFormat="1" hidden="1" outlineLevel="1">
      <c r="B269" s="1198" t="s">
        <v>131</v>
      </c>
      <c r="C269" s="943"/>
      <c r="D269" s="943"/>
      <c r="E269" s="943"/>
      <c r="F269" s="943"/>
      <c r="G269" s="943"/>
      <c r="H269" s="943"/>
      <c r="I269" s="907"/>
      <c r="J269" s="943"/>
      <c r="K269" s="1110"/>
      <c r="L269" s="907"/>
      <c r="M269" s="943"/>
      <c r="N269" s="902"/>
      <c r="O269" s="902"/>
      <c r="P269" s="902"/>
      <c r="Q269" s="902"/>
      <c r="R269" s="902"/>
      <c r="S269" s="902"/>
      <c r="T269" s="902"/>
      <c r="U269" s="943"/>
      <c r="V269" s="943"/>
      <c r="W269" s="902"/>
      <c r="X269" s="943"/>
      <c r="Y269" s="943"/>
      <c r="Z269" s="902"/>
      <c r="AA269" s="943"/>
      <c r="AB269" s="943"/>
      <c r="AC269" s="905"/>
      <c r="AD269" s="943"/>
      <c r="AE269" s="943"/>
      <c r="AF269" s="902"/>
      <c r="AG269" s="943"/>
      <c r="AH269" s="943"/>
      <c r="AI269" s="902"/>
      <c r="AJ269" s="902"/>
      <c r="AK269" s="902"/>
      <c r="AL269" s="902"/>
      <c r="AM269" s="902"/>
      <c r="AN269" s="902"/>
      <c r="AO269" s="902"/>
      <c r="AP269" s="902"/>
      <c r="AQ269" s="902"/>
      <c r="AR269" s="902"/>
      <c r="AS269" s="902"/>
      <c r="AT269" s="902"/>
      <c r="AU269" s="902"/>
      <c r="AV269" s="902"/>
      <c r="AW269" s="902"/>
      <c r="AX269" s="902"/>
      <c r="AY269" s="902"/>
      <c r="AZ269" s="902"/>
      <c r="BA269" s="902"/>
      <c r="BB269" s="902"/>
      <c r="BC269" s="902"/>
      <c r="BD269" s="902"/>
      <c r="BE269" s="902"/>
      <c r="BF269" s="902"/>
      <c r="BG269" s="902"/>
      <c r="BH269" s="902"/>
      <c r="BI269" s="902"/>
      <c r="BJ269" s="902"/>
      <c r="BK269" s="949"/>
      <c r="BL269" s="1199"/>
    </row>
    <row r="270" spans="2:64" s="950" customFormat="1" hidden="1" outlineLevel="1">
      <c r="B270" s="1198"/>
      <c r="C270" s="943"/>
      <c r="D270" s="943"/>
      <c r="E270" s="943"/>
      <c r="F270" s="943"/>
      <c r="G270" s="943"/>
      <c r="H270" s="943"/>
      <c r="I270" s="907"/>
      <c r="J270" s="943"/>
      <c r="K270" s="904"/>
      <c r="L270" s="907"/>
      <c r="M270" s="943"/>
      <c r="N270" s="902"/>
      <c r="O270" s="902"/>
      <c r="P270" s="902"/>
      <c r="Q270" s="902"/>
      <c r="R270" s="902"/>
      <c r="S270" s="902"/>
      <c r="T270" s="902"/>
      <c r="U270" s="943"/>
      <c r="V270" s="943"/>
      <c r="W270" s="902"/>
      <c r="X270" s="943"/>
      <c r="Y270" s="943"/>
      <c r="Z270" s="902"/>
      <c r="AA270" s="943"/>
      <c r="AB270" s="943"/>
      <c r="AC270" s="905"/>
      <c r="AD270" s="943"/>
      <c r="AE270" s="943"/>
      <c r="AF270" s="902"/>
      <c r="AG270" s="943"/>
      <c r="AH270" s="943"/>
      <c r="AI270" s="902"/>
      <c r="AJ270" s="902"/>
      <c r="AK270" s="902"/>
      <c r="AL270" s="902"/>
      <c r="AM270" s="902"/>
      <c r="AN270" s="902"/>
      <c r="AO270" s="902"/>
      <c r="AP270" s="902"/>
      <c r="AQ270" s="902"/>
      <c r="AR270" s="902"/>
      <c r="AS270" s="902"/>
      <c r="AT270" s="902"/>
      <c r="AU270" s="902"/>
      <c r="AV270" s="902"/>
      <c r="AW270" s="902"/>
      <c r="AX270" s="902"/>
      <c r="AY270" s="902"/>
      <c r="AZ270" s="902"/>
      <c r="BA270" s="902"/>
      <c r="BB270" s="902"/>
      <c r="BC270" s="902"/>
      <c r="BD270" s="902"/>
      <c r="BE270" s="902"/>
      <c r="BF270" s="902"/>
      <c r="BG270" s="902"/>
      <c r="BH270" s="902"/>
      <c r="BI270" s="902"/>
      <c r="BJ270" s="902"/>
      <c r="BK270" s="949"/>
      <c r="BL270" s="1199"/>
    </row>
    <row r="271" spans="2:64" s="950" customFormat="1" hidden="1" outlineLevel="1">
      <c r="C271" s="958"/>
      <c r="D271" s="958"/>
      <c r="E271" s="902"/>
      <c r="F271" s="958"/>
      <c r="G271" s="958"/>
      <c r="H271" s="902"/>
      <c r="I271" s="958"/>
      <c r="J271" s="958"/>
      <c r="K271" s="904"/>
      <c r="L271" s="958"/>
      <c r="M271" s="958"/>
      <c r="N271" s="902"/>
      <c r="O271" s="902"/>
      <c r="P271" s="902"/>
      <c r="Q271" s="902"/>
      <c r="R271" s="902"/>
      <c r="S271" s="902"/>
      <c r="T271" s="902"/>
      <c r="U271" s="958"/>
      <c r="V271" s="958"/>
      <c r="W271" s="902"/>
      <c r="X271" s="958"/>
      <c r="Y271" s="958"/>
      <c r="Z271" s="902"/>
      <c r="AA271" s="958"/>
      <c r="AB271" s="958"/>
      <c r="AC271" s="905"/>
      <c r="AD271" s="958"/>
      <c r="AE271" s="958"/>
      <c r="AF271" s="902"/>
      <c r="AG271" s="958"/>
      <c r="AH271" s="958"/>
      <c r="AI271" s="902"/>
      <c r="AJ271" s="902"/>
      <c r="AK271" s="902"/>
      <c r="AL271" s="902"/>
      <c r="AM271" s="902"/>
      <c r="AN271" s="902"/>
      <c r="AO271" s="902"/>
      <c r="AP271" s="902"/>
      <c r="AQ271" s="902"/>
      <c r="AR271" s="902"/>
      <c r="AS271" s="902"/>
      <c r="AT271" s="902"/>
      <c r="AU271" s="902"/>
      <c r="AV271" s="902"/>
      <c r="AW271" s="902"/>
      <c r="AX271" s="902"/>
      <c r="AY271" s="902"/>
      <c r="AZ271" s="902"/>
      <c r="BA271" s="902"/>
      <c r="BB271" s="902"/>
      <c r="BC271" s="902"/>
      <c r="BD271" s="902"/>
      <c r="BE271" s="902"/>
      <c r="BF271" s="902"/>
      <c r="BG271" s="902"/>
      <c r="BH271" s="902"/>
      <c r="BI271" s="902"/>
      <c r="BJ271" s="902"/>
      <c r="BK271" s="1039"/>
      <c r="BL271" s="1040"/>
    </row>
    <row r="272" spans="2:64" s="828" customFormat="1" hidden="1" outlineLevel="1">
      <c r="B272" s="828" t="s">
        <v>155</v>
      </c>
      <c r="C272" s="845">
        <f>C264*C273</f>
        <v>133.72999999999999</v>
      </c>
      <c r="D272" s="845">
        <f>E272-C272</f>
        <v>87.670000000000016</v>
      </c>
      <c r="E272" s="845">
        <f>E264*E273</f>
        <v>221.4</v>
      </c>
      <c r="F272" s="845">
        <f>F264*F273</f>
        <v>131.60400000000001</v>
      </c>
      <c r="G272" s="845">
        <f>H272-F272</f>
        <v>-131.60400000000001</v>
      </c>
      <c r="H272" s="845"/>
      <c r="I272" s="845"/>
      <c r="J272" s="845"/>
      <c r="K272" s="846"/>
      <c r="L272" s="845"/>
      <c r="M272" s="845"/>
      <c r="N272" s="845"/>
      <c r="O272" s="845"/>
      <c r="P272" s="845"/>
      <c r="Q272" s="845"/>
      <c r="R272" s="845"/>
      <c r="S272" s="845"/>
      <c r="T272" s="845"/>
      <c r="U272" s="845"/>
      <c r="V272" s="845"/>
      <c r="W272" s="845"/>
      <c r="X272" s="845"/>
      <c r="Y272" s="845"/>
      <c r="Z272" s="845"/>
      <c r="AA272" s="845"/>
      <c r="AB272" s="845"/>
      <c r="AC272" s="847"/>
      <c r="AD272" s="845"/>
      <c r="AE272" s="845"/>
      <c r="AF272" s="845">
        <f t="shared" ref="AF272:AU272" si="727">AF264*AF273</f>
        <v>0</v>
      </c>
      <c r="AG272" s="845"/>
      <c r="AH272" s="845"/>
      <c r="AI272" s="845">
        <f t="shared" si="727"/>
        <v>0</v>
      </c>
      <c r="AJ272" s="845"/>
      <c r="AK272" s="845"/>
      <c r="AL272" s="845">
        <f t="shared" si="727"/>
        <v>0</v>
      </c>
      <c r="AM272" s="845"/>
      <c r="AN272" s="845"/>
      <c r="AO272" s="845">
        <f t="shared" si="727"/>
        <v>0</v>
      </c>
      <c r="AP272" s="845"/>
      <c r="AQ272" s="845"/>
      <c r="AR272" s="845">
        <f t="shared" si="727"/>
        <v>0</v>
      </c>
      <c r="AS272" s="845"/>
      <c r="AT272" s="845"/>
      <c r="AU272" s="845">
        <f t="shared" si="727"/>
        <v>0</v>
      </c>
      <c r="AV272" s="845"/>
      <c r="AW272" s="845"/>
      <c r="AX272" s="845">
        <f t="shared" ref="AX272:BA272" si="728">AX264*AX273</f>
        <v>0</v>
      </c>
      <c r="AY272" s="845"/>
      <c r="AZ272" s="845"/>
      <c r="BA272" s="845">
        <f t="shared" si="728"/>
        <v>0</v>
      </c>
      <c r="BB272" s="845"/>
      <c r="BC272" s="845"/>
      <c r="BD272" s="845">
        <f t="shared" ref="BD272:BG272" si="729">BD264*BD273</f>
        <v>0</v>
      </c>
      <c r="BE272" s="845"/>
      <c r="BF272" s="845"/>
      <c r="BG272" s="845">
        <f t="shared" si="729"/>
        <v>0</v>
      </c>
      <c r="BH272" s="845"/>
      <c r="BI272" s="845"/>
      <c r="BJ272" s="845">
        <f t="shared" ref="BJ272" si="730">BJ264*BJ273</f>
        <v>0</v>
      </c>
      <c r="BK272" s="810"/>
      <c r="BL272" s="811"/>
    </row>
    <row r="273" spans="2:64" hidden="1" outlineLevel="1">
      <c r="B273" s="812" t="s">
        <v>158</v>
      </c>
      <c r="C273" s="1201">
        <v>0.43</v>
      </c>
      <c r="D273" s="1202">
        <f>D272/D264</f>
        <v>0.36152577319587637</v>
      </c>
      <c r="E273" s="1201">
        <v>0.4</v>
      </c>
      <c r="F273" s="1203">
        <f>C273+1%</f>
        <v>0.44</v>
      </c>
      <c r="G273" s="1202">
        <f>G272/G264</f>
        <v>0.44</v>
      </c>
      <c r="H273" s="1203"/>
      <c r="I273" s="1204"/>
      <c r="J273" s="1202"/>
      <c r="K273" s="1205"/>
      <c r="L273" s="1203"/>
      <c r="M273" s="1202"/>
      <c r="N273" s="1206"/>
      <c r="O273" s="1206"/>
      <c r="P273" s="1206"/>
      <c r="Q273" s="1206"/>
      <c r="R273" s="1206"/>
      <c r="S273" s="1206"/>
      <c r="T273" s="1206"/>
      <c r="U273" s="1203"/>
      <c r="V273" s="1202"/>
      <c r="W273" s="1206"/>
      <c r="X273" s="1203"/>
      <c r="Y273" s="1202"/>
      <c r="Z273" s="1206"/>
      <c r="AA273" s="1203"/>
      <c r="AB273" s="1202"/>
      <c r="AC273" s="1365"/>
      <c r="AD273" s="1203"/>
      <c r="AE273" s="1202"/>
      <c r="AF273" s="1206">
        <f>AC273</f>
        <v>0</v>
      </c>
      <c r="AG273" s="1203"/>
      <c r="AH273" s="1202"/>
      <c r="AI273" s="1206">
        <f>AF273</f>
        <v>0</v>
      </c>
      <c r="AJ273" s="1206"/>
      <c r="AK273" s="1206"/>
      <c r="AL273" s="1206">
        <f>AI273</f>
        <v>0</v>
      </c>
      <c r="AM273" s="1206"/>
      <c r="AN273" s="1206"/>
      <c r="AO273" s="1206">
        <f>AL273</f>
        <v>0</v>
      </c>
      <c r="AP273" s="1206"/>
      <c r="AQ273" s="1206"/>
      <c r="AR273" s="1206">
        <f>AO273</f>
        <v>0</v>
      </c>
      <c r="AS273" s="1206"/>
      <c r="AT273" s="1206"/>
      <c r="AU273" s="1206">
        <f>AR273</f>
        <v>0</v>
      </c>
      <c r="AV273" s="1206"/>
      <c r="AW273" s="1206"/>
      <c r="AX273" s="1206">
        <f>AU273</f>
        <v>0</v>
      </c>
      <c r="AY273" s="1206"/>
      <c r="AZ273" s="1206"/>
      <c r="BA273" s="1206">
        <f>AX273</f>
        <v>0</v>
      </c>
      <c r="BB273" s="1206"/>
      <c r="BC273" s="1206"/>
      <c r="BD273" s="1206">
        <f>BA273</f>
        <v>0</v>
      </c>
      <c r="BE273" s="1206"/>
      <c r="BF273" s="1206"/>
      <c r="BG273" s="1206">
        <f>BD273</f>
        <v>0</v>
      </c>
      <c r="BH273" s="1206"/>
      <c r="BI273" s="1206"/>
      <c r="BJ273" s="1206">
        <f t="shared" ref="BJ273" si="731">BG273</f>
        <v>0</v>
      </c>
      <c r="BK273" s="906"/>
    </row>
    <row r="274" spans="2:64" hidden="1" outlineLevel="1">
      <c r="C274" s="959"/>
      <c r="D274" s="959"/>
      <c r="E274" s="958"/>
      <c r="F274" s="959"/>
      <c r="G274" s="959"/>
      <c r="H274" s="958"/>
      <c r="I274" s="959"/>
      <c r="J274" s="959"/>
      <c r="K274" s="960"/>
      <c r="L274" s="959"/>
      <c r="M274" s="959"/>
      <c r="N274" s="958"/>
      <c r="O274" s="958"/>
      <c r="P274" s="958"/>
      <c r="Q274" s="958"/>
      <c r="R274" s="958"/>
      <c r="S274" s="958"/>
      <c r="T274" s="958"/>
      <c r="U274" s="959"/>
      <c r="V274" s="959"/>
      <c r="W274" s="958"/>
      <c r="X274" s="959"/>
      <c r="Y274" s="959"/>
      <c r="Z274" s="958"/>
      <c r="AA274" s="959"/>
      <c r="AB274" s="959"/>
      <c r="AC274" s="1200"/>
      <c r="AD274" s="959"/>
      <c r="AE274" s="959"/>
      <c r="AF274" s="958"/>
      <c r="AG274" s="959"/>
      <c r="AH274" s="959"/>
      <c r="AI274" s="958"/>
      <c r="AJ274" s="958"/>
      <c r="AK274" s="958"/>
      <c r="AL274" s="958"/>
      <c r="AM274" s="958"/>
      <c r="AN274" s="958"/>
      <c r="AO274" s="958"/>
      <c r="AP274" s="958"/>
      <c r="AQ274" s="958"/>
      <c r="AR274" s="958"/>
      <c r="AS274" s="958"/>
      <c r="AT274" s="958"/>
      <c r="AU274" s="958"/>
      <c r="AV274" s="958"/>
      <c r="AW274" s="958"/>
      <c r="AX274" s="958"/>
      <c r="AY274" s="958"/>
      <c r="AZ274" s="958"/>
      <c r="BA274" s="958"/>
      <c r="BB274" s="958"/>
      <c r="BC274" s="958"/>
      <c r="BD274" s="958"/>
      <c r="BE274" s="958"/>
      <c r="BF274" s="958"/>
      <c r="BG274" s="958"/>
      <c r="BH274" s="958"/>
      <c r="BI274" s="958"/>
      <c r="BJ274" s="958"/>
    </row>
    <row r="275" spans="2:64" hidden="1" outlineLevel="1">
      <c r="B275" s="828" t="s">
        <v>222</v>
      </c>
      <c r="C275" s="1207">
        <f>+C264-C279</f>
        <v>281.89999999999998</v>
      </c>
      <c r="D275" s="1207">
        <f>+D264-D279</f>
        <v>228.5</v>
      </c>
      <c r="E275" s="1207">
        <f>+E264-E279</f>
        <v>510.4</v>
      </c>
      <c r="F275" s="1208">
        <f t="shared" ref="F275:AU275" si="732">+F272-F279</f>
        <v>106.30400000000002</v>
      </c>
      <c r="G275" s="1208">
        <f t="shared" si="732"/>
        <v>-106.30400000000002</v>
      </c>
      <c r="H275" s="1208"/>
      <c r="I275" s="1208"/>
      <c r="J275" s="1208"/>
      <c r="K275" s="1209"/>
      <c r="L275" s="1208"/>
      <c r="M275" s="1208"/>
      <c r="N275" s="1208"/>
      <c r="O275" s="1208"/>
      <c r="P275" s="1208"/>
      <c r="Q275" s="1208"/>
      <c r="R275" s="1208"/>
      <c r="S275" s="1208"/>
      <c r="T275" s="1208"/>
      <c r="U275" s="1208"/>
      <c r="V275" s="1208"/>
      <c r="W275" s="1208"/>
      <c r="X275" s="1208"/>
      <c r="Y275" s="1208"/>
      <c r="Z275" s="1208"/>
      <c r="AA275" s="1208"/>
      <c r="AB275" s="1208"/>
      <c r="AC275" s="1210"/>
      <c r="AD275" s="1208"/>
      <c r="AE275" s="1208"/>
      <c r="AF275" s="1208">
        <f t="shared" si="732"/>
        <v>-94.381150544127465</v>
      </c>
      <c r="AG275" s="1208"/>
      <c r="AH275" s="1208"/>
      <c r="AI275" s="1208">
        <f t="shared" si="732"/>
        <v>-100.78318681289963</v>
      </c>
      <c r="AJ275" s="1208"/>
      <c r="AK275" s="1208"/>
      <c r="AL275" s="1208">
        <f t="shared" si="732"/>
        <v>-106.59206507089031</v>
      </c>
      <c r="AM275" s="1208"/>
      <c r="AN275" s="1208"/>
      <c r="AO275" s="1208">
        <f t="shared" si="732"/>
        <v>-111.85664597151742</v>
      </c>
      <c r="AP275" s="1208"/>
      <c r="AQ275" s="1208"/>
      <c r="AR275" s="1208">
        <f t="shared" si="732"/>
        <v>-116.89942923982085</v>
      </c>
      <c r="AS275" s="1208"/>
      <c r="AT275" s="1208"/>
      <c r="AU275" s="1208">
        <f t="shared" si="732"/>
        <v>-121.61857665392463</v>
      </c>
      <c r="AV275" s="1208"/>
      <c r="AW275" s="1208"/>
      <c r="AX275" s="1208">
        <f t="shared" ref="AX275:BA275" si="733">+AX272-AX279</f>
        <v>-126.27941885003357</v>
      </c>
      <c r="AY275" s="1208"/>
      <c r="AZ275" s="1208"/>
      <c r="BA275" s="1208">
        <f t="shared" si="733"/>
        <v>-131.11717081311434</v>
      </c>
      <c r="BB275" s="1208"/>
      <c r="BC275" s="1208"/>
      <c r="BD275" s="1208">
        <f t="shared" ref="BD275:BG275" si="734">+BD272-BD279</f>
        <v>-136.13848048237705</v>
      </c>
      <c r="BE275" s="1208"/>
      <c r="BF275" s="1208"/>
      <c r="BG275" s="1208">
        <f t="shared" si="734"/>
        <v>-141.3502432492802</v>
      </c>
      <c r="BH275" s="1208"/>
      <c r="BI275" s="1208"/>
      <c r="BJ275" s="1208">
        <f t="shared" ref="BJ275" si="735">+BJ272-BJ279</f>
        <v>-146.7596110893773</v>
      </c>
      <c r="BK275" s="1211"/>
    </row>
    <row r="276" spans="2:64" hidden="1" outlineLevel="1">
      <c r="C276" s="959"/>
      <c r="D276" s="959"/>
      <c r="E276" s="958"/>
      <c r="F276" s="959"/>
      <c r="G276" s="959"/>
      <c r="H276" s="958"/>
      <c r="I276" s="959"/>
      <c r="J276" s="959"/>
      <c r="K276" s="960"/>
      <c r="L276" s="959"/>
      <c r="M276" s="959"/>
      <c r="N276" s="958"/>
      <c r="O276" s="958"/>
      <c r="P276" s="958"/>
      <c r="Q276" s="958"/>
      <c r="R276" s="958"/>
      <c r="S276" s="958"/>
      <c r="T276" s="958"/>
      <c r="U276" s="959"/>
      <c r="V276" s="959"/>
      <c r="W276" s="958"/>
      <c r="X276" s="959"/>
      <c r="Y276" s="959"/>
      <c r="Z276" s="958"/>
      <c r="AA276" s="959"/>
      <c r="AB276" s="959"/>
      <c r="AC276" s="1200"/>
      <c r="AD276" s="959"/>
      <c r="AE276" s="959"/>
      <c r="AF276" s="958"/>
      <c r="AG276" s="959"/>
      <c r="AH276" s="959"/>
      <c r="AI276" s="958"/>
      <c r="AJ276" s="958"/>
      <c r="AK276" s="958"/>
      <c r="AL276" s="958"/>
      <c r="AM276" s="958"/>
      <c r="AN276" s="958"/>
      <c r="AO276" s="958"/>
      <c r="AP276" s="958"/>
      <c r="AQ276" s="958"/>
      <c r="AR276" s="958"/>
      <c r="AS276" s="958"/>
      <c r="AT276" s="958"/>
      <c r="AU276" s="958"/>
      <c r="AV276" s="958"/>
      <c r="AW276" s="958"/>
      <c r="AX276" s="958"/>
      <c r="AY276" s="958"/>
      <c r="AZ276" s="958"/>
      <c r="BA276" s="958"/>
      <c r="BB276" s="958"/>
      <c r="BC276" s="958"/>
      <c r="BD276" s="958"/>
      <c r="BE276" s="958"/>
      <c r="BF276" s="958"/>
      <c r="BG276" s="958"/>
      <c r="BH276" s="958"/>
      <c r="BI276" s="958"/>
      <c r="BJ276" s="958"/>
    </row>
    <row r="277" spans="2:64" hidden="1" outlineLevel="1">
      <c r="B277" s="1000" t="s">
        <v>223</v>
      </c>
      <c r="C277" s="987" t="e">
        <f>-C275/C256</f>
        <v>#DIV/0!</v>
      </c>
      <c r="D277" s="987" t="e">
        <f>-D275/D256</f>
        <v>#DIV/0!</v>
      </c>
      <c r="E277" s="987" t="e">
        <f>-E275/E256</f>
        <v>#DIV/0!</v>
      </c>
      <c r="F277" s="987">
        <f t="shared" ref="F277:AU277" si="736">F275/F264</f>
        <v>0.35541290538281511</v>
      </c>
      <c r="G277" s="987">
        <f t="shared" si="736"/>
        <v>0.35541290538281511</v>
      </c>
      <c r="H277" s="987"/>
      <c r="I277" s="987"/>
      <c r="J277" s="987"/>
      <c r="K277" s="1001"/>
      <c r="L277" s="987"/>
      <c r="M277" s="987"/>
      <c r="N277" s="987"/>
      <c r="O277" s="987"/>
      <c r="P277" s="987"/>
      <c r="Q277" s="987"/>
      <c r="R277" s="987"/>
      <c r="S277" s="987"/>
      <c r="T277" s="987"/>
      <c r="U277" s="987"/>
      <c r="V277" s="987"/>
      <c r="W277" s="987"/>
      <c r="X277" s="987"/>
      <c r="Y277" s="987"/>
      <c r="Z277" s="987"/>
      <c r="AA277" s="987"/>
      <c r="AB277" s="987"/>
      <c r="AC277" s="1002"/>
      <c r="AD277" s="987"/>
      <c r="AE277" s="987"/>
      <c r="AF277" s="987">
        <f t="shared" si="736"/>
        <v>-7.6542510554981041E-2</v>
      </c>
      <c r="AG277" s="987"/>
      <c r="AH277" s="987"/>
      <c r="AI277" s="987">
        <f t="shared" si="736"/>
        <v>-7.8239635419271092E-2</v>
      </c>
      <c r="AJ277" s="987"/>
      <c r="AK277" s="987"/>
      <c r="AL277" s="987">
        <f t="shared" si="736"/>
        <v>-7.8521743062226743E-2</v>
      </c>
      <c r="AM277" s="987"/>
      <c r="AN277" s="987"/>
      <c r="AO277" s="987">
        <f t="shared" si="736"/>
        <v>-7.8640678670876263E-2</v>
      </c>
      <c r="AP277" s="987"/>
      <c r="AQ277" s="987"/>
      <c r="AR277" s="987">
        <f t="shared" si="736"/>
        <v>-7.8798009388264881E-2</v>
      </c>
      <c r="AS277" s="987"/>
      <c r="AT277" s="987"/>
      <c r="AU277" s="987">
        <f t="shared" si="736"/>
        <v>-7.895384562418685E-2</v>
      </c>
      <c r="AV277" s="987"/>
      <c r="AW277" s="987"/>
      <c r="AX277" s="987">
        <f t="shared" ref="AX277:BA277" si="737">AX275/AX264</f>
        <v>-7.9114634025493777E-2</v>
      </c>
      <c r="AY277" s="987"/>
      <c r="AZ277" s="987"/>
      <c r="BA277" s="987">
        <f t="shared" si="737"/>
        <v>-7.9275864462225717E-2</v>
      </c>
      <c r="BB277" s="987"/>
      <c r="BC277" s="987"/>
      <c r="BD277" s="987">
        <f t="shared" ref="BD277:BG277" si="738">BD275/BD264</f>
        <v>-7.9437525829563774E-2</v>
      </c>
      <c r="BE277" s="987"/>
      <c r="BF277" s="987"/>
      <c r="BG277" s="987">
        <f t="shared" si="738"/>
        <v>-7.959960720504089E-2</v>
      </c>
      <c r="BH277" s="987"/>
      <c r="BI277" s="987"/>
      <c r="BJ277" s="987">
        <f t="shared" ref="BJ277" si="739">BJ275/BJ264</f>
        <v>-7.9762097844871677E-2</v>
      </c>
      <c r="BK277" s="906"/>
    </row>
    <row r="278" spans="2:64" hidden="1" outlineLevel="1">
      <c r="C278" s="959"/>
      <c r="D278" s="959"/>
      <c r="E278" s="958"/>
      <c r="F278" s="959"/>
      <c r="G278" s="959"/>
      <c r="H278" s="958"/>
      <c r="I278" s="959"/>
      <c r="J278" s="959"/>
      <c r="K278" s="960"/>
      <c r="L278" s="959"/>
      <c r="M278" s="959"/>
      <c r="N278" s="958"/>
      <c r="O278" s="958"/>
      <c r="P278" s="958"/>
      <c r="Q278" s="958"/>
      <c r="R278" s="958"/>
      <c r="S278" s="958"/>
      <c r="T278" s="958"/>
      <c r="U278" s="959"/>
      <c r="V278" s="959"/>
      <c r="W278" s="958"/>
      <c r="X278" s="959"/>
      <c r="Y278" s="959"/>
      <c r="Z278" s="958"/>
      <c r="AA278" s="959"/>
      <c r="AB278" s="959"/>
      <c r="AC278" s="1200"/>
      <c r="AD278" s="959"/>
      <c r="AE278" s="959"/>
      <c r="AF278" s="958"/>
      <c r="AG278" s="959"/>
      <c r="AH278" s="959"/>
      <c r="AI278" s="958"/>
      <c r="AJ278" s="958"/>
      <c r="AK278" s="958"/>
      <c r="AL278" s="958"/>
      <c r="AM278" s="958"/>
      <c r="AN278" s="958"/>
      <c r="AO278" s="958"/>
      <c r="AP278" s="958"/>
      <c r="AQ278" s="958"/>
      <c r="AR278" s="958"/>
      <c r="AS278" s="958"/>
      <c r="AT278" s="958"/>
      <c r="AU278" s="958"/>
      <c r="AV278" s="958"/>
      <c r="AW278" s="958"/>
      <c r="AX278" s="958"/>
      <c r="AY278" s="958"/>
      <c r="AZ278" s="958"/>
      <c r="BA278" s="958"/>
      <c r="BB278" s="958"/>
      <c r="BC278" s="958"/>
      <c r="BD278" s="958"/>
      <c r="BE278" s="958"/>
      <c r="BF278" s="958"/>
      <c r="BG278" s="958"/>
      <c r="BH278" s="958"/>
      <c r="BI278" s="958"/>
      <c r="BJ278" s="958"/>
    </row>
    <row r="279" spans="2:64" hidden="1" outlineLevel="1">
      <c r="B279" s="828" t="s">
        <v>66</v>
      </c>
      <c r="C279" s="972">
        <v>29.1</v>
      </c>
      <c r="D279" s="973">
        <f>+E279-C279</f>
        <v>14</v>
      </c>
      <c r="E279" s="974">
        <v>43.1</v>
      </c>
      <c r="F279" s="972">
        <v>25.3</v>
      </c>
      <c r="G279" s="973">
        <f>+H279-F279</f>
        <v>-25.3</v>
      </c>
      <c r="H279" s="974"/>
      <c r="I279" s="1082"/>
      <c r="J279" s="973"/>
      <c r="K279" s="977"/>
      <c r="L279" s="1082"/>
      <c r="M279" s="979"/>
      <c r="N279" s="975"/>
      <c r="O279" s="975"/>
      <c r="P279" s="975"/>
      <c r="Q279" s="975"/>
      <c r="R279" s="975"/>
      <c r="S279" s="975"/>
      <c r="T279" s="975"/>
      <c r="U279" s="979"/>
      <c r="V279" s="979"/>
      <c r="W279" s="975"/>
      <c r="X279" s="979"/>
      <c r="Y279" s="979"/>
      <c r="Z279" s="979"/>
      <c r="AA279" s="979"/>
      <c r="AB279" s="979"/>
      <c r="AC279" s="1095"/>
      <c r="AD279" s="979"/>
      <c r="AE279" s="979"/>
      <c r="AF279" s="979">
        <f t="shared" ref="AF279:AU279" si="740">AF287-AF283</f>
        <v>94.381150544127465</v>
      </c>
      <c r="AG279" s="979"/>
      <c r="AH279" s="979"/>
      <c r="AI279" s="979">
        <f t="shared" si="740"/>
        <v>100.78318681289963</v>
      </c>
      <c r="AJ279" s="979"/>
      <c r="AK279" s="979"/>
      <c r="AL279" s="979">
        <f t="shared" si="740"/>
        <v>106.59206507089031</v>
      </c>
      <c r="AM279" s="979"/>
      <c r="AN279" s="979"/>
      <c r="AO279" s="979">
        <f t="shared" si="740"/>
        <v>111.85664597151742</v>
      </c>
      <c r="AP279" s="979"/>
      <c r="AQ279" s="979"/>
      <c r="AR279" s="979">
        <f t="shared" si="740"/>
        <v>116.89942923982085</v>
      </c>
      <c r="AS279" s="979"/>
      <c r="AT279" s="979"/>
      <c r="AU279" s="979">
        <f t="shared" si="740"/>
        <v>121.61857665392463</v>
      </c>
      <c r="AV279" s="979"/>
      <c r="AW279" s="979"/>
      <c r="AX279" s="979">
        <f t="shared" ref="AX279:BA279" si="741">AX287-AX283</f>
        <v>126.27941885003357</v>
      </c>
      <c r="AY279" s="979"/>
      <c r="AZ279" s="979"/>
      <c r="BA279" s="979">
        <f t="shared" si="741"/>
        <v>131.11717081311434</v>
      </c>
      <c r="BB279" s="979"/>
      <c r="BC279" s="979"/>
      <c r="BD279" s="979">
        <f t="shared" ref="BD279:BG279" si="742">BD287-BD283</f>
        <v>136.13848048237705</v>
      </c>
      <c r="BE279" s="979"/>
      <c r="BF279" s="979"/>
      <c r="BG279" s="979">
        <f t="shared" si="742"/>
        <v>141.3502432492802</v>
      </c>
      <c r="BH279" s="979"/>
      <c r="BI279" s="979"/>
      <c r="BJ279" s="979">
        <f t="shared" ref="BJ279" si="743">BJ287-BJ283</f>
        <v>146.7596110893773</v>
      </c>
      <c r="BK279" s="873"/>
    </row>
    <row r="280" spans="2:64" hidden="1" outlineLevel="1">
      <c r="B280" s="1112" t="s">
        <v>42</v>
      </c>
      <c r="C280" s="969" t="e">
        <f>+C279/#REF!-1</f>
        <v>#REF!</v>
      </c>
      <c r="D280" s="969" t="e">
        <f>+D279/#REF!-1</f>
        <v>#REF!</v>
      </c>
      <c r="E280" s="969" t="e">
        <f>+E279/#REF!-1</f>
        <v>#REF!</v>
      </c>
      <c r="F280" s="969">
        <f t="shared" ref="F280:G280" si="744">+F279/C279-1</f>
        <v>-0.13058419243986252</v>
      </c>
      <c r="G280" s="969">
        <f t="shared" si="744"/>
        <v>-2.8071428571428569</v>
      </c>
      <c r="H280" s="969"/>
      <c r="I280" s="969"/>
      <c r="J280" s="969"/>
      <c r="K280" s="1184"/>
      <c r="L280" s="969"/>
      <c r="M280" s="969"/>
      <c r="N280" s="969"/>
      <c r="O280" s="969"/>
      <c r="P280" s="969"/>
      <c r="Q280" s="969"/>
      <c r="R280" s="969"/>
      <c r="S280" s="969"/>
      <c r="T280" s="969"/>
      <c r="U280" s="907"/>
      <c r="V280" s="907"/>
      <c r="W280" s="969"/>
      <c r="X280" s="907"/>
      <c r="Y280" s="907"/>
      <c r="Z280" s="969"/>
      <c r="AA280" s="907"/>
      <c r="AB280" s="907"/>
      <c r="AC280" s="1185"/>
      <c r="AD280" s="907"/>
      <c r="AE280" s="907"/>
      <c r="AF280" s="969" t="e">
        <f>AF279/AC279-1</f>
        <v>#DIV/0!</v>
      </c>
      <c r="AG280" s="907"/>
      <c r="AH280" s="907"/>
      <c r="AI280" s="969">
        <f>AI279/AF279-1</f>
        <v>6.7831725210627969E-2</v>
      </c>
      <c r="AJ280" s="969"/>
      <c r="AK280" s="969"/>
      <c r="AL280" s="969">
        <f>AL279/AI279-1</f>
        <v>5.7637374265358865E-2</v>
      </c>
      <c r="AM280" s="969"/>
      <c r="AN280" s="969"/>
      <c r="AO280" s="969">
        <f>AO279/AL279-1</f>
        <v>4.938998880569434E-2</v>
      </c>
      <c r="AP280" s="969"/>
      <c r="AQ280" s="969"/>
      <c r="AR280" s="969">
        <f>AR279/AO279-1</f>
        <v>4.5082553875140263E-2</v>
      </c>
      <c r="AS280" s="969"/>
      <c r="AT280" s="969"/>
      <c r="AU280" s="969">
        <f>AU279/AR279-1</f>
        <v>4.0369293886135083E-2</v>
      </c>
      <c r="AV280" s="969"/>
      <c r="AW280" s="969"/>
      <c r="AX280" s="969">
        <f>AX279/AU279-1</f>
        <v>3.8323439760125755E-2</v>
      </c>
      <c r="AY280" s="969"/>
      <c r="AZ280" s="969"/>
      <c r="BA280" s="969">
        <f>BA279/AX279-1</f>
        <v>3.830990043457505E-2</v>
      </c>
      <c r="BB280" s="969"/>
      <c r="BC280" s="969"/>
      <c r="BD280" s="969">
        <f>BD279/BA279-1</f>
        <v>3.8296354612621597E-2</v>
      </c>
      <c r="BE280" s="969"/>
      <c r="BF280" s="969"/>
      <c r="BG280" s="969">
        <f>BG279/BD279-1</f>
        <v>3.8282804012770066E-2</v>
      </c>
      <c r="BH280" s="969"/>
      <c r="BI280" s="969"/>
      <c r="BJ280" s="969">
        <f t="shared" ref="BJ280" si="745">BJ279/BG279-1</f>
        <v>3.8269250308663016E-2</v>
      </c>
      <c r="BK280" s="873"/>
    </row>
    <row r="281" spans="2:64" hidden="1" outlineLevel="1">
      <c r="B281" s="1000" t="s">
        <v>59</v>
      </c>
      <c r="C281" s="987">
        <f t="shared" ref="C281:AU281" si="746">+C279/C264</f>
        <v>9.3569131832797428E-2</v>
      </c>
      <c r="D281" s="902">
        <f t="shared" si="746"/>
        <v>5.7731958762886601E-2</v>
      </c>
      <c r="E281" s="987">
        <f t="shared" si="746"/>
        <v>7.7868112014453483E-2</v>
      </c>
      <c r="F281" s="987">
        <f t="shared" si="746"/>
        <v>8.4587094617184888E-2</v>
      </c>
      <c r="G281" s="987">
        <f t="shared" si="746"/>
        <v>8.4587094617184888E-2</v>
      </c>
      <c r="H281" s="987"/>
      <c r="I281" s="987"/>
      <c r="J281" s="987"/>
      <c r="K281" s="1001"/>
      <c r="L281" s="987"/>
      <c r="M281" s="987"/>
      <c r="N281" s="987"/>
      <c r="O281" s="987"/>
      <c r="P281" s="987"/>
      <c r="Q281" s="987"/>
      <c r="R281" s="987"/>
      <c r="S281" s="987"/>
      <c r="T281" s="987"/>
      <c r="U281" s="987"/>
      <c r="V281" s="987"/>
      <c r="W281" s="987"/>
      <c r="X281" s="987"/>
      <c r="Y281" s="987"/>
      <c r="Z281" s="987"/>
      <c r="AA281" s="987"/>
      <c r="AB281" s="987"/>
      <c r="AC281" s="1002"/>
      <c r="AD281" s="987"/>
      <c r="AE281" s="987"/>
      <c r="AF281" s="987">
        <f t="shared" si="746"/>
        <v>7.6542510554981041E-2</v>
      </c>
      <c r="AG281" s="987"/>
      <c r="AH281" s="987"/>
      <c r="AI281" s="987">
        <f t="shared" si="746"/>
        <v>7.8239635419271092E-2</v>
      </c>
      <c r="AJ281" s="987"/>
      <c r="AK281" s="987"/>
      <c r="AL281" s="987">
        <f t="shared" si="746"/>
        <v>7.8521743062226743E-2</v>
      </c>
      <c r="AM281" s="987"/>
      <c r="AN281" s="987"/>
      <c r="AO281" s="987">
        <f t="shared" si="746"/>
        <v>7.8640678670876263E-2</v>
      </c>
      <c r="AP281" s="987"/>
      <c r="AQ281" s="987"/>
      <c r="AR281" s="987">
        <f t="shared" si="746"/>
        <v>7.8798009388264881E-2</v>
      </c>
      <c r="AS281" s="987"/>
      <c r="AT281" s="987"/>
      <c r="AU281" s="987">
        <f t="shared" si="746"/>
        <v>7.895384562418685E-2</v>
      </c>
      <c r="AV281" s="987"/>
      <c r="AW281" s="987"/>
      <c r="AX281" s="987">
        <f t="shared" ref="AX281:BA281" si="747">+AX279/AX264</f>
        <v>7.9114634025493777E-2</v>
      </c>
      <c r="AY281" s="987"/>
      <c r="AZ281" s="987"/>
      <c r="BA281" s="987">
        <f t="shared" si="747"/>
        <v>7.9275864462225717E-2</v>
      </c>
      <c r="BB281" s="987"/>
      <c r="BC281" s="987"/>
      <c r="BD281" s="987">
        <f t="shared" ref="BD281:BG281" si="748">+BD279/BD264</f>
        <v>7.9437525829563774E-2</v>
      </c>
      <c r="BE281" s="987"/>
      <c r="BF281" s="987"/>
      <c r="BG281" s="987">
        <f t="shared" si="748"/>
        <v>7.959960720504089E-2</v>
      </c>
      <c r="BH281" s="987"/>
      <c r="BI281" s="987"/>
      <c r="BJ281" s="987">
        <f t="shared" ref="BJ281" si="749">+BJ279/BJ264</f>
        <v>7.9762097844871677E-2</v>
      </c>
      <c r="BK281" s="906"/>
    </row>
    <row r="282" spans="2:64" hidden="1" outlineLevel="1">
      <c r="B282" s="828"/>
      <c r="C282" s="902">
        <f>+C279/E279</f>
        <v>0.67517401392111365</v>
      </c>
      <c r="D282" s="959"/>
      <c r="E282" s="958"/>
      <c r="F282" s="902" t="e">
        <f>+F279/H279</f>
        <v>#DIV/0!</v>
      </c>
      <c r="G282" s="959"/>
      <c r="H282" s="958"/>
      <c r="I282" s="959"/>
      <c r="J282" s="959"/>
      <c r="K282" s="960"/>
      <c r="L282" s="959"/>
      <c r="M282" s="959"/>
      <c r="N282" s="958"/>
      <c r="O282" s="958"/>
      <c r="P282" s="958"/>
      <c r="Q282" s="958"/>
      <c r="R282" s="958"/>
      <c r="S282" s="958"/>
      <c r="T282" s="958"/>
      <c r="U282" s="959"/>
      <c r="V282" s="959"/>
      <c r="W282" s="958"/>
      <c r="X282" s="959"/>
      <c r="Y282" s="959"/>
      <c r="Z282" s="958"/>
      <c r="AA282" s="959"/>
      <c r="AB282" s="959"/>
      <c r="AC282" s="1200"/>
      <c r="AD282" s="959"/>
      <c r="AE282" s="959"/>
      <c r="AF282" s="958"/>
      <c r="AG282" s="959"/>
      <c r="AH282" s="959"/>
      <c r="AI282" s="958"/>
      <c r="AJ282" s="958"/>
      <c r="AK282" s="958"/>
      <c r="AL282" s="958"/>
      <c r="AM282" s="958"/>
      <c r="AN282" s="958"/>
      <c r="AO282" s="958"/>
      <c r="AP282" s="958"/>
      <c r="AQ282" s="958"/>
      <c r="AR282" s="958"/>
      <c r="AS282" s="958"/>
      <c r="AT282" s="958"/>
      <c r="AU282" s="958"/>
      <c r="AV282" s="958"/>
      <c r="AW282" s="958"/>
      <c r="AX282" s="958"/>
      <c r="AY282" s="958"/>
      <c r="AZ282" s="958"/>
      <c r="BA282" s="958"/>
      <c r="BB282" s="958"/>
      <c r="BC282" s="958"/>
      <c r="BD282" s="958"/>
      <c r="BE282" s="958"/>
      <c r="BF282" s="958"/>
      <c r="BG282" s="958"/>
      <c r="BH282" s="958"/>
      <c r="BI282" s="958"/>
      <c r="BJ282" s="958"/>
      <c r="BK282" s="873"/>
    </row>
    <row r="283" spans="2:64" hidden="1" outlineLevel="1">
      <c r="B283" s="828" t="s">
        <v>220</v>
      </c>
      <c r="C283" s="982">
        <v>-8.5</v>
      </c>
      <c r="D283" s="983">
        <f>E283-C283</f>
        <v>-9.1999999999999993</v>
      </c>
      <c r="E283" s="982">
        <v>-17.7</v>
      </c>
      <c r="F283" s="982">
        <v>-8.9</v>
      </c>
      <c r="G283" s="983">
        <f>H283-F283</f>
        <v>8.9</v>
      </c>
      <c r="H283" s="982"/>
      <c r="I283" s="985"/>
      <c r="J283" s="983"/>
      <c r="K283" s="1212"/>
      <c r="L283" s="985"/>
      <c r="M283" s="980"/>
      <c r="N283" s="980"/>
      <c r="O283" s="980"/>
      <c r="P283" s="980"/>
      <c r="Q283" s="980"/>
      <c r="R283" s="980"/>
      <c r="S283" s="980"/>
      <c r="T283" s="980"/>
      <c r="U283" s="980"/>
      <c r="V283" s="980"/>
      <c r="W283" s="980"/>
      <c r="X283" s="980"/>
      <c r="Y283" s="980"/>
      <c r="Z283" s="980"/>
      <c r="AA283" s="980"/>
      <c r="AB283" s="980"/>
      <c r="AC283" s="1213"/>
      <c r="AD283" s="980"/>
      <c r="AE283" s="980"/>
      <c r="AF283" s="980">
        <f>+AC283*(1+AF284)</f>
        <v>0</v>
      </c>
      <c r="AG283" s="980"/>
      <c r="AH283" s="980"/>
      <c r="AI283" s="980">
        <f>+AF283*(1+AI284)</f>
        <v>0</v>
      </c>
      <c r="AJ283" s="980"/>
      <c r="AK283" s="980"/>
      <c r="AL283" s="980">
        <f>+AI283*(1+AL284)</f>
        <v>0</v>
      </c>
      <c r="AM283" s="980"/>
      <c r="AN283" s="980"/>
      <c r="AO283" s="980">
        <f>+AL283*(1+AO284)</f>
        <v>0</v>
      </c>
      <c r="AP283" s="980"/>
      <c r="AQ283" s="980"/>
      <c r="AR283" s="980">
        <f>+AO283*(1+AR284)</f>
        <v>0</v>
      </c>
      <c r="AS283" s="980"/>
      <c r="AT283" s="980"/>
      <c r="AU283" s="980">
        <f>+AR283*(1+AU284)</f>
        <v>0</v>
      </c>
      <c r="AV283" s="980"/>
      <c r="AW283" s="980"/>
      <c r="AX283" s="980">
        <f>+AU283*(1+AX284)</f>
        <v>0</v>
      </c>
      <c r="AY283" s="980"/>
      <c r="AZ283" s="980"/>
      <c r="BA283" s="980">
        <f>+AX283*(1+BA284)</f>
        <v>0</v>
      </c>
      <c r="BB283" s="980"/>
      <c r="BC283" s="980"/>
      <c r="BD283" s="980">
        <f>+BA283*(1+BD284)</f>
        <v>0</v>
      </c>
      <c r="BE283" s="980"/>
      <c r="BF283" s="980"/>
      <c r="BG283" s="980">
        <f>+BD283*(1+BG284)</f>
        <v>0</v>
      </c>
      <c r="BH283" s="980"/>
      <c r="BI283" s="980"/>
      <c r="BJ283" s="980">
        <f t="shared" ref="BJ283" si="750">+BG283*(1+BJ284)</f>
        <v>0</v>
      </c>
      <c r="BK283" s="873"/>
    </row>
    <row r="284" spans="2:64" hidden="1" outlineLevel="1">
      <c r="B284" s="812" t="s">
        <v>221</v>
      </c>
      <c r="C284" s="969" t="e">
        <f>+C283/#REF!-1</f>
        <v>#REF!</v>
      </c>
      <c r="D284" s="969" t="e">
        <f>+D283/#REF!-1</f>
        <v>#REF!</v>
      </c>
      <c r="E284" s="1214" t="e">
        <f>+E283/#REF!-1</f>
        <v>#REF!</v>
      </c>
      <c r="F284" s="1214">
        <f t="shared" ref="F284:G284" si="751">+F283/C283-1</f>
        <v>4.705882352941182E-2</v>
      </c>
      <c r="G284" s="1214">
        <f t="shared" si="751"/>
        <v>-1.9673913043478262</v>
      </c>
      <c r="H284" s="1214"/>
      <c r="I284" s="1214"/>
      <c r="J284" s="1214"/>
      <c r="K284" s="1215"/>
      <c r="L284" s="1214"/>
      <c r="M284" s="1214"/>
      <c r="N284" s="1214"/>
      <c r="O284" s="1214"/>
      <c r="P284" s="1214"/>
      <c r="Q284" s="1214"/>
      <c r="R284" s="1214"/>
      <c r="S284" s="1214"/>
      <c r="T284" s="1214"/>
      <c r="U284" s="1216"/>
      <c r="V284" s="1216"/>
      <c r="W284" s="1214"/>
      <c r="X284" s="1216"/>
      <c r="Y284" s="1216"/>
      <c r="Z284" s="1217"/>
      <c r="AA284" s="1216"/>
      <c r="AB284" s="1216"/>
      <c r="AC284" s="1366"/>
      <c r="AD284" s="1216"/>
      <c r="AE284" s="1216"/>
      <c r="AF284" s="1217">
        <f>W284</f>
        <v>0</v>
      </c>
      <c r="AG284" s="1216"/>
      <c r="AH284" s="1216"/>
      <c r="AI284" s="1217">
        <f>Z284</f>
        <v>0</v>
      </c>
      <c r="AJ284" s="1217"/>
      <c r="AK284" s="1217"/>
      <c r="AL284" s="1217">
        <f>AC284</f>
        <v>0</v>
      </c>
      <c r="AM284" s="1217"/>
      <c r="AN284" s="1217"/>
      <c r="AO284" s="1217">
        <f>AF284</f>
        <v>0</v>
      </c>
      <c r="AP284" s="1217"/>
      <c r="AQ284" s="1217"/>
      <c r="AR284" s="1217">
        <f>AI284</f>
        <v>0</v>
      </c>
      <c r="AS284" s="1217"/>
      <c r="AT284" s="1217"/>
      <c r="AU284" s="1217">
        <f>AL284</f>
        <v>0</v>
      </c>
      <c r="AV284" s="1217"/>
      <c r="AW284" s="1217"/>
      <c r="AX284" s="1217">
        <f>AO284</f>
        <v>0</v>
      </c>
      <c r="AY284" s="1217"/>
      <c r="AZ284" s="1217"/>
      <c r="BA284" s="1217">
        <f>AR284</f>
        <v>0</v>
      </c>
      <c r="BB284" s="1217"/>
      <c r="BC284" s="1217"/>
      <c r="BD284" s="1217">
        <f>AU284</f>
        <v>0</v>
      </c>
      <c r="BE284" s="1217"/>
      <c r="BF284" s="1217"/>
      <c r="BG284" s="1217">
        <f>AX284</f>
        <v>0</v>
      </c>
      <c r="BH284" s="1217"/>
      <c r="BI284" s="1217"/>
      <c r="BJ284" s="1217">
        <f t="shared" ref="BJ284" si="752">BA284</f>
        <v>0</v>
      </c>
      <c r="BK284" s="906"/>
    </row>
    <row r="285" spans="2:64" hidden="1" outlineLevel="1">
      <c r="B285" s="1000" t="s">
        <v>223</v>
      </c>
      <c r="C285" s="987">
        <f t="shared" ref="C285:AU285" si="753">-C283/C264</f>
        <v>2.7331189710610933E-2</v>
      </c>
      <c r="D285" s="987">
        <f t="shared" si="753"/>
        <v>3.7938144329896901E-2</v>
      </c>
      <c r="E285" s="987">
        <f t="shared" si="753"/>
        <v>3.1978319783197831E-2</v>
      </c>
      <c r="F285" s="987">
        <f t="shared" si="753"/>
        <v>2.9755934470076895E-2</v>
      </c>
      <c r="G285" s="987">
        <f t="shared" si="753"/>
        <v>2.9755934470076895E-2</v>
      </c>
      <c r="H285" s="987"/>
      <c r="I285" s="987"/>
      <c r="J285" s="987"/>
      <c r="K285" s="1001"/>
      <c r="L285" s="987"/>
      <c r="M285" s="987"/>
      <c r="N285" s="987"/>
      <c r="O285" s="987"/>
      <c r="P285" s="987"/>
      <c r="Q285" s="987"/>
      <c r="R285" s="987"/>
      <c r="S285" s="987"/>
      <c r="T285" s="987"/>
      <c r="U285" s="987"/>
      <c r="V285" s="987"/>
      <c r="W285" s="987"/>
      <c r="X285" s="987"/>
      <c r="Y285" s="987"/>
      <c r="Z285" s="987"/>
      <c r="AA285" s="987"/>
      <c r="AB285" s="987"/>
      <c r="AC285" s="1002"/>
      <c r="AD285" s="987"/>
      <c r="AE285" s="987"/>
      <c r="AF285" s="987">
        <f t="shared" si="753"/>
        <v>0</v>
      </c>
      <c r="AG285" s="987"/>
      <c r="AH285" s="987"/>
      <c r="AI285" s="987">
        <f t="shared" si="753"/>
        <v>0</v>
      </c>
      <c r="AJ285" s="987"/>
      <c r="AK285" s="987"/>
      <c r="AL285" s="987">
        <f t="shared" si="753"/>
        <v>0</v>
      </c>
      <c r="AM285" s="987"/>
      <c r="AN285" s="987"/>
      <c r="AO285" s="987">
        <f t="shared" si="753"/>
        <v>0</v>
      </c>
      <c r="AP285" s="987"/>
      <c r="AQ285" s="987"/>
      <c r="AR285" s="987">
        <f t="shared" si="753"/>
        <v>0</v>
      </c>
      <c r="AS285" s="987"/>
      <c r="AT285" s="987"/>
      <c r="AU285" s="987">
        <f t="shared" si="753"/>
        <v>0</v>
      </c>
      <c r="AV285" s="987"/>
      <c r="AW285" s="987"/>
      <c r="AX285" s="987">
        <f t="shared" ref="AX285:BA285" si="754">-AX283/AX264</f>
        <v>0</v>
      </c>
      <c r="AY285" s="987"/>
      <c r="AZ285" s="987"/>
      <c r="BA285" s="987">
        <f t="shared" si="754"/>
        <v>0</v>
      </c>
      <c r="BB285" s="987"/>
      <c r="BC285" s="987"/>
      <c r="BD285" s="987">
        <f t="shared" ref="BD285:BG285" si="755">-BD283/BD264</f>
        <v>0</v>
      </c>
      <c r="BE285" s="987"/>
      <c r="BF285" s="987"/>
      <c r="BG285" s="987">
        <f t="shared" si="755"/>
        <v>0</v>
      </c>
      <c r="BH285" s="987"/>
      <c r="BI285" s="987"/>
      <c r="BJ285" s="987">
        <f t="shared" ref="BJ285" si="756">-BJ283/BJ264</f>
        <v>0</v>
      </c>
      <c r="BK285" s="906"/>
    </row>
    <row r="286" spans="2:64" hidden="1" outlineLevel="1">
      <c r="B286" s="828"/>
      <c r="C286" s="958"/>
      <c r="D286" s="959"/>
      <c r="E286" s="958"/>
      <c r="F286" s="959"/>
      <c r="G286" s="959"/>
      <c r="H286" s="958"/>
      <c r="I286" s="959"/>
      <c r="J286" s="959"/>
      <c r="K286" s="960"/>
      <c r="L286" s="959"/>
      <c r="M286" s="959"/>
      <c r="N286" s="958"/>
      <c r="O286" s="958"/>
      <c r="P286" s="958"/>
      <c r="Q286" s="958"/>
      <c r="R286" s="958"/>
      <c r="S286" s="958"/>
      <c r="T286" s="958"/>
      <c r="U286" s="959"/>
      <c r="V286" s="959"/>
      <c r="W286" s="958"/>
      <c r="X286" s="959"/>
      <c r="Y286" s="959"/>
      <c r="Z286" s="958"/>
      <c r="AA286" s="959"/>
      <c r="AB286" s="959"/>
      <c r="AC286" s="1200"/>
      <c r="AD286" s="959"/>
      <c r="AE286" s="959"/>
      <c r="AF286" s="958"/>
      <c r="AG286" s="959"/>
      <c r="AH286" s="959"/>
      <c r="AI286" s="958"/>
      <c r="AJ286" s="958"/>
      <c r="AK286" s="958"/>
      <c r="AL286" s="958"/>
      <c r="AM286" s="958"/>
      <c r="AN286" s="958"/>
      <c r="AO286" s="958"/>
      <c r="AP286" s="958"/>
      <c r="AQ286" s="958"/>
      <c r="AR286" s="958"/>
      <c r="AS286" s="958"/>
      <c r="AT286" s="958"/>
      <c r="AU286" s="958"/>
      <c r="AV286" s="958"/>
      <c r="AW286" s="958"/>
      <c r="AX286" s="958"/>
      <c r="AY286" s="958"/>
      <c r="AZ286" s="958"/>
      <c r="BA286" s="958"/>
      <c r="BB286" s="958"/>
      <c r="BC286" s="958"/>
      <c r="BD286" s="958"/>
      <c r="BE286" s="958"/>
      <c r="BF286" s="958"/>
      <c r="BG286" s="958"/>
      <c r="BH286" s="958"/>
      <c r="BI286" s="958"/>
      <c r="BJ286" s="958"/>
      <c r="BK286" s="873"/>
    </row>
    <row r="287" spans="2:64" s="828" customFormat="1" hidden="1" outlineLevel="1">
      <c r="B287" s="828" t="s">
        <v>70</v>
      </c>
      <c r="C287" s="991">
        <v>20.6</v>
      </c>
      <c r="D287" s="834">
        <f>E287-C287</f>
        <v>4.7999999999999972</v>
      </c>
      <c r="E287" s="1006">
        <v>25.4</v>
      </c>
      <c r="F287" s="991">
        <f>16.4</f>
        <v>16.399999999999999</v>
      </c>
      <c r="G287" s="834">
        <f>H287-F287</f>
        <v>-16.399999999999999</v>
      </c>
      <c r="H287" s="1006"/>
      <c r="I287" s="840"/>
      <c r="J287" s="834"/>
      <c r="K287" s="1088"/>
      <c r="L287" s="840"/>
      <c r="M287" s="834"/>
      <c r="N287" s="840"/>
      <c r="O287" s="840"/>
      <c r="P287" s="840"/>
      <c r="Q287" s="840"/>
      <c r="R287" s="840"/>
      <c r="S287" s="840"/>
      <c r="T287" s="840"/>
      <c r="U287" s="834"/>
      <c r="V287" s="834"/>
      <c r="W287" s="840"/>
      <c r="X287" s="834"/>
      <c r="Y287" s="834"/>
      <c r="Z287" s="834"/>
      <c r="AA287" s="834"/>
      <c r="AB287" s="834"/>
      <c r="AC287" s="836"/>
      <c r="AD287" s="834"/>
      <c r="AE287" s="834"/>
      <c r="AF287" s="834">
        <f>AF227+AF172</f>
        <v>94.381150544127465</v>
      </c>
      <c r="AG287" s="834"/>
      <c r="AH287" s="834"/>
      <c r="AI287" s="834">
        <f>AI227+AI172</f>
        <v>100.78318681289963</v>
      </c>
      <c r="AJ287" s="834"/>
      <c r="AK287" s="834"/>
      <c r="AL287" s="834">
        <f>AL227+AL172</f>
        <v>106.59206507089031</v>
      </c>
      <c r="AM287" s="834"/>
      <c r="AN287" s="834"/>
      <c r="AO287" s="834">
        <f>AO227+AO172</f>
        <v>111.85664597151742</v>
      </c>
      <c r="AP287" s="834"/>
      <c r="AQ287" s="834"/>
      <c r="AR287" s="834">
        <f>AR227+AR172</f>
        <v>116.89942923982085</v>
      </c>
      <c r="AS287" s="834"/>
      <c r="AT287" s="834"/>
      <c r="AU287" s="834">
        <f>AU227+AU172</f>
        <v>121.61857665392463</v>
      </c>
      <c r="AV287" s="834"/>
      <c r="AW287" s="834"/>
      <c r="AX287" s="834">
        <f>AX227+AX172</f>
        <v>126.27941885003357</v>
      </c>
      <c r="AY287" s="834"/>
      <c r="AZ287" s="834"/>
      <c r="BA287" s="834">
        <f>BA227+BA172</f>
        <v>131.11717081311434</v>
      </c>
      <c r="BB287" s="834"/>
      <c r="BC287" s="834"/>
      <c r="BD287" s="834">
        <f>BD227+BD172</f>
        <v>136.13848048237705</v>
      </c>
      <c r="BE287" s="834"/>
      <c r="BF287" s="834"/>
      <c r="BG287" s="834">
        <f>BG227+BG172</f>
        <v>141.3502432492802</v>
      </c>
      <c r="BH287" s="834"/>
      <c r="BI287" s="834"/>
      <c r="BJ287" s="834">
        <f>BJ227+BJ172</f>
        <v>146.7596110893773</v>
      </c>
      <c r="BK287" s="873"/>
      <c r="BL287" s="992"/>
    </row>
    <row r="288" spans="2:64" hidden="1" outlineLevel="1">
      <c r="B288" s="1112" t="s">
        <v>42</v>
      </c>
      <c r="C288" s="969" t="e">
        <f>C287/#REF!-1</f>
        <v>#REF!</v>
      </c>
      <c r="D288" s="969" t="e">
        <f>D287/#REF!-1</f>
        <v>#REF!</v>
      </c>
      <c r="E288" s="969" t="e">
        <f>E287/#REF!-1</f>
        <v>#REF!</v>
      </c>
      <c r="F288" s="969">
        <f t="shared" ref="F288:G288" si="757">F287/C287-1</f>
        <v>-0.2038834951456312</v>
      </c>
      <c r="G288" s="969">
        <f t="shared" si="757"/>
        <v>-4.4166666666666679</v>
      </c>
      <c r="H288" s="969"/>
      <c r="I288" s="969"/>
      <c r="J288" s="969"/>
      <c r="K288" s="1184"/>
      <c r="L288" s="969"/>
      <c r="M288" s="969"/>
      <c r="N288" s="969"/>
      <c r="O288" s="969"/>
      <c r="P288" s="969"/>
      <c r="Q288" s="969"/>
      <c r="R288" s="969"/>
      <c r="S288" s="969"/>
      <c r="T288" s="969"/>
      <c r="U288" s="969"/>
      <c r="V288" s="969"/>
      <c r="W288" s="969"/>
      <c r="X288" s="969"/>
      <c r="Y288" s="969"/>
      <c r="Z288" s="969"/>
      <c r="AA288" s="969"/>
      <c r="AB288" s="969"/>
      <c r="AC288" s="1185"/>
      <c r="AD288" s="969"/>
      <c r="AE288" s="969"/>
      <c r="AF288" s="969" t="e">
        <f>AF287/AC287-1</f>
        <v>#DIV/0!</v>
      </c>
      <c r="AG288" s="969"/>
      <c r="AH288" s="969"/>
      <c r="AI288" s="969">
        <f>AI287/AF287-1</f>
        <v>6.7831725210627969E-2</v>
      </c>
      <c r="AJ288" s="969"/>
      <c r="AK288" s="969"/>
      <c r="AL288" s="969">
        <f>AL287/AI287-1</f>
        <v>5.7637374265358865E-2</v>
      </c>
      <c r="AM288" s="969"/>
      <c r="AN288" s="969"/>
      <c r="AO288" s="969">
        <f>AO287/AL287-1</f>
        <v>4.938998880569434E-2</v>
      </c>
      <c r="AP288" s="969"/>
      <c r="AQ288" s="969"/>
      <c r="AR288" s="969">
        <f>AR287/AO287-1</f>
        <v>4.5082553875140263E-2</v>
      </c>
      <c r="AS288" s="969"/>
      <c r="AT288" s="969"/>
      <c r="AU288" s="969">
        <f>AU287/AR287-1</f>
        <v>4.0369293886135083E-2</v>
      </c>
      <c r="AV288" s="969"/>
      <c r="AW288" s="969"/>
      <c r="AX288" s="969">
        <f>AX287/AU287-1</f>
        <v>3.8323439760125755E-2</v>
      </c>
      <c r="AY288" s="969"/>
      <c r="AZ288" s="969"/>
      <c r="BA288" s="969">
        <f>BA287/AX287-1</f>
        <v>3.830990043457505E-2</v>
      </c>
      <c r="BB288" s="969"/>
      <c r="BC288" s="969"/>
      <c r="BD288" s="969">
        <f>BD287/BA287-1</f>
        <v>3.8296354612621597E-2</v>
      </c>
      <c r="BE288" s="969"/>
      <c r="BF288" s="969"/>
      <c r="BG288" s="969">
        <f>BG287/BD287-1</f>
        <v>3.8282804012770066E-2</v>
      </c>
      <c r="BH288" s="969"/>
      <c r="BI288" s="969"/>
      <c r="BJ288" s="969">
        <f t="shared" ref="BJ288" si="758">BJ287/BG287-1</f>
        <v>3.8269250308663016E-2</v>
      </c>
    </row>
    <row r="289" spans="2:64" hidden="1" outlineLevel="1">
      <c r="B289" s="1000" t="s">
        <v>152</v>
      </c>
      <c r="C289" s="987">
        <f>C287/C264</f>
        <v>6.6237942122186505E-2</v>
      </c>
      <c r="D289" s="987">
        <f>D287/D264</f>
        <v>1.9793814432989679E-2</v>
      </c>
      <c r="E289" s="987">
        <f>E287/E264</f>
        <v>4.5889792231255645E-2</v>
      </c>
      <c r="F289" s="987">
        <f>+F287/F264</f>
        <v>5.4831160147107982E-2</v>
      </c>
      <c r="G289" s="987">
        <f>G287/G264</f>
        <v>5.4831160147107982E-2</v>
      </c>
      <c r="H289" s="987"/>
      <c r="I289" s="987"/>
      <c r="J289" s="987"/>
      <c r="K289" s="1001"/>
      <c r="L289" s="987"/>
      <c r="M289" s="987"/>
      <c r="N289" s="987"/>
      <c r="O289" s="987"/>
      <c r="P289" s="987"/>
      <c r="Q289" s="987"/>
      <c r="R289" s="987"/>
      <c r="S289" s="987"/>
      <c r="T289" s="987"/>
      <c r="U289" s="987"/>
      <c r="V289" s="987"/>
      <c r="W289" s="987"/>
      <c r="X289" s="987"/>
      <c r="Y289" s="987"/>
      <c r="Z289" s="987"/>
      <c r="AA289" s="987"/>
      <c r="AB289" s="987"/>
      <c r="AC289" s="1002"/>
      <c r="AD289" s="987"/>
      <c r="AE289" s="987"/>
      <c r="AF289" s="987">
        <f t="shared" ref="AF289:AU289" si="759">AF287/AF264</f>
        <v>7.6542510554981041E-2</v>
      </c>
      <c r="AG289" s="987"/>
      <c r="AH289" s="987"/>
      <c r="AI289" s="987">
        <f t="shared" si="759"/>
        <v>7.8239635419271092E-2</v>
      </c>
      <c r="AJ289" s="987"/>
      <c r="AK289" s="987"/>
      <c r="AL289" s="987">
        <f t="shared" si="759"/>
        <v>7.8521743062226743E-2</v>
      </c>
      <c r="AM289" s="987"/>
      <c r="AN289" s="987"/>
      <c r="AO289" s="987">
        <f t="shared" si="759"/>
        <v>7.8640678670876263E-2</v>
      </c>
      <c r="AP289" s="987"/>
      <c r="AQ289" s="987"/>
      <c r="AR289" s="987">
        <f t="shared" si="759"/>
        <v>7.8798009388264881E-2</v>
      </c>
      <c r="AS289" s="987"/>
      <c r="AT289" s="987"/>
      <c r="AU289" s="987">
        <f t="shared" si="759"/>
        <v>7.895384562418685E-2</v>
      </c>
      <c r="AV289" s="987"/>
      <c r="AW289" s="987"/>
      <c r="AX289" s="987">
        <f t="shared" ref="AX289:BA289" si="760">AX287/AX264</f>
        <v>7.9114634025493777E-2</v>
      </c>
      <c r="AY289" s="987"/>
      <c r="AZ289" s="987"/>
      <c r="BA289" s="987">
        <f t="shared" si="760"/>
        <v>7.9275864462225717E-2</v>
      </c>
      <c r="BB289" s="987"/>
      <c r="BC289" s="987"/>
      <c r="BD289" s="987">
        <f t="shared" ref="BD289:BG289" si="761">BD287/BD264</f>
        <v>7.9437525829563774E-2</v>
      </c>
      <c r="BE289" s="987"/>
      <c r="BF289" s="987"/>
      <c r="BG289" s="987">
        <f t="shared" si="761"/>
        <v>7.959960720504089E-2</v>
      </c>
      <c r="BH289" s="987"/>
      <c r="BI289" s="987"/>
      <c r="BJ289" s="987">
        <f t="shared" ref="BJ289" si="762">BJ287/BJ264</f>
        <v>7.9762097844871677E-2</v>
      </c>
      <c r="BK289" s="1218"/>
    </row>
    <row r="290" spans="2:64" hidden="1" outlineLevel="1">
      <c r="B290" s="1000" t="s">
        <v>521</v>
      </c>
      <c r="C290" s="987"/>
      <c r="D290" s="987"/>
      <c r="E290" s="1219" t="e">
        <f>ROUND((E289-#REF!)*(10^4),0)</f>
        <v>#REF!</v>
      </c>
      <c r="F290" s="987"/>
      <c r="G290" s="987"/>
      <c r="H290" s="1219"/>
      <c r="I290" s="987"/>
      <c r="J290" s="1219"/>
      <c r="K290" s="1220"/>
      <c r="L290" s="1219"/>
      <c r="M290" s="1219"/>
      <c r="N290" s="1219"/>
      <c r="O290" s="1219"/>
      <c r="P290" s="1219"/>
      <c r="Q290" s="1219"/>
      <c r="R290" s="1219"/>
      <c r="S290" s="1219"/>
      <c r="T290" s="1219"/>
      <c r="U290" s="1219"/>
      <c r="V290" s="1219"/>
      <c r="W290" s="1219"/>
      <c r="X290" s="1219"/>
      <c r="Y290" s="1219"/>
      <c r="Z290" s="1219"/>
      <c r="AA290" s="1219"/>
      <c r="AB290" s="1219"/>
      <c r="AC290" s="1221"/>
      <c r="AD290" s="1219"/>
      <c r="AE290" s="1219"/>
      <c r="AF290" s="1219">
        <f>ROUND((AF289-AC289)*(10^4),0)</f>
        <v>765</v>
      </c>
      <c r="AG290" s="1219"/>
      <c r="AH290" s="1219"/>
      <c r="AI290" s="1219">
        <f>ROUND((AI289-AF289)*(10^4),0)</f>
        <v>17</v>
      </c>
      <c r="AJ290" s="1219"/>
      <c r="AK290" s="1219"/>
      <c r="AL290" s="1219">
        <f>ROUND((AL289-AI289)*(10^4),0)</f>
        <v>3</v>
      </c>
      <c r="AM290" s="1219"/>
      <c r="AN290" s="1219"/>
      <c r="AO290" s="1219">
        <f>ROUND((AO289-AL289)*(10^4),0)</f>
        <v>1</v>
      </c>
      <c r="AP290" s="1219"/>
      <c r="AQ290" s="1219"/>
      <c r="AR290" s="1219">
        <f>ROUND((AR289-AO289)*(10^4),0)</f>
        <v>2</v>
      </c>
      <c r="AS290" s="1219"/>
      <c r="AT290" s="1219"/>
      <c r="AU290" s="1219">
        <f>ROUND((AU289-AR289)*(10^4),0)</f>
        <v>2</v>
      </c>
      <c r="AV290" s="1219"/>
      <c r="AW290" s="1219"/>
      <c r="AX290" s="1219">
        <f>ROUND((AX289-AU289)*(10^4),0)</f>
        <v>2</v>
      </c>
      <c r="AY290" s="1219"/>
      <c r="AZ290" s="1219"/>
      <c r="BA290" s="1219">
        <f>ROUND((BA289-AX289)*(10^4),0)</f>
        <v>2</v>
      </c>
      <c r="BB290" s="1219"/>
      <c r="BC290" s="1219"/>
      <c r="BD290" s="1219">
        <f>ROUND((BD289-BA289)*(10^4),0)</f>
        <v>2</v>
      </c>
      <c r="BE290" s="1219"/>
      <c r="BF290" s="1219"/>
      <c r="BG290" s="1219">
        <f>ROUND((BG289-BD289)*(10^4),0)</f>
        <v>2</v>
      </c>
      <c r="BH290" s="1219"/>
      <c r="BI290" s="1219"/>
      <c r="BJ290" s="1219">
        <f t="shared" ref="BJ290" si="763">ROUND((BJ289-BG289)*(10^4),0)</f>
        <v>2</v>
      </c>
      <c r="BK290" s="1218"/>
    </row>
    <row r="291" spans="2:64" hidden="1" outlineLevel="1">
      <c r="B291" s="1000"/>
      <c r="C291" s="987"/>
      <c r="D291" s="987"/>
      <c r="E291" s="987"/>
      <c r="F291" s="987"/>
      <c r="G291" s="987"/>
      <c r="H291" s="987"/>
      <c r="I291" s="987"/>
      <c r="J291" s="987"/>
      <c r="K291" s="1001"/>
      <c r="L291" s="987"/>
      <c r="M291" s="987"/>
      <c r="N291" s="987"/>
      <c r="O291" s="987"/>
      <c r="P291" s="987"/>
      <c r="Q291" s="987"/>
      <c r="R291" s="987"/>
      <c r="S291" s="987"/>
      <c r="T291" s="987"/>
      <c r="U291" s="987"/>
      <c r="V291" s="987"/>
      <c r="W291" s="987"/>
      <c r="X291" s="987"/>
      <c r="Y291" s="987"/>
      <c r="Z291" s="987"/>
      <c r="AA291" s="987"/>
      <c r="AB291" s="987"/>
      <c r="AC291" s="1002"/>
      <c r="AD291" s="987"/>
      <c r="AE291" s="987"/>
      <c r="AF291" s="987"/>
      <c r="AG291" s="987"/>
      <c r="AH291" s="987"/>
      <c r="AI291" s="987"/>
      <c r="AJ291" s="987"/>
      <c r="AK291" s="987"/>
      <c r="AL291" s="987"/>
      <c r="AM291" s="987"/>
      <c r="AN291" s="987"/>
      <c r="AO291" s="987"/>
      <c r="AP291" s="987"/>
      <c r="AQ291" s="987"/>
      <c r="AR291" s="987"/>
      <c r="AS291" s="987"/>
      <c r="AT291" s="987"/>
      <c r="AU291" s="987"/>
      <c r="AV291" s="987"/>
      <c r="AW291" s="987"/>
      <c r="AX291" s="987"/>
      <c r="AY291" s="987"/>
      <c r="AZ291" s="987"/>
      <c r="BA291" s="987"/>
      <c r="BB291" s="987"/>
      <c r="BC291" s="987"/>
      <c r="BD291" s="987"/>
      <c r="BE291" s="987"/>
      <c r="BF291" s="987"/>
      <c r="BG291" s="987"/>
      <c r="BH291" s="987"/>
      <c r="BI291" s="987"/>
      <c r="BJ291" s="987"/>
      <c r="BK291" s="1218"/>
    </row>
    <row r="292" spans="2:64" hidden="1" outlineLevel="1">
      <c r="B292" s="828"/>
      <c r="C292" s="902"/>
      <c r="F292" s="902"/>
      <c r="K292" s="835"/>
    </row>
    <row r="293" spans="2:64" s="828" customFormat="1" hidden="1" outlineLevel="1">
      <c r="B293" s="828" t="s">
        <v>70</v>
      </c>
      <c r="C293" s="1045">
        <f t="shared" ref="C293:G293" si="764">C287</f>
        <v>20.6</v>
      </c>
      <c r="D293" s="1045">
        <f t="shared" si="764"/>
        <v>4.7999999999999972</v>
      </c>
      <c r="E293" s="1045">
        <f t="shared" si="764"/>
        <v>25.4</v>
      </c>
      <c r="F293" s="1045">
        <f t="shared" si="764"/>
        <v>16.399999999999999</v>
      </c>
      <c r="G293" s="1045">
        <f t="shared" si="764"/>
        <v>-16.399999999999999</v>
      </c>
      <c r="H293" s="1045"/>
      <c r="I293" s="1045"/>
      <c r="J293" s="1045"/>
      <c r="K293" s="1046"/>
      <c r="L293" s="1045"/>
      <c r="M293" s="1045"/>
      <c r="N293" s="1045"/>
      <c r="O293" s="1045"/>
      <c r="P293" s="1045"/>
      <c r="Q293" s="1045"/>
      <c r="R293" s="1045"/>
      <c r="S293" s="1045"/>
      <c r="T293" s="1045"/>
      <c r="U293" s="1045"/>
      <c r="V293" s="1045"/>
      <c r="W293" s="1045"/>
      <c r="X293" s="1045"/>
      <c r="Y293" s="1045"/>
      <c r="Z293" s="1045"/>
      <c r="AA293" s="1045"/>
      <c r="AB293" s="1045"/>
      <c r="AC293" s="1222"/>
      <c r="AD293" s="1045"/>
      <c r="AE293" s="1045"/>
      <c r="AF293" s="1045">
        <f t="shared" ref="AF293:AU293" si="765">AF294*AF264</f>
        <v>0</v>
      </c>
      <c r="AG293" s="1045"/>
      <c r="AH293" s="1045"/>
      <c r="AI293" s="1045">
        <f t="shared" si="765"/>
        <v>0</v>
      </c>
      <c r="AJ293" s="1045"/>
      <c r="AK293" s="1045"/>
      <c r="AL293" s="1045">
        <f t="shared" si="765"/>
        <v>0</v>
      </c>
      <c r="AM293" s="1045"/>
      <c r="AN293" s="1045"/>
      <c r="AO293" s="1045">
        <f t="shared" si="765"/>
        <v>0</v>
      </c>
      <c r="AP293" s="1045"/>
      <c r="AQ293" s="1045"/>
      <c r="AR293" s="1045">
        <f t="shared" si="765"/>
        <v>0</v>
      </c>
      <c r="AS293" s="1045"/>
      <c r="AT293" s="1045"/>
      <c r="AU293" s="1045">
        <f t="shared" si="765"/>
        <v>0</v>
      </c>
      <c r="AV293" s="1045"/>
      <c r="AW293" s="1045"/>
      <c r="AX293" s="1045">
        <f t="shared" ref="AX293:BA293" si="766">AX294*AX264</f>
        <v>0</v>
      </c>
      <c r="AY293" s="1045"/>
      <c r="AZ293" s="1045"/>
      <c r="BA293" s="1045">
        <f t="shared" si="766"/>
        <v>0</v>
      </c>
      <c r="BB293" s="1045"/>
      <c r="BC293" s="1045"/>
      <c r="BD293" s="1045">
        <f t="shared" ref="BD293:BG293" si="767">BD294*BD264</f>
        <v>0</v>
      </c>
      <c r="BE293" s="1045"/>
      <c r="BF293" s="1045"/>
      <c r="BG293" s="1045">
        <f t="shared" si="767"/>
        <v>0</v>
      </c>
      <c r="BH293" s="1045"/>
      <c r="BI293" s="1045"/>
      <c r="BJ293" s="1045">
        <f t="shared" ref="BJ293" si="768">BJ294*BJ264</f>
        <v>0</v>
      </c>
      <c r="BK293" s="810"/>
      <c r="BL293" s="992"/>
    </row>
    <row r="294" spans="2:64" hidden="1" outlineLevel="1">
      <c r="B294" s="812" t="s">
        <v>152</v>
      </c>
      <c r="C294" s="902">
        <f t="shared" ref="C294:G294" si="769">C293/C264</f>
        <v>6.6237942122186505E-2</v>
      </c>
      <c r="D294" s="902">
        <f t="shared" si="769"/>
        <v>1.9793814432989679E-2</v>
      </c>
      <c r="E294" s="902">
        <f t="shared" si="769"/>
        <v>4.5889792231255645E-2</v>
      </c>
      <c r="F294" s="902">
        <f t="shared" si="769"/>
        <v>5.4831160147107982E-2</v>
      </c>
      <c r="G294" s="902">
        <f t="shared" si="769"/>
        <v>5.4831160147107982E-2</v>
      </c>
      <c r="H294" s="902"/>
      <c r="I294" s="907"/>
      <c r="J294" s="902"/>
      <c r="K294" s="1110"/>
      <c r="L294" s="907"/>
      <c r="M294" s="902"/>
      <c r="N294" s="907"/>
      <c r="O294" s="907"/>
      <c r="P294" s="907"/>
      <c r="Q294" s="907"/>
      <c r="R294" s="907"/>
      <c r="S294" s="907"/>
      <c r="T294" s="907"/>
      <c r="U294" s="907"/>
      <c r="V294" s="902"/>
      <c r="W294" s="907"/>
      <c r="X294" s="907"/>
      <c r="Y294" s="902"/>
      <c r="Z294" s="907"/>
      <c r="AA294" s="907"/>
      <c r="AB294" s="902"/>
      <c r="AC294" s="909"/>
      <c r="AD294" s="907"/>
      <c r="AE294" s="902"/>
      <c r="AF294" s="907">
        <f>AC294</f>
        <v>0</v>
      </c>
      <c r="AG294" s="907"/>
      <c r="AH294" s="902"/>
      <c r="AI294" s="907">
        <f>AF294</f>
        <v>0</v>
      </c>
      <c r="AJ294" s="907"/>
      <c r="AK294" s="907"/>
      <c r="AL294" s="907">
        <f>AI294</f>
        <v>0</v>
      </c>
      <c r="AM294" s="907"/>
      <c r="AN294" s="907"/>
      <c r="AO294" s="907">
        <f>AL294</f>
        <v>0</v>
      </c>
      <c r="AP294" s="907"/>
      <c r="AQ294" s="907"/>
      <c r="AR294" s="907">
        <f>AO294</f>
        <v>0</v>
      </c>
      <c r="AS294" s="907"/>
      <c r="AT294" s="907"/>
      <c r="AU294" s="907">
        <f>AR294</f>
        <v>0</v>
      </c>
      <c r="AV294" s="907"/>
      <c r="AW294" s="907"/>
      <c r="AX294" s="907">
        <f>AU294</f>
        <v>0</v>
      </c>
      <c r="AY294" s="907"/>
      <c r="AZ294" s="907"/>
      <c r="BA294" s="907">
        <f>AX294</f>
        <v>0</v>
      </c>
      <c r="BB294" s="907"/>
      <c r="BC294" s="907"/>
      <c r="BD294" s="907">
        <f>BA294</f>
        <v>0</v>
      </c>
      <c r="BE294" s="907"/>
      <c r="BF294" s="907"/>
      <c r="BG294" s="907">
        <f>BD294</f>
        <v>0</v>
      </c>
      <c r="BH294" s="907"/>
      <c r="BI294" s="907"/>
      <c r="BJ294" s="907">
        <f t="shared" ref="BJ294" si="770">BG294</f>
        <v>0</v>
      </c>
      <c r="BK294" s="1039"/>
    </row>
    <row r="295" spans="2:64" ht="12" hidden="1" customHeight="1" outlineLevel="1">
      <c r="B295" s="812" t="s">
        <v>34</v>
      </c>
      <c r="C295" s="1037" t="e">
        <f>C293/#REF!-1</f>
        <v>#REF!</v>
      </c>
      <c r="D295" s="1037" t="e">
        <f>D293/#REF!-1</f>
        <v>#REF!</v>
      </c>
      <c r="E295" s="1037" t="e">
        <f>E293/#REF!-1</f>
        <v>#REF!</v>
      </c>
      <c r="F295" s="1037">
        <f t="shared" ref="F295:G295" si="771">F293/C293-1</f>
        <v>-0.2038834951456312</v>
      </c>
      <c r="G295" s="1037">
        <f t="shared" si="771"/>
        <v>-4.4166666666666679</v>
      </c>
      <c r="H295" s="1037"/>
      <c r="I295" s="830"/>
      <c r="J295" s="830"/>
      <c r="K295" s="1038"/>
      <c r="L295" s="830"/>
      <c r="M295" s="830"/>
      <c r="N295" s="1037"/>
      <c r="O295" s="1037"/>
      <c r="P295" s="1037"/>
      <c r="Q295" s="1037"/>
      <c r="R295" s="1037"/>
      <c r="S295" s="1037"/>
      <c r="T295" s="1037"/>
      <c r="U295" s="830"/>
      <c r="V295" s="830"/>
      <c r="W295" s="1037"/>
      <c r="X295" s="830"/>
      <c r="Y295" s="830"/>
      <c r="Z295" s="1037"/>
      <c r="AA295" s="830"/>
      <c r="AB295" s="830"/>
      <c r="AC295" s="1066"/>
      <c r="AD295" s="830"/>
      <c r="AE295" s="830"/>
      <c r="AF295" s="1037" t="e">
        <f>AF293/AC293-1</f>
        <v>#DIV/0!</v>
      </c>
      <c r="AG295" s="830"/>
      <c r="AH295" s="830"/>
      <c r="AI295" s="1037" t="e">
        <f>AI293/AF293-1</f>
        <v>#DIV/0!</v>
      </c>
      <c r="AJ295" s="1037"/>
      <c r="AK295" s="1037"/>
      <c r="AL295" s="1037" t="e">
        <f>AL293/AI293-1</f>
        <v>#DIV/0!</v>
      </c>
      <c r="AM295" s="1037"/>
      <c r="AN295" s="1037"/>
      <c r="AO295" s="1037" t="e">
        <f>AO293/AL293-1</f>
        <v>#DIV/0!</v>
      </c>
      <c r="AP295" s="1037"/>
      <c r="AQ295" s="1037"/>
      <c r="AR295" s="1037" t="e">
        <f>AR293/AO293-1</f>
        <v>#DIV/0!</v>
      </c>
      <c r="AS295" s="1037"/>
      <c r="AT295" s="1037"/>
      <c r="AU295" s="1037" t="e">
        <f>AU293/AR293-1</f>
        <v>#DIV/0!</v>
      </c>
      <c r="AV295" s="1037"/>
      <c r="AW295" s="1037"/>
      <c r="AX295" s="1037" t="e">
        <f>AX293/AU293-1</f>
        <v>#DIV/0!</v>
      </c>
      <c r="AY295" s="1037"/>
      <c r="AZ295" s="1037"/>
      <c r="BA295" s="1037" t="e">
        <f>BA293/AX293-1</f>
        <v>#DIV/0!</v>
      </c>
      <c r="BB295" s="1037"/>
      <c r="BC295" s="1037"/>
      <c r="BD295" s="1037" t="e">
        <f>BD293/BA293-1</f>
        <v>#DIV/0!</v>
      </c>
      <c r="BE295" s="1037"/>
      <c r="BF295" s="1037"/>
      <c r="BG295" s="1037" t="e">
        <f>BG293/BD293-1</f>
        <v>#DIV/0!</v>
      </c>
      <c r="BH295" s="1037"/>
      <c r="BI295" s="1037"/>
      <c r="BJ295" s="1037" t="e">
        <f t="shared" ref="BJ295" si="772">BJ293/BG293-1</f>
        <v>#DIV/0!</v>
      </c>
    </row>
    <row r="296" spans="2:64" ht="12" hidden="1" customHeight="1" outlineLevel="1">
      <c r="B296" s="828"/>
      <c r="C296" s="902"/>
      <c r="D296" s="902"/>
      <c r="E296" s="902"/>
      <c r="F296" s="902"/>
      <c r="G296" s="902"/>
      <c r="H296" s="902"/>
      <c r="I296" s="902"/>
      <c r="J296" s="902"/>
      <c r="K296" s="904"/>
      <c r="L296" s="902"/>
      <c r="M296" s="902"/>
      <c r="N296" s="902"/>
      <c r="O296" s="902"/>
      <c r="P296" s="902"/>
      <c r="Q296" s="902"/>
      <c r="R296" s="902"/>
      <c r="S296" s="902"/>
      <c r="T296" s="902"/>
      <c r="U296" s="902"/>
      <c r="V296" s="902"/>
      <c r="W296" s="902"/>
      <c r="X296" s="902"/>
      <c r="Y296" s="902"/>
      <c r="Z296" s="902"/>
      <c r="AA296" s="902"/>
      <c r="AB296" s="902"/>
      <c r="AC296" s="905"/>
      <c r="AD296" s="902"/>
      <c r="AE296" s="902"/>
      <c r="AF296" s="902"/>
      <c r="AG296" s="902"/>
      <c r="AH296" s="902"/>
      <c r="AI296" s="902"/>
      <c r="AJ296" s="902"/>
      <c r="AK296" s="902"/>
      <c r="AL296" s="902"/>
      <c r="AM296" s="902"/>
      <c r="AN296" s="902"/>
      <c r="AO296" s="902"/>
      <c r="AP296" s="902"/>
      <c r="AQ296" s="902"/>
      <c r="AR296" s="902"/>
      <c r="AS296" s="902"/>
      <c r="AT296" s="902"/>
      <c r="AU296" s="902"/>
      <c r="AV296" s="902"/>
      <c r="AW296" s="902"/>
      <c r="AX296" s="902"/>
      <c r="AY296" s="902"/>
      <c r="AZ296" s="902"/>
      <c r="BA296" s="902"/>
      <c r="BB296" s="902"/>
      <c r="BC296" s="902"/>
      <c r="BD296" s="902"/>
      <c r="BE296" s="902"/>
      <c r="BF296" s="902"/>
      <c r="BG296" s="902"/>
      <c r="BH296" s="902"/>
      <c r="BI296" s="902"/>
      <c r="BJ296" s="902"/>
    </row>
    <row r="297" spans="2:64" ht="12" hidden="1" customHeight="1" outlineLevel="1">
      <c r="B297" s="812" t="s">
        <v>189</v>
      </c>
      <c r="C297" s="902">
        <v>0</v>
      </c>
      <c r="D297" s="902"/>
      <c r="E297" s="834">
        <v>5</v>
      </c>
      <c r="F297" s="902">
        <v>0</v>
      </c>
      <c r="G297" s="902"/>
      <c r="H297" s="834"/>
      <c r="I297" s="902"/>
      <c r="J297" s="902"/>
      <c r="K297" s="835"/>
      <c r="L297" s="902"/>
      <c r="M297" s="902"/>
      <c r="N297" s="902"/>
      <c r="O297" s="902"/>
      <c r="P297" s="902"/>
      <c r="Q297" s="902"/>
      <c r="R297" s="902"/>
      <c r="S297" s="902"/>
      <c r="T297" s="902"/>
      <c r="U297" s="902"/>
      <c r="V297" s="902"/>
      <c r="W297" s="902"/>
      <c r="X297" s="902"/>
      <c r="Y297" s="902"/>
      <c r="Z297" s="902"/>
      <c r="AA297" s="902"/>
      <c r="AB297" s="902"/>
      <c r="AC297" s="905"/>
      <c r="AD297" s="902"/>
      <c r="AE297" s="902"/>
      <c r="AF297" s="902"/>
      <c r="AG297" s="902"/>
      <c r="AH297" s="902"/>
      <c r="AI297" s="902"/>
      <c r="AJ297" s="902"/>
      <c r="AK297" s="902"/>
      <c r="AL297" s="902"/>
      <c r="AM297" s="902"/>
      <c r="AN297" s="902"/>
      <c r="AO297" s="902"/>
      <c r="AP297" s="902"/>
      <c r="AQ297" s="902"/>
      <c r="AR297" s="902"/>
      <c r="AS297" s="902"/>
      <c r="AT297" s="902"/>
      <c r="AU297" s="902"/>
      <c r="AV297" s="902"/>
      <c r="AW297" s="902"/>
      <c r="AX297" s="902"/>
      <c r="AY297" s="902"/>
      <c r="AZ297" s="902"/>
      <c r="BA297" s="902"/>
      <c r="BB297" s="902"/>
      <c r="BC297" s="902"/>
      <c r="BD297" s="902"/>
      <c r="BE297" s="902"/>
      <c r="BF297" s="902"/>
      <c r="BG297" s="902"/>
      <c r="BH297" s="902"/>
      <c r="BI297" s="902"/>
      <c r="BJ297" s="902"/>
    </row>
    <row r="298" spans="2:64" ht="12" hidden="1" customHeight="1" outlineLevel="1">
      <c r="B298" s="812" t="s">
        <v>190</v>
      </c>
      <c r="C298" s="902">
        <f>C297/C264</f>
        <v>0</v>
      </c>
      <c r="D298" s="902"/>
      <c r="E298" s="852">
        <f>E297/E264</f>
        <v>9.0334236675700084E-3</v>
      </c>
      <c r="F298" s="902">
        <f>F297/F264</f>
        <v>0</v>
      </c>
      <c r="G298" s="902"/>
      <c r="H298" s="852"/>
      <c r="I298" s="902"/>
      <c r="J298" s="902"/>
      <c r="K298" s="988"/>
      <c r="L298" s="902"/>
      <c r="M298" s="902"/>
      <c r="N298" s="902"/>
      <c r="O298" s="902"/>
      <c r="P298" s="902"/>
      <c r="Q298" s="902"/>
      <c r="R298" s="902"/>
      <c r="S298" s="902"/>
      <c r="T298" s="902"/>
      <c r="U298" s="902"/>
      <c r="V298" s="902"/>
      <c r="W298" s="902"/>
      <c r="X298" s="902"/>
      <c r="Y298" s="902"/>
      <c r="Z298" s="902"/>
      <c r="AA298" s="902"/>
      <c r="AB298" s="902"/>
      <c r="AC298" s="905"/>
      <c r="AD298" s="902"/>
      <c r="AE298" s="902"/>
      <c r="AF298" s="902"/>
      <c r="AG298" s="902"/>
      <c r="AH298" s="902"/>
      <c r="AI298" s="902"/>
      <c r="AJ298" s="902"/>
      <c r="AK298" s="902"/>
      <c r="AL298" s="902"/>
      <c r="AM298" s="902"/>
      <c r="AN298" s="902"/>
      <c r="AO298" s="902"/>
      <c r="AP298" s="902"/>
      <c r="AQ298" s="902"/>
      <c r="AR298" s="902"/>
      <c r="AS298" s="902"/>
      <c r="AT298" s="902"/>
      <c r="AU298" s="902"/>
      <c r="AV298" s="902"/>
      <c r="AW298" s="902"/>
      <c r="AX298" s="902"/>
      <c r="AY298" s="902"/>
      <c r="AZ298" s="902"/>
      <c r="BA298" s="902"/>
      <c r="BB298" s="902"/>
      <c r="BC298" s="902"/>
      <c r="BD298" s="902"/>
      <c r="BE298" s="902"/>
      <c r="BF298" s="902"/>
      <c r="BG298" s="902"/>
      <c r="BH298" s="902"/>
      <c r="BI298" s="902"/>
      <c r="BJ298" s="902"/>
    </row>
    <row r="299" spans="2:64" ht="12" hidden="1" customHeight="1" outlineLevel="1">
      <c r="C299" s="902"/>
      <c r="D299" s="902"/>
      <c r="E299" s="852"/>
      <c r="F299" s="902"/>
      <c r="G299" s="902"/>
      <c r="H299" s="902"/>
      <c r="I299" s="902"/>
      <c r="J299" s="902"/>
      <c r="K299" s="904"/>
      <c r="L299" s="902"/>
      <c r="M299" s="902"/>
      <c r="N299" s="902"/>
      <c r="O299" s="902"/>
      <c r="P299" s="902"/>
      <c r="Q299" s="902"/>
      <c r="R299" s="902"/>
      <c r="S299" s="902"/>
      <c r="T299" s="902"/>
      <c r="U299" s="902"/>
      <c r="V299" s="902"/>
      <c r="W299" s="902"/>
      <c r="X299" s="902"/>
      <c r="Y299" s="902"/>
      <c r="Z299" s="902"/>
      <c r="AA299" s="902"/>
      <c r="AB299" s="902"/>
      <c r="AC299" s="905"/>
      <c r="AD299" s="902"/>
      <c r="AE299" s="902"/>
      <c r="AF299" s="902"/>
      <c r="AG299" s="902"/>
      <c r="AH299" s="902"/>
      <c r="AI299" s="902"/>
      <c r="AJ299" s="902"/>
      <c r="AK299" s="902"/>
      <c r="AL299" s="902"/>
      <c r="AM299" s="902"/>
      <c r="AN299" s="902"/>
      <c r="AO299" s="902"/>
      <c r="AP299" s="902"/>
      <c r="AQ299" s="902"/>
      <c r="AR299" s="902"/>
      <c r="AS299" s="902"/>
      <c r="AT299" s="902"/>
      <c r="AU299" s="902"/>
      <c r="AV299" s="902"/>
      <c r="AW299" s="902"/>
      <c r="AX299" s="902"/>
      <c r="AY299" s="902"/>
      <c r="AZ299" s="902"/>
      <c r="BA299" s="902"/>
      <c r="BB299" s="902"/>
      <c r="BC299" s="902"/>
      <c r="BD299" s="902"/>
      <c r="BE299" s="902"/>
      <c r="BF299" s="902"/>
      <c r="BG299" s="902"/>
      <c r="BH299" s="902"/>
      <c r="BI299" s="902"/>
      <c r="BJ299" s="902"/>
    </row>
    <row r="300" spans="2:64" ht="12" hidden="1" customHeight="1" outlineLevel="1">
      <c r="B300" s="812" t="s">
        <v>193</v>
      </c>
      <c r="C300" s="902"/>
      <c r="D300" s="902"/>
      <c r="E300" s="852"/>
      <c r="F300" s="902"/>
      <c r="G300" s="902"/>
      <c r="H300" s="902"/>
      <c r="I300" s="902"/>
      <c r="J300" s="902"/>
      <c r="K300" s="904"/>
      <c r="L300" s="902"/>
      <c r="M300" s="902"/>
      <c r="N300" s="902"/>
      <c r="O300" s="902"/>
      <c r="P300" s="902"/>
      <c r="Q300" s="902"/>
      <c r="R300" s="902"/>
      <c r="S300" s="902"/>
      <c r="T300" s="902"/>
      <c r="U300" s="902"/>
      <c r="V300" s="902"/>
      <c r="W300" s="902"/>
      <c r="X300" s="902"/>
      <c r="Y300" s="902"/>
      <c r="Z300" s="902"/>
      <c r="AA300" s="902"/>
      <c r="AB300" s="902"/>
      <c r="AC300" s="905"/>
      <c r="AD300" s="902"/>
      <c r="AE300" s="902"/>
      <c r="AF300" s="902"/>
      <c r="AG300" s="902"/>
      <c r="AH300" s="902"/>
      <c r="AI300" s="902"/>
      <c r="AJ300" s="902"/>
      <c r="AK300" s="902"/>
      <c r="AL300" s="902"/>
      <c r="AM300" s="902"/>
      <c r="AN300" s="902"/>
      <c r="AO300" s="902"/>
      <c r="AP300" s="902"/>
      <c r="AQ300" s="902"/>
      <c r="AR300" s="902"/>
      <c r="AS300" s="902"/>
      <c r="AT300" s="902"/>
      <c r="AU300" s="902"/>
      <c r="AV300" s="902"/>
      <c r="AW300" s="902"/>
      <c r="AX300" s="902"/>
      <c r="AY300" s="902"/>
      <c r="AZ300" s="902"/>
      <c r="BA300" s="902"/>
      <c r="BB300" s="902"/>
      <c r="BC300" s="902"/>
      <c r="BD300" s="902"/>
      <c r="BE300" s="902"/>
      <c r="BF300" s="902"/>
      <c r="BG300" s="902"/>
      <c r="BH300" s="902"/>
      <c r="BI300" s="902"/>
      <c r="BJ300" s="902"/>
    </row>
    <row r="301" spans="2:64" ht="12" hidden="1" customHeight="1" outlineLevel="1">
      <c r="C301" s="902"/>
      <c r="D301" s="902"/>
      <c r="E301" s="852"/>
      <c r="F301" s="902"/>
      <c r="G301" s="902"/>
      <c r="H301" s="902"/>
      <c r="I301" s="902"/>
      <c r="J301" s="902"/>
      <c r="K301" s="904"/>
      <c r="L301" s="902"/>
      <c r="M301" s="902"/>
      <c r="N301" s="902"/>
      <c r="O301" s="902"/>
      <c r="P301" s="902"/>
      <c r="Q301" s="902"/>
      <c r="R301" s="902"/>
      <c r="S301" s="902"/>
      <c r="T301" s="902"/>
      <c r="U301" s="902"/>
      <c r="V301" s="902"/>
      <c r="W301" s="902"/>
      <c r="X301" s="902"/>
      <c r="Y301" s="902"/>
      <c r="Z301" s="902"/>
      <c r="AA301" s="902"/>
      <c r="AB301" s="902"/>
      <c r="AC301" s="905"/>
      <c r="AD301" s="902"/>
      <c r="AE301" s="902"/>
      <c r="AF301" s="902"/>
      <c r="AG301" s="902"/>
      <c r="AH301" s="902"/>
      <c r="AI301" s="902"/>
      <c r="AJ301" s="902"/>
      <c r="AK301" s="902"/>
      <c r="AL301" s="902"/>
      <c r="AM301" s="902"/>
      <c r="AN301" s="902"/>
      <c r="AO301" s="902"/>
      <c r="AP301" s="902"/>
      <c r="AQ301" s="902"/>
      <c r="AR301" s="902"/>
      <c r="AS301" s="902"/>
      <c r="AT301" s="902"/>
      <c r="AU301" s="902"/>
      <c r="AV301" s="902"/>
      <c r="AW301" s="902"/>
      <c r="AX301" s="902"/>
      <c r="AY301" s="902"/>
      <c r="AZ301" s="902"/>
      <c r="BA301" s="902"/>
      <c r="BB301" s="902"/>
      <c r="BC301" s="902"/>
      <c r="BD301" s="902"/>
      <c r="BE301" s="902"/>
      <c r="BF301" s="902"/>
      <c r="BG301" s="902"/>
      <c r="BH301" s="902"/>
      <c r="BI301" s="902"/>
      <c r="BJ301" s="902"/>
    </row>
    <row r="302" spans="2:64" ht="12" hidden="1" customHeight="1" outlineLevel="1">
      <c r="B302" s="812" t="s">
        <v>39</v>
      </c>
      <c r="C302" s="1223">
        <f t="shared" ref="C302:G302" si="773">-C283</f>
        <v>8.5</v>
      </c>
      <c r="D302" s="1223">
        <f t="shared" si="773"/>
        <v>9.1999999999999993</v>
      </c>
      <c r="E302" s="1223">
        <f t="shared" si="773"/>
        <v>17.7</v>
      </c>
      <c r="F302" s="1223">
        <f t="shared" si="773"/>
        <v>8.9</v>
      </c>
      <c r="G302" s="1223">
        <f t="shared" si="773"/>
        <v>-8.9</v>
      </c>
      <c r="H302" s="1223"/>
      <c r="I302" s="1224"/>
      <c r="J302" s="834"/>
      <c r="K302" s="1225"/>
      <c r="L302" s="834"/>
      <c r="M302" s="834"/>
      <c r="N302" s="1223"/>
      <c r="O302" s="1223"/>
      <c r="P302" s="1223"/>
      <c r="Q302" s="1223"/>
      <c r="R302" s="1223"/>
      <c r="S302" s="1223"/>
      <c r="T302" s="1223"/>
      <c r="U302" s="834"/>
      <c r="V302" s="834"/>
      <c r="W302" s="1223"/>
      <c r="X302" s="834"/>
      <c r="Y302" s="834"/>
      <c r="Z302" s="1223"/>
      <c r="AA302" s="834"/>
      <c r="AB302" s="834"/>
      <c r="AC302" s="1292"/>
      <c r="AD302" s="834"/>
      <c r="AE302" s="834"/>
      <c r="AF302" s="1223">
        <f t="shared" ref="AF302:AU302" si="774">AF303*AF264</f>
        <v>0</v>
      </c>
      <c r="AG302" s="834"/>
      <c r="AH302" s="834"/>
      <c r="AI302" s="1223">
        <f t="shared" si="774"/>
        <v>0</v>
      </c>
      <c r="AJ302" s="1223"/>
      <c r="AK302" s="1223"/>
      <c r="AL302" s="1223">
        <f t="shared" si="774"/>
        <v>0</v>
      </c>
      <c r="AM302" s="1223"/>
      <c r="AN302" s="1223"/>
      <c r="AO302" s="1223">
        <f t="shared" si="774"/>
        <v>0</v>
      </c>
      <c r="AP302" s="1223"/>
      <c r="AQ302" s="1223"/>
      <c r="AR302" s="1223">
        <f t="shared" si="774"/>
        <v>0</v>
      </c>
      <c r="AS302" s="1223"/>
      <c r="AT302" s="1223"/>
      <c r="AU302" s="1223">
        <f t="shared" si="774"/>
        <v>0</v>
      </c>
      <c r="AV302" s="1223"/>
      <c r="AW302" s="1223"/>
      <c r="AX302" s="1223">
        <f t="shared" ref="AX302:BA302" si="775">AX303*AX264</f>
        <v>0</v>
      </c>
      <c r="AY302" s="1223"/>
      <c r="AZ302" s="1223"/>
      <c r="BA302" s="1223">
        <f t="shared" si="775"/>
        <v>0</v>
      </c>
      <c r="BB302" s="1223"/>
      <c r="BC302" s="1223"/>
      <c r="BD302" s="1223">
        <f t="shared" ref="BD302:BG302" si="776">BD303*BD264</f>
        <v>0</v>
      </c>
      <c r="BE302" s="1223"/>
      <c r="BF302" s="1223"/>
      <c r="BG302" s="1223">
        <f t="shared" si="776"/>
        <v>0</v>
      </c>
      <c r="BH302" s="1223"/>
      <c r="BI302" s="1223"/>
      <c r="BJ302" s="1223">
        <f t="shared" ref="BJ302" si="777">BJ303*BJ264</f>
        <v>0</v>
      </c>
    </row>
    <row r="303" spans="2:64" ht="12" hidden="1" customHeight="1" outlineLevel="1">
      <c r="B303" s="812" t="s">
        <v>198</v>
      </c>
      <c r="C303" s="852" t="e">
        <f>#REF!</f>
        <v>#REF!</v>
      </c>
      <c r="D303" s="852">
        <f>D302/D264</f>
        <v>3.7938144329896901E-2</v>
      </c>
      <c r="E303" s="852">
        <f>E302/E264</f>
        <v>3.1978319783197831E-2</v>
      </c>
      <c r="F303" s="852" t="e">
        <f>C303</f>
        <v>#REF!</v>
      </c>
      <c r="G303" s="852">
        <f>G302/G264</f>
        <v>2.9755934470076895E-2</v>
      </c>
      <c r="H303" s="946"/>
      <c r="I303" s="1226"/>
      <c r="J303" s="852"/>
      <c r="K303" s="1227"/>
      <c r="L303" s="852"/>
      <c r="M303" s="852"/>
      <c r="N303" s="946"/>
      <c r="O303" s="946"/>
      <c r="P303" s="946"/>
      <c r="Q303" s="946"/>
      <c r="R303" s="946"/>
      <c r="S303" s="946"/>
      <c r="T303" s="946"/>
      <c r="U303" s="852"/>
      <c r="V303" s="852"/>
      <c r="W303" s="946"/>
      <c r="X303" s="852"/>
      <c r="Y303" s="852"/>
      <c r="Z303" s="946"/>
      <c r="AA303" s="852"/>
      <c r="AB303" s="852"/>
      <c r="AC303" s="948"/>
      <c r="AD303" s="852"/>
      <c r="AE303" s="852"/>
      <c r="AF303" s="946">
        <f>AC303</f>
        <v>0</v>
      </c>
      <c r="AG303" s="852"/>
      <c r="AH303" s="852"/>
      <c r="AI303" s="946">
        <f>AF303</f>
        <v>0</v>
      </c>
      <c r="AJ303" s="946"/>
      <c r="AK303" s="946"/>
      <c r="AL303" s="946">
        <f>AI303</f>
        <v>0</v>
      </c>
      <c r="AM303" s="946"/>
      <c r="AN303" s="946"/>
      <c r="AO303" s="946">
        <f>AL303</f>
        <v>0</v>
      </c>
      <c r="AP303" s="946"/>
      <c r="AQ303" s="946"/>
      <c r="AR303" s="946">
        <f>AO303</f>
        <v>0</v>
      </c>
      <c r="AS303" s="946"/>
      <c r="AT303" s="946"/>
      <c r="AU303" s="946">
        <f>AR303</f>
        <v>0</v>
      </c>
      <c r="AV303" s="946"/>
      <c r="AW303" s="946"/>
      <c r="AX303" s="946">
        <f>AU303</f>
        <v>0</v>
      </c>
      <c r="AY303" s="946"/>
      <c r="AZ303" s="946"/>
      <c r="BA303" s="946">
        <f>AX303</f>
        <v>0</v>
      </c>
      <c r="BB303" s="946"/>
      <c r="BC303" s="946"/>
      <c r="BD303" s="946">
        <f>BA303</f>
        <v>0</v>
      </c>
      <c r="BE303" s="946"/>
      <c r="BF303" s="946"/>
      <c r="BG303" s="946">
        <f>BD303</f>
        <v>0</v>
      </c>
      <c r="BH303" s="946"/>
      <c r="BI303" s="946"/>
      <c r="BJ303" s="946">
        <f t="shared" ref="BJ303" si="778">BG303</f>
        <v>0</v>
      </c>
    </row>
    <row r="304" spans="2:64" ht="12" hidden="1" customHeight="1" outlineLevel="1">
      <c r="B304" s="828" t="s">
        <v>66</v>
      </c>
      <c r="C304" s="834">
        <f>C302+C293</f>
        <v>29.1</v>
      </c>
      <c r="D304" s="834">
        <f>E304-C304</f>
        <v>13.999999999999993</v>
      </c>
      <c r="E304" s="1223">
        <f>E302+E293</f>
        <v>43.099999999999994</v>
      </c>
      <c r="F304" s="834">
        <f>F302+F293</f>
        <v>25.299999999999997</v>
      </c>
      <c r="G304" s="834">
        <f>H304-F304</f>
        <v>-25.299999999999997</v>
      </c>
      <c r="H304" s="1223"/>
      <c r="I304" s="1224"/>
      <c r="J304" s="834"/>
      <c r="K304" s="1225"/>
      <c r="L304" s="834"/>
      <c r="M304" s="834"/>
      <c r="N304" s="1223"/>
      <c r="O304" s="1223"/>
      <c r="P304" s="1223"/>
      <c r="Q304" s="1223"/>
      <c r="R304" s="1223"/>
      <c r="S304" s="1223"/>
      <c r="T304" s="1223"/>
      <c r="U304" s="834"/>
      <c r="V304" s="834"/>
      <c r="W304" s="1223"/>
      <c r="X304" s="834"/>
      <c r="Y304" s="834"/>
      <c r="Z304" s="1223"/>
      <c r="AA304" s="834"/>
      <c r="AB304" s="834"/>
      <c r="AC304" s="1292"/>
      <c r="AD304" s="834"/>
      <c r="AE304" s="834"/>
      <c r="AF304" s="1223">
        <f t="shared" ref="AF304:AU304" si="779">AF302+AF293</f>
        <v>0</v>
      </c>
      <c r="AG304" s="834"/>
      <c r="AH304" s="834"/>
      <c r="AI304" s="1223">
        <f t="shared" si="779"/>
        <v>0</v>
      </c>
      <c r="AJ304" s="1223"/>
      <c r="AK304" s="1223"/>
      <c r="AL304" s="1223">
        <f t="shared" si="779"/>
        <v>0</v>
      </c>
      <c r="AM304" s="1223"/>
      <c r="AN304" s="1223"/>
      <c r="AO304" s="1223">
        <f t="shared" si="779"/>
        <v>0</v>
      </c>
      <c r="AP304" s="1223"/>
      <c r="AQ304" s="1223"/>
      <c r="AR304" s="1223">
        <f t="shared" si="779"/>
        <v>0</v>
      </c>
      <c r="AS304" s="1223"/>
      <c r="AT304" s="1223"/>
      <c r="AU304" s="1223">
        <f t="shared" si="779"/>
        <v>0</v>
      </c>
      <c r="AV304" s="1223"/>
      <c r="AW304" s="1223"/>
      <c r="AX304" s="1223">
        <f t="shared" ref="AX304:BA304" si="780">AX302+AX293</f>
        <v>0</v>
      </c>
      <c r="AY304" s="1223"/>
      <c r="AZ304" s="1223"/>
      <c r="BA304" s="1223">
        <f t="shared" si="780"/>
        <v>0</v>
      </c>
      <c r="BB304" s="1223"/>
      <c r="BC304" s="1223"/>
      <c r="BD304" s="1223">
        <f t="shared" ref="BD304:BG304" si="781">BD302+BD293</f>
        <v>0</v>
      </c>
      <c r="BE304" s="1223"/>
      <c r="BF304" s="1223"/>
      <c r="BG304" s="1223">
        <f t="shared" si="781"/>
        <v>0</v>
      </c>
      <c r="BH304" s="1223"/>
      <c r="BI304" s="1223"/>
      <c r="BJ304" s="1223">
        <f t="shared" ref="BJ304" si="782">BJ302+BJ293</f>
        <v>0</v>
      </c>
    </row>
    <row r="305" spans="2:64" ht="12" hidden="1" customHeight="1" outlineLevel="1">
      <c r="B305" s="812" t="s">
        <v>59</v>
      </c>
      <c r="C305" s="852">
        <f t="shared" ref="C305:AU305" si="783">C304/C264</f>
        <v>9.3569131832797428E-2</v>
      </c>
      <c r="D305" s="852">
        <f t="shared" si="783"/>
        <v>5.7731958762886566E-2</v>
      </c>
      <c r="E305" s="852">
        <f t="shared" si="783"/>
        <v>7.7868112014453469E-2</v>
      </c>
      <c r="F305" s="852">
        <f t="shared" si="783"/>
        <v>8.4587094617184874E-2</v>
      </c>
      <c r="G305" s="852">
        <f t="shared" si="783"/>
        <v>8.4587094617184874E-2</v>
      </c>
      <c r="H305" s="852"/>
      <c r="I305" s="852"/>
      <c r="J305" s="852"/>
      <c r="K305" s="988"/>
      <c r="L305" s="852"/>
      <c r="M305" s="852"/>
      <c r="N305" s="852"/>
      <c r="O305" s="852"/>
      <c r="P305" s="852"/>
      <c r="Q305" s="852"/>
      <c r="R305" s="852"/>
      <c r="S305" s="852"/>
      <c r="T305" s="852"/>
      <c r="U305" s="852"/>
      <c r="V305" s="852"/>
      <c r="W305" s="852"/>
      <c r="X305" s="852"/>
      <c r="Y305" s="852"/>
      <c r="Z305" s="852"/>
      <c r="AA305" s="852"/>
      <c r="AB305" s="852"/>
      <c r="AC305" s="853"/>
      <c r="AD305" s="852"/>
      <c r="AE305" s="852"/>
      <c r="AF305" s="852">
        <f t="shared" si="783"/>
        <v>0</v>
      </c>
      <c r="AG305" s="852"/>
      <c r="AH305" s="852"/>
      <c r="AI305" s="852">
        <f t="shared" si="783"/>
        <v>0</v>
      </c>
      <c r="AJ305" s="852"/>
      <c r="AK305" s="852"/>
      <c r="AL305" s="852">
        <f t="shared" si="783"/>
        <v>0</v>
      </c>
      <c r="AM305" s="852"/>
      <c r="AN305" s="852"/>
      <c r="AO305" s="852">
        <f t="shared" si="783"/>
        <v>0</v>
      </c>
      <c r="AP305" s="852"/>
      <c r="AQ305" s="852"/>
      <c r="AR305" s="852">
        <f t="shared" si="783"/>
        <v>0</v>
      </c>
      <c r="AS305" s="852"/>
      <c r="AT305" s="852"/>
      <c r="AU305" s="852">
        <f t="shared" si="783"/>
        <v>0</v>
      </c>
      <c r="AV305" s="852"/>
      <c r="AW305" s="852"/>
      <c r="AX305" s="852">
        <f t="shared" ref="AX305:BA305" si="784">AX304/AX264</f>
        <v>0</v>
      </c>
      <c r="AY305" s="852"/>
      <c r="AZ305" s="852"/>
      <c r="BA305" s="852">
        <f t="shared" si="784"/>
        <v>0</v>
      </c>
      <c r="BB305" s="852"/>
      <c r="BC305" s="852"/>
      <c r="BD305" s="852">
        <f t="shared" ref="BD305:BG305" si="785">BD304/BD264</f>
        <v>0</v>
      </c>
      <c r="BE305" s="852"/>
      <c r="BF305" s="852"/>
      <c r="BG305" s="852">
        <f t="shared" si="785"/>
        <v>0</v>
      </c>
      <c r="BH305" s="852"/>
      <c r="BI305" s="852"/>
      <c r="BJ305" s="852">
        <f t="shared" ref="BJ305" si="786">BJ304/BJ264</f>
        <v>0</v>
      </c>
    </row>
    <row r="306" spans="2:64" ht="12" hidden="1" customHeight="1" outlineLevel="1">
      <c r="E306" s="852"/>
      <c r="H306" s="902"/>
      <c r="K306" s="904"/>
      <c r="N306" s="902"/>
      <c r="O306" s="902"/>
      <c r="P306" s="902"/>
      <c r="Q306" s="902"/>
      <c r="R306" s="902"/>
      <c r="S306" s="902"/>
      <c r="T306" s="902"/>
      <c r="W306" s="902"/>
      <c r="Z306" s="902"/>
      <c r="AC306" s="905"/>
      <c r="AF306" s="902"/>
      <c r="AI306" s="902"/>
      <c r="AJ306" s="902"/>
      <c r="AK306" s="902"/>
      <c r="AL306" s="902"/>
      <c r="AM306" s="902"/>
      <c r="AN306" s="902"/>
      <c r="AO306" s="902"/>
      <c r="AP306" s="902"/>
      <c r="AQ306" s="902"/>
      <c r="AR306" s="902"/>
      <c r="AS306" s="902"/>
      <c r="AT306" s="902"/>
      <c r="AU306" s="902"/>
      <c r="AV306" s="902"/>
      <c r="AW306" s="902"/>
      <c r="AX306" s="902"/>
      <c r="AY306" s="902"/>
      <c r="AZ306" s="902"/>
      <c r="BA306" s="902"/>
      <c r="BB306" s="902"/>
      <c r="BC306" s="902"/>
      <c r="BD306" s="902"/>
      <c r="BE306" s="902"/>
      <c r="BF306" s="902"/>
      <c r="BG306" s="902"/>
      <c r="BH306" s="902"/>
      <c r="BI306" s="902"/>
      <c r="BJ306" s="902"/>
    </row>
    <row r="307" spans="2:64" hidden="1" collapsed="1">
      <c r="B307" s="812" t="s">
        <v>75</v>
      </c>
      <c r="C307" s="834"/>
      <c r="D307" s="834"/>
      <c r="F307" s="834"/>
      <c r="G307" s="834"/>
      <c r="I307" s="834"/>
      <c r="J307" s="834"/>
      <c r="L307" s="834"/>
      <c r="M307" s="834"/>
      <c r="U307" s="834"/>
      <c r="V307" s="834"/>
      <c r="X307" s="834"/>
      <c r="Y307" s="834"/>
      <c r="AA307" s="834"/>
      <c r="AB307" s="834"/>
      <c r="AD307" s="834"/>
      <c r="AE307" s="834"/>
      <c r="AG307" s="834"/>
      <c r="AH307" s="834"/>
    </row>
    <row r="308" spans="2:64" hidden="1">
      <c r="B308" s="812" t="s">
        <v>78</v>
      </c>
      <c r="C308" s="834"/>
      <c r="D308" s="834"/>
      <c r="F308" s="834"/>
      <c r="G308" s="834"/>
      <c r="I308" s="834"/>
      <c r="J308" s="834"/>
      <c r="L308" s="834"/>
      <c r="M308" s="834"/>
      <c r="U308" s="834"/>
      <c r="V308" s="834"/>
      <c r="X308" s="834"/>
      <c r="Y308" s="834"/>
      <c r="AA308" s="834"/>
      <c r="AB308" s="834"/>
      <c r="AD308" s="834"/>
      <c r="AE308" s="834"/>
      <c r="AG308" s="834"/>
      <c r="AH308" s="834"/>
    </row>
    <row r="309" spans="2:64" hidden="1">
      <c r="B309" s="812" t="s">
        <v>192</v>
      </c>
      <c r="C309" s="834"/>
      <c r="D309" s="834"/>
      <c r="F309" s="834"/>
      <c r="G309" s="834"/>
      <c r="I309" s="834"/>
      <c r="J309" s="834"/>
      <c r="L309" s="834"/>
      <c r="M309" s="834"/>
      <c r="U309" s="834"/>
      <c r="V309" s="834"/>
      <c r="X309" s="834"/>
      <c r="Y309" s="834"/>
      <c r="AA309" s="834"/>
      <c r="AB309" s="834"/>
      <c r="AD309" s="834"/>
      <c r="AE309" s="834"/>
      <c r="AG309" s="834"/>
      <c r="AH309" s="834"/>
    </row>
    <row r="310" spans="2:64" hidden="1">
      <c r="B310" s="812" t="s">
        <v>170</v>
      </c>
      <c r="C310" s="834"/>
      <c r="D310" s="834"/>
      <c r="F310" s="834"/>
      <c r="G310" s="834"/>
      <c r="I310" s="834"/>
      <c r="J310" s="834"/>
      <c r="L310" s="834"/>
      <c r="M310" s="834"/>
      <c r="U310" s="834"/>
      <c r="V310" s="834"/>
      <c r="X310" s="834"/>
      <c r="Y310" s="834"/>
      <c r="AA310" s="834"/>
      <c r="AB310" s="834"/>
      <c r="AD310" s="834"/>
      <c r="AE310" s="834"/>
      <c r="AG310" s="834"/>
      <c r="AH310" s="834"/>
    </row>
    <row r="311" spans="2:64" hidden="1">
      <c r="B311" s="812" t="s">
        <v>154</v>
      </c>
      <c r="C311" s="834"/>
      <c r="D311" s="834"/>
      <c r="F311" s="834"/>
      <c r="G311" s="834"/>
      <c r="I311" s="834"/>
      <c r="J311" s="834"/>
      <c r="L311" s="834"/>
      <c r="M311" s="834"/>
      <c r="U311" s="834"/>
      <c r="V311" s="834"/>
      <c r="X311" s="834"/>
      <c r="Y311" s="834"/>
      <c r="AA311" s="834"/>
      <c r="AB311" s="834"/>
      <c r="AD311" s="834"/>
      <c r="AE311" s="834"/>
      <c r="AG311" s="834"/>
      <c r="AH311" s="834"/>
    </row>
    <row r="312" spans="2:64" hidden="1">
      <c r="B312" s="812" t="s">
        <v>144</v>
      </c>
      <c r="C312" s="834"/>
      <c r="D312" s="834"/>
      <c r="F312" s="834"/>
      <c r="G312" s="834"/>
      <c r="I312" s="834"/>
      <c r="J312" s="834"/>
      <c r="L312" s="834"/>
      <c r="M312" s="834"/>
      <c r="U312" s="834"/>
      <c r="V312" s="834"/>
      <c r="X312" s="834"/>
      <c r="Y312" s="834"/>
      <c r="AA312" s="834"/>
      <c r="AB312" s="834"/>
      <c r="AD312" s="834"/>
      <c r="AE312" s="834"/>
      <c r="AG312" s="834"/>
      <c r="AH312" s="834"/>
    </row>
    <row r="313" spans="2:64" hidden="1">
      <c r="B313" s="828"/>
      <c r="C313" s="834"/>
      <c r="D313" s="834"/>
      <c r="F313" s="834"/>
      <c r="G313" s="834"/>
      <c r="I313" s="834"/>
      <c r="J313" s="834"/>
      <c r="L313" s="834"/>
      <c r="M313" s="834"/>
      <c r="U313" s="834"/>
      <c r="V313" s="834"/>
      <c r="X313" s="834"/>
      <c r="Y313" s="834"/>
      <c r="AA313" s="834"/>
      <c r="AB313" s="834"/>
      <c r="AD313" s="834"/>
      <c r="AE313" s="834"/>
      <c r="AG313" s="834"/>
      <c r="AH313" s="834"/>
    </row>
    <row r="314" spans="2:64">
      <c r="B314" s="824" t="s">
        <v>174</v>
      </c>
      <c r="C314" s="827"/>
      <c r="D314" s="827"/>
      <c r="E314" s="827"/>
      <c r="F314" s="827"/>
      <c r="G314" s="827"/>
      <c r="H314" s="827"/>
      <c r="I314" s="827"/>
      <c r="J314" s="827"/>
      <c r="K314" s="1051"/>
      <c r="L314" s="897"/>
      <c r="M314" s="897"/>
      <c r="N314" s="897"/>
      <c r="O314" s="897"/>
      <c r="P314" s="897"/>
      <c r="Q314" s="897"/>
      <c r="R314" s="897"/>
      <c r="S314" s="897"/>
      <c r="T314" s="897"/>
      <c r="U314" s="897"/>
      <c r="V314" s="897"/>
      <c r="W314" s="897"/>
      <c r="X314" s="897"/>
      <c r="Y314" s="897"/>
      <c r="Z314" s="897"/>
      <c r="AA314" s="897"/>
      <c r="AB314" s="897"/>
      <c r="AC314" s="898"/>
      <c r="AD314" s="897"/>
      <c r="AE314" s="897"/>
      <c r="AF314" s="827"/>
      <c r="AG314" s="897"/>
      <c r="AH314" s="897"/>
      <c r="AI314" s="827"/>
      <c r="AJ314" s="827"/>
      <c r="AK314" s="827"/>
      <c r="AL314" s="827"/>
      <c r="AM314" s="827"/>
      <c r="AN314" s="827"/>
      <c r="AO314" s="827"/>
      <c r="AP314" s="827"/>
      <c r="AQ314" s="827"/>
      <c r="AR314" s="827"/>
      <c r="AS314" s="827"/>
      <c r="AT314" s="827"/>
      <c r="AU314" s="827"/>
      <c r="AV314" s="827"/>
      <c r="AW314" s="827"/>
      <c r="AX314" s="827"/>
      <c r="AY314" s="827"/>
      <c r="AZ314" s="827"/>
      <c r="BA314" s="827"/>
      <c r="BB314" s="827"/>
      <c r="BC314" s="827"/>
      <c r="BD314" s="827"/>
      <c r="BE314" s="827"/>
      <c r="BF314" s="827"/>
      <c r="BG314" s="827"/>
      <c r="BH314" s="827"/>
      <c r="BI314" s="827"/>
      <c r="BJ314" s="827"/>
    </row>
    <row r="315" spans="2:64" hidden="1" outlineLevel="1">
      <c r="B315" s="1033"/>
    </row>
    <row r="316" spans="2:64" hidden="1" outlineLevel="1">
      <c r="B316" s="1228" t="s">
        <v>205</v>
      </c>
      <c r="C316" s="1229"/>
      <c r="D316" s="1229"/>
      <c r="E316" s="1229"/>
      <c r="F316" s="1229"/>
      <c r="G316" s="1229"/>
      <c r="H316" s="1229"/>
      <c r="I316" s="1229"/>
      <c r="J316" s="1229"/>
      <c r="K316" s="1230"/>
      <c r="L316" s="1229"/>
      <c r="M316" s="1229"/>
      <c r="N316" s="1229"/>
      <c r="O316" s="1229"/>
      <c r="P316" s="1229"/>
      <c r="Q316" s="1229"/>
      <c r="R316" s="1229"/>
      <c r="S316" s="1229"/>
      <c r="T316" s="1229"/>
      <c r="U316" s="1229"/>
      <c r="V316" s="1229"/>
      <c r="W316" s="1229"/>
      <c r="X316" s="1229"/>
      <c r="Y316" s="1229"/>
      <c r="Z316" s="1229"/>
      <c r="AA316" s="1229"/>
      <c r="AB316" s="1229"/>
      <c r="AC316" s="1231"/>
      <c r="AD316" s="1229"/>
      <c r="AE316" s="1229"/>
      <c r="AF316" s="1229"/>
      <c r="AG316" s="1229"/>
      <c r="AH316" s="1229"/>
      <c r="AI316" s="1229"/>
      <c r="AJ316" s="1229"/>
      <c r="AK316" s="1229"/>
      <c r="AL316" s="1229"/>
      <c r="AM316" s="1229"/>
      <c r="AN316" s="1229"/>
      <c r="AO316" s="1229"/>
      <c r="AP316" s="1229"/>
      <c r="AQ316" s="1229"/>
      <c r="AR316" s="1229"/>
      <c r="AS316" s="1229"/>
      <c r="AT316" s="1229"/>
      <c r="AU316" s="1229"/>
      <c r="AV316" s="1229"/>
      <c r="AW316" s="1229"/>
      <c r="AX316" s="1229"/>
      <c r="AY316" s="1229"/>
      <c r="AZ316" s="1229"/>
      <c r="BA316" s="1229"/>
      <c r="BB316" s="1229"/>
      <c r="BC316" s="1229"/>
      <c r="BD316" s="1229"/>
      <c r="BE316" s="1229"/>
      <c r="BF316" s="1229"/>
      <c r="BG316" s="1229"/>
      <c r="BH316" s="1229"/>
      <c r="BI316" s="1229"/>
      <c r="BJ316" s="1229"/>
    </row>
    <row r="317" spans="2:64" s="828" customFormat="1" ht="16.5" hidden="1" outlineLevel="1">
      <c r="B317" s="828" t="s">
        <v>139</v>
      </c>
      <c r="C317" s="1004"/>
      <c r="D317" s="845"/>
      <c r="E317" s="1232"/>
      <c r="F317" s="1233"/>
      <c r="G317" s="1234"/>
      <c r="H317" s="1235"/>
      <c r="I317" s="1233"/>
      <c r="J317" s="1234"/>
      <c r="K317" s="1236"/>
      <c r="L317" s="1233"/>
      <c r="M317" s="1234"/>
      <c r="N317" s="1235"/>
      <c r="O317" s="1235"/>
      <c r="P317" s="1235"/>
      <c r="Q317" s="1235"/>
      <c r="R317" s="1235"/>
      <c r="S317" s="1235"/>
      <c r="T317" s="1235"/>
      <c r="U317" s="1233"/>
      <c r="V317" s="1234"/>
      <c r="W317" s="1235"/>
      <c r="X317" s="1233"/>
      <c r="Y317" s="1234"/>
      <c r="Z317" s="1235"/>
      <c r="AA317" s="1233"/>
      <c r="AB317" s="1234"/>
      <c r="AC317" s="1367"/>
      <c r="AD317" s="1233"/>
      <c r="AE317" s="1234"/>
      <c r="AF317" s="1235"/>
      <c r="AG317" s="1233"/>
      <c r="AH317" s="1234"/>
      <c r="AI317" s="1235"/>
      <c r="AJ317" s="1235"/>
      <c r="AK317" s="1235"/>
      <c r="AL317" s="1235"/>
      <c r="AM317" s="1235"/>
      <c r="AN317" s="1235"/>
      <c r="AO317" s="1235"/>
      <c r="AP317" s="1235"/>
      <c r="AQ317" s="1235"/>
      <c r="AR317" s="1235"/>
      <c r="AS317" s="1235"/>
      <c r="AT317" s="1235"/>
      <c r="AU317" s="1235"/>
      <c r="AV317" s="1235"/>
      <c r="AW317" s="1235"/>
      <c r="AX317" s="1235"/>
      <c r="AY317" s="1235"/>
      <c r="AZ317" s="1235"/>
      <c r="BA317" s="1235"/>
      <c r="BB317" s="1235"/>
      <c r="BC317" s="1235"/>
      <c r="BD317" s="1235"/>
      <c r="BE317" s="1235"/>
      <c r="BF317" s="1235"/>
      <c r="BG317" s="1235"/>
      <c r="BH317" s="1235"/>
      <c r="BI317" s="1235"/>
      <c r="BJ317" s="1235"/>
      <c r="BK317" s="810"/>
      <c r="BL317" s="811"/>
    </row>
    <row r="318" spans="2:64" hidden="1" outlineLevel="1">
      <c r="B318" s="1033" t="s">
        <v>70</v>
      </c>
      <c r="C318" s="991">
        <v>-0.1</v>
      </c>
      <c r="D318" s="834">
        <f>E318-C318</f>
        <v>0</v>
      </c>
      <c r="E318" s="1237">
        <v>-0.1</v>
      </c>
      <c r="F318" s="932">
        <v>0</v>
      </c>
      <c r="G318" s="899">
        <f>H318-F318</f>
        <v>0</v>
      </c>
      <c r="H318" s="1237"/>
      <c r="I318" s="899"/>
      <c r="J318" s="899"/>
      <c r="L318" s="899"/>
      <c r="M318" s="899"/>
      <c r="U318" s="899"/>
      <c r="V318" s="899"/>
      <c r="X318" s="899"/>
      <c r="Y318" s="899"/>
      <c r="AA318" s="899"/>
      <c r="AB318" s="899"/>
      <c r="AD318" s="899"/>
      <c r="AE318" s="899"/>
      <c r="AF318" s="831">
        <v>0</v>
      </c>
      <c r="AG318" s="899"/>
      <c r="AH318" s="899"/>
      <c r="AI318" s="831">
        <v>0</v>
      </c>
      <c r="AL318" s="831">
        <v>0</v>
      </c>
      <c r="AO318" s="831">
        <v>0</v>
      </c>
      <c r="AR318" s="831">
        <v>0</v>
      </c>
      <c r="AU318" s="831">
        <v>0</v>
      </c>
      <c r="AX318" s="831">
        <v>0</v>
      </c>
      <c r="BA318" s="831">
        <v>0</v>
      </c>
      <c r="BD318" s="831">
        <v>0</v>
      </c>
      <c r="BG318" s="831">
        <v>0</v>
      </c>
      <c r="BJ318" s="831">
        <v>0</v>
      </c>
    </row>
    <row r="319" spans="2:64" hidden="1" outlineLevel="1">
      <c r="B319" s="1033"/>
      <c r="C319" s="944" t="e">
        <f>C318/C317</f>
        <v>#DIV/0!</v>
      </c>
      <c r="D319" s="944" t="e">
        <f>D318/D317</f>
        <v>#DIV/0!</v>
      </c>
      <c r="E319" s="944"/>
      <c r="L319" s="944"/>
      <c r="M319" s="944"/>
      <c r="N319" s="944"/>
      <c r="O319" s="944"/>
      <c r="P319" s="944"/>
      <c r="Q319" s="944"/>
      <c r="R319" s="944"/>
      <c r="S319" s="944"/>
      <c r="T319" s="944"/>
      <c r="U319" s="944"/>
      <c r="V319" s="944"/>
      <c r="W319" s="944"/>
      <c r="X319" s="944"/>
      <c r="Y319" s="944"/>
      <c r="AA319" s="944"/>
      <c r="AB319" s="944"/>
      <c r="AD319" s="944"/>
      <c r="AE319" s="944"/>
      <c r="AG319" s="944"/>
      <c r="AH319" s="944"/>
    </row>
    <row r="320" spans="2:64" hidden="1" outlineLevel="1">
      <c r="B320" s="1228" t="s">
        <v>197</v>
      </c>
      <c r="C320" s="1229"/>
      <c r="D320" s="1229"/>
      <c r="E320" s="1229"/>
      <c r="F320" s="1229"/>
      <c r="G320" s="1229"/>
      <c r="H320" s="1229"/>
      <c r="I320" s="1229"/>
      <c r="J320" s="1229"/>
      <c r="K320" s="1230"/>
      <c r="L320" s="1229"/>
      <c r="M320" s="1229"/>
      <c r="N320" s="1229"/>
      <c r="O320" s="1229"/>
      <c r="P320" s="1229"/>
      <c r="Q320" s="1229"/>
      <c r="R320" s="1229"/>
      <c r="S320" s="1229"/>
      <c r="T320" s="1229"/>
      <c r="U320" s="1229"/>
      <c r="V320" s="1229"/>
      <c r="W320" s="1229"/>
      <c r="X320" s="1229"/>
      <c r="Y320" s="1229"/>
      <c r="Z320" s="1229"/>
      <c r="AA320" s="1229"/>
      <c r="AB320" s="1229"/>
      <c r="AC320" s="1231"/>
      <c r="AD320" s="1229"/>
      <c r="AE320" s="1229"/>
      <c r="AF320" s="1229"/>
      <c r="AG320" s="1229"/>
      <c r="AH320" s="1229"/>
      <c r="AI320" s="1229"/>
      <c r="AJ320" s="1229"/>
      <c r="AK320" s="1229"/>
      <c r="AL320" s="1229"/>
      <c r="AM320" s="1229"/>
      <c r="AN320" s="1229"/>
      <c r="AO320" s="1229"/>
      <c r="AP320" s="1229"/>
      <c r="AQ320" s="1229"/>
      <c r="AR320" s="1229"/>
      <c r="AS320" s="1229"/>
      <c r="AT320" s="1229"/>
      <c r="AU320" s="1229"/>
      <c r="AV320" s="1229"/>
      <c r="AW320" s="1229"/>
      <c r="AX320" s="1229"/>
      <c r="AY320" s="1229"/>
      <c r="AZ320" s="1229"/>
      <c r="BA320" s="1229"/>
      <c r="BB320" s="1229"/>
      <c r="BC320" s="1229"/>
      <c r="BD320" s="1229"/>
      <c r="BE320" s="1229"/>
      <c r="BF320" s="1229"/>
      <c r="BG320" s="1229"/>
      <c r="BH320" s="1229"/>
      <c r="BI320" s="1229"/>
      <c r="BJ320" s="1229"/>
    </row>
    <row r="321" spans="1:64" hidden="1" outlineLevel="1">
      <c r="B321" s="812" t="s">
        <v>218</v>
      </c>
      <c r="C321" s="1030"/>
      <c r="D321" s="1030"/>
      <c r="E321" s="1030"/>
      <c r="F321" s="1030"/>
      <c r="G321" s="1030"/>
      <c r="H321" s="1030"/>
      <c r="I321" s="1030"/>
      <c r="J321" s="1030"/>
      <c r="K321" s="1031"/>
      <c r="L321" s="1030"/>
      <c r="M321" s="1030"/>
      <c r="N321" s="1030"/>
      <c r="O321" s="1030"/>
      <c r="P321" s="1030"/>
      <c r="Q321" s="1030"/>
      <c r="R321" s="1030"/>
      <c r="S321" s="1030"/>
      <c r="T321" s="1030"/>
      <c r="U321" s="1030"/>
      <c r="V321" s="1030"/>
      <c r="W321" s="1030"/>
      <c r="X321" s="1030"/>
      <c r="Y321" s="1030"/>
      <c r="Z321" s="1030"/>
      <c r="AA321" s="1030"/>
      <c r="AB321" s="1030"/>
      <c r="AC321" s="1032"/>
      <c r="AD321" s="1030"/>
      <c r="AE321" s="1030"/>
      <c r="AF321" s="1030"/>
      <c r="AG321" s="1030"/>
      <c r="AH321" s="1030"/>
      <c r="AI321" s="1030"/>
      <c r="AJ321" s="1030"/>
      <c r="AK321" s="1030"/>
      <c r="AL321" s="1030"/>
      <c r="AM321" s="1030"/>
      <c r="AN321" s="1030"/>
      <c r="AO321" s="1030"/>
      <c r="AP321" s="1030"/>
      <c r="AQ321" s="1030"/>
      <c r="AR321" s="1030"/>
      <c r="AS321" s="1030"/>
      <c r="AT321" s="1030"/>
      <c r="AU321" s="1030"/>
      <c r="AV321" s="1030"/>
      <c r="AW321" s="1030"/>
      <c r="AX321" s="1030"/>
      <c r="AY321" s="1030"/>
      <c r="AZ321" s="1030"/>
      <c r="BA321" s="1030"/>
      <c r="BB321" s="1030"/>
      <c r="BC321" s="1030"/>
      <c r="BD321" s="1030"/>
      <c r="BE321" s="1030"/>
      <c r="BF321" s="1030"/>
      <c r="BG321" s="1030"/>
      <c r="BH321" s="1030"/>
      <c r="BI321" s="1030"/>
      <c r="BJ321" s="1030"/>
    </row>
    <row r="322" spans="1:64" hidden="1" outlineLevel="1">
      <c r="B322" s="812" t="s">
        <v>57</v>
      </c>
      <c r="C322" s="1238"/>
      <c r="D322" s="1238"/>
      <c r="E322" s="1238"/>
      <c r="F322" s="1030"/>
      <c r="G322" s="1030"/>
      <c r="H322" s="1238"/>
      <c r="I322" s="1030"/>
      <c r="J322" s="1030"/>
      <c r="K322" s="1239"/>
      <c r="L322" s="1030"/>
      <c r="M322" s="1030"/>
      <c r="N322" s="1238"/>
      <c r="O322" s="1238"/>
      <c r="P322" s="1238"/>
      <c r="Q322" s="1238"/>
      <c r="R322" s="1238"/>
      <c r="S322" s="1238"/>
      <c r="T322" s="1238"/>
      <c r="U322" s="1238"/>
      <c r="V322" s="1238"/>
      <c r="W322" s="1238"/>
      <c r="X322" s="1238"/>
      <c r="Y322" s="1238"/>
      <c r="Z322" s="1238"/>
      <c r="AA322" s="1238"/>
      <c r="AB322" s="1238"/>
      <c r="AC322" s="1240"/>
      <c r="AD322" s="1238"/>
      <c r="AE322" s="1238"/>
      <c r="AF322" s="1238"/>
      <c r="AG322" s="1238"/>
      <c r="AH322" s="1238"/>
      <c r="AI322" s="1238"/>
      <c r="AJ322" s="1238"/>
      <c r="AK322" s="1238"/>
      <c r="AL322" s="1238"/>
      <c r="AM322" s="1238"/>
      <c r="AN322" s="1238"/>
      <c r="AO322" s="1238"/>
      <c r="AP322" s="1238"/>
      <c r="AQ322" s="1238"/>
      <c r="AR322" s="1238"/>
      <c r="AS322" s="1238"/>
      <c r="AT322" s="1238"/>
      <c r="AU322" s="1238"/>
      <c r="AV322" s="1238"/>
      <c r="AW322" s="1238"/>
      <c r="AX322" s="1238"/>
      <c r="AY322" s="1238"/>
      <c r="AZ322" s="1238"/>
      <c r="BA322" s="1238"/>
      <c r="BB322" s="1238"/>
      <c r="BC322" s="1238"/>
      <c r="BD322" s="1238"/>
      <c r="BE322" s="1238"/>
      <c r="BF322" s="1238"/>
      <c r="BG322" s="1238"/>
      <c r="BH322" s="1238"/>
      <c r="BI322" s="1238"/>
      <c r="BJ322" s="1238"/>
    </row>
    <row r="323" spans="1:64" hidden="1" outlineLevel="1">
      <c r="B323" s="1112" t="s">
        <v>219</v>
      </c>
      <c r="C323" s="1241"/>
      <c r="D323" s="1241"/>
      <c r="E323" s="1241"/>
      <c r="F323" s="1030"/>
      <c r="G323" s="1030"/>
      <c r="H323" s="1241"/>
      <c r="I323" s="1030"/>
      <c r="J323" s="1030"/>
      <c r="K323" s="1242"/>
      <c r="L323" s="1030"/>
      <c r="M323" s="1030"/>
      <c r="N323" s="1241"/>
      <c r="O323" s="1241"/>
      <c r="P323" s="1241"/>
      <c r="Q323" s="1241"/>
      <c r="R323" s="1241"/>
      <c r="S323" s="1241"/>
      <c r="T323" s="1241"/>
      <c r="U323" s="1241"/>
      <c r="V323" s="1241"/>
      <c r="W323" s="1241"/>
      <c r="X323" s="1241"/>
      <c r="Y323" s="1241"/>
      <c r="Z323" s="1241"/>
      <c r="AA323" s="1241"/>
      <c r="AB323" s="1241"/>
      <c r="AC323" s="1243"/>
      <c r="AD323" s="1241"/>
      <c r="AE323" s="1241"/>
      <c r="AF323" s="1241"/>
      <c r="AG323" s="1241"/>
      <c r="AH323" s="1241"/>
      <c r="AI323" s="1241"/>
      <c r="AJ323" s="1241"/>
      <c r="AK323" s="1241"/>
      <c r="AL323" s="1241"/>
      <c r="AM323" s="1241"/>
      <c r="AN323" s="1241"/>
      <c r="AO323" s="1241"/>
      <c r="AP323" s="1241"/>
      <c r="AQ323" s="1241"/>
      <c r="AR323" s="1241"/>
      <c r="AS323" s="1241"/>
      <c r="AT323" s="1241"/>
      <c r="AU323" s="1241"/>
      <c r="AV323" s="1241"/>
      <c r="AW323" s="1241"/>
      <c r="AX323" s="1241"/>
      <c r="AY323" s="1241"/>
      <c r="AZ323" s="1241"/>
      <c r="BA323" s="1241"/>
      <c r="BB323" s="1241"/>
      <c r="BC323" s="1241"/>
      <c r="BD323" s="1241"/>
      <c r="BE323" s="1241"/>
      <c r="BF323" s="1241"/>
      <c r="BG323" s="1241"/>
      <c r="BH323" s="1241"/>
      <c r="BI323" s="1241"/>
      <c r="BJ323" s="1241"/>
    </row>
    <row r="324" spans="1:64" s="828" customFormat="1" hidden="1" outlineLevel="1">
      <c r="B324" s="828" t="s">
        <v>139</v>
      </c>
      <c r="C324" s="922"/>
      <c r="D324" s="922"/>
      <c r="E324" s="922"/>
      <c r="F324" s="922"/>
      <c r="G324" s="922"/>
      <c r="H324" s="922"/>
      <c r="I324" s="922"/>
      <c r="J324" s="922"/>
      <c r="K324" s="1059"/>
      <c r="L324" s="922"/>
      <c r="M324" s="922"/>
      <c r="N324" s="922"/>
      <c r="O324" s="922"/>
      <c r="P324" s="922"/>
      <c r="Q324" s="922"/>
      <c r="R324" s="922"/>
      <c r="S324" s="922"/>
      <c r="T324" s="922"/>
      <c r="U324" s="922"/>
      <c r="V324" s="922"/>
      <c r="W324" s="922"/>
      <c r="X324" s="922"/>
      <c r="Y324" s="922"/>
      <c r="Z324" s="922"/>
      <c r="AA324" s="922"/>
      <c r="AB324" s="922"/>
      <c r="AC324" s="1244"/>
      <c r="AD324" s="922"/>
      <c r="AE324" s="922"/>
      <c r="AF324" s="922"/>
      <c r="AG324" s="922"/>
      <c r="AH324" s="922"/>
      <c r="AI324" s="922"/>
      <c r="AJ324" s="922"/>
      <c r="AK324" s="922"/>
      <c r="AL324" s="922"/>
      <c r="AM324" s="922"/>
      <c r="AN324" s="922"/>
      <c r="AO324" s="922"/>
      <c r="AP324" s="922"/>
      <c r="AQ324" s="922"/>
      <c r="AR324" s="922"/>
      <c r="AS324" s="922"/>
      <c r="AT324" s="922"/>
      <c r="AU324" s="922"/>
      <c r="AV324" s="922"/>
      <c r="AW324" s="922"/>
      <c r="AX324" s="922"/>
      <c r="AY324" s="922"/>
      <c r="AZ324" s="922"/>
      <c r="BA324" s="922"/>
      <c r="BB324" s="922"/>
      <c r="BC324" s="922"/>
      <c r="BD324" s="922"/>
      <c r="BE324" s="922"/>
      <c r="BF324" s="922"/>
      <c r="BG324" s="922"/>
      <c r="BH324" s="922"/>
      <c r="BI324" s="922"/>
      <c r="BJ324" s="922"/>
      <c r="BK324" s="810"/>
      <c r="BL324" s="811"/>
    </row>
    <row r="325" spans="1:64" hidden="1" outlineLevel="1">
      <c r="B325" s="1112" t="s">
        <v>251</v>
      </c>
      <c r="C325" s="1238"/>
      <c r="D325" s="1238"/>
      <c r="E325" s="1238"/>
      <c r="F325" s="1238"/>
      <c r="G325" s="1238"/>
      <c r="H325" s="1238"/>
      <c r="I325" s="1238"/>
      <c r="J325" s="1238"/>
      <c r="K325" s="1239"/>
      <c r="L325" s="1238"/>
      <c r="M325" s="1238"/>
      <c r="N325" s="1238"/>
      <c r="O325" s="1238"/>
      <c r="P325" s="1238"/>
      <c r="Q325" s="1238"/>
      <c r="R325" s="1238"/>
      <c r="S325" s="1238"/>
      <c r="T325" s="1238"/>
      <c r="U325" s="1238"/>
      <c r="V325" s="1238"/>
      <c r="W325" s="1238"/>
      <c r="X325" s="1238"/>
      <c r="Y325" s="1238"/>
      <c r="Z325" s="1238"/>
      <c r="AA325" s="1238"/>
      <c r="AB325" s="1238"/>
      <c r="AC325" s="1240"/>
      <c r="AD325" s="1238"/>
      <c r="AE325" s="1238"/>
      <c r="AF325" s="1238"/>
      <c r="AG325" s="1238"/>
      <c r="AH325" s="1238"/>
      <c r="AI325" s="1238"/>
      <c r="AJ325" s="1238"/>
      <c r="AK325" s="1238"/>
      <c r="AL325" s="1238"/>
      <c r="AM325" s="1238"/>
      <c r="AN325" s="1238"/>
      <c r="AO325" s="1238"/>
      <c r="AP325" s="1238"/>
      <c r="AQ325" s="1238"/>
      <c r="AR325" s="1238"/>
      <c r="AS325" s="1238"/>
      <c r="AT325" s="1238"/>
      <c r="AU325" s="1238"/>
      <c r="AV325" s="1238"/>
      <c r="AW325" s="1238"/>
      <c r="AX325" s="1238"/>
      <c r="AY325" s="1238"/>
      <c r="AZ325" s="1238"/>
      <c r="BA325" s="1238"/>
      <c r="BB325" s="1238"/>
      <c r="BC325" s="1238"/>
      <c r="BD325" s="1238"/>
      <c r="BE325" s="1238"/>
      <c r="BF325" s="1238"/>
      <c r="BG325" s="1238"/>
      <c r="BH325" s="1238"/>
      <c r="BI325" s="1238"/>
      <c r="BJ325" s="1238"/>
    </row>
    <row r="326" spans="1:64" hidden="1" outlineLevel="1">
      <c r="B326" s="812" t="s">
        <v>252</v>
      </c>
      <c r="C326" s="1238"/>
      <c r="D326" s="1238"/>
      <c r="E326" s="1238"/>
      <c r="F326" s="1238"/>
      <c r="G326" s="1238"/>
      <c r="H326" s="1238"/>
      <c r="I326" s="1238"/>
      <c r="J326" s="1238"/>
      <c r="K326" s="1239"/>
      <c r="L326" s="1238"/>
      <c r="M326" s="1238"/>
      <c r="N326" s="1238"/>
      <c r="O326" s="1238"/>
      <c r="P326" s="1238"/>
      <c r="Q326" s="1238"/>
      <c r="R326" s="1238"/>
      <c r="S326" s="1238"/>
      <c r="T326" s="1238"/>
      <c r="U326" s="1238"/>
      <c r="V326" s="1238"/>
      <c r="W326" s="1238"/>
      <c r="X326" s="1238"/>
      <c r="Y326" s="1238"/>
      <c r="Z326" s="1238"/>
      <c r="AA326" s="1238"/>
      <c r="AB326" s="1238"/>
      <c r="AC326" s="1240"/>
      <c r="AD326" s="1238"/>
      <c r="AE326" s="1238"/>
      <c r="AF326" s="1238"/>
      <c r="AG326" s="1238"/>
      <c r="AH326" s="1238"/>
      <c r="AI326" s="1238"/>
      <c r="AJ326" s="1238"/>
      <c r="AK326" s="1238"/>
      <c r="AL326" s="1238"/>
      <c r="AM326" s="1238"/>
      <c r="AN326" s="1238"/>
      <c r="AO326" s="1238"/>
      <c r="AP326" s="1238"/>
      <c r="AQ326" s="1238"/>
      <c r="AR326" s="1238"/>
      <c r="AS326" s="1238"/>
      <c r="AT326" s="1238"/>
      <c r="AU326" s="1238"/>
      <c r="AV326" s="1238"/>
      <c r="AW326" s="1238"/>
      <c r="AX326" s="1238"/>
      <c r="AY326" s="1238"/>
      <c r="AZ326" s="1238"/>
      <c r="BA326" s="1238"/>
      <c r="BB326" s="1238"/>
      <c r="BC326" s="1238"/>
      <c r="BD326" s="1238"/>
      <c r="BE326" s="1238"/>
      <c r="BF326" s="1238"/>
      <c r="BG326" s="1238"/>
      <c r="BH326" s="1238"/>
      <c r="BI326" s="1238"/>
      <c r="BJ326" s="1238"/>
    </row>
    <row r="327" spans="1:64" hidden="1" outlineLevel="1">
      <c r="B327" s="812" t="s">
        <v>253</v>
      </c>
      <c r="C327" s="1245"/>
      <c r="D327" s="1245"/>
      <c r="E327" s="1245"/>
      <c r="F327" s="1245"/>
      <c r="G327" s="1245"/>
      <c r="H327" s="1245"/>
      <c r="I327" s="1245"/>
      <c r="J327" s="1245"/>
      <c r="K327" s="1246"/>
      <c r="L327" s="1245"/>
      <c r="M327" s="1245"/>
      <c r="N327" s="1245"/>
      <c r="O327" s="1245"/>
      <c r="P327" s="1245"/>
      <c r="Q327" s="1245"/>
      <c r="R327" s="1245"/>
      <c r="S327" s="1245"/>
      <c r="T327" s="1245"/>
      <c r="U327" s="1245"/>
      <c r="V327" s="1245"/>
      <c r="W327" s="1245"/>
      <c r="X327" s="1245"/>
      <c r="Y327" s="1245"/>
      <c r="Z327" s="1245"/>
      <c r="AA327" s="1245"/>
      <c r="AB327" s="1245"/>
      <c r="AC327" s="1247"/>
      <c r="AD327" s="1245"/>
      <c r="AE327" s="1245"/>
      <c r="AF327" s="1245"/>
      <c r="AG327" s="1245"/>
      <c r="AH327" s="1245"/>
      <c r="AI327" s="1245"/>
      <c r="AJ327" s="1245"/>
      <c r="AK327" s="1245"/>
      <c r="AL327" s="1245"/>
      <c r="AM327" s="1245"/>
      <c r="AN327" s="1245"/>
      <c r="AO327" s="1245"/>
      <c r="AP327" s="1245"/>
      <c r="AQ327" s="1245"/>
      <c r="AR327" s="1245"/>
      <c r="AS327" s="1245"/>
      <c r="AT327" s="1245"/>
      <c r="AU327" s="1245"/>
      <c r="AV327" s="1245"/>
      <c r="AW327" s="1245"/>
      <c r="AX327" s="1245"/>
      <c r="AY327" s="1245"/>
      <c r="AZ327" s="1245"/>
      <c r="BA327" s="1245"/>
      <c r="BB327" s="1245"/>
      <c r="BC327" s="1245"/>
      <c r="BD327" s="1245"/>
      <c r="BE327" s="1245"/>
      <c r="BF327" s="1245"/>
      <c r="BG327" s="1245"/>
      <c r="BH327" s="1245"/>
      <c r="BI327" s="1245"/>
      <c r="BJ327" s="1245"/>
    </row>
    <row r="328" spans="1:64" hidden="1" outlineLevel="1">
      <c r="B328" s="828" t="s">
        <v>180</v>
      </c>
      <c r="C328" s="1030"/>
      <c r="D328" s="1030"/>
      <c r="E328" s="1030"/>
      <c r="F328" s="1030"/>
      <c r="G328" s="1030"/>
      <c r="H328" s="1030"/>
      <c r="I328" s="1030"/>
      <c r="J328" s="1030"/>
      <c r="K328" s="1031"/>
      <c r="L328" s="1030"/>
      <c r="M328" s="1030"/>
      <c r="N328" s="1030"/>
      <c r="O328" s="1030"/>
      <c r="P328" s="1030"/>
      <c r="Q328" s="1030"/>
      <c r="R328" s="1030"/>
      <c r="S328" s="1030"/>
      <c r="T328" s="1030"/>
      <c r="U328" s="1030"/>
      <c r="V328" s="1030"/>
      <c r="W328" s="1030"/>
      <c r="X328" s="1030"/>
      <c r="Y328" s="1030"/>
      <c r="Z328" s="1030"/>
      <c r="AA328" s="1030"/>
      <c r="AB328" s="1030"/>
      <c r="AC328" s="1032"/>
      <c r="AD328" s="1030"/>
      <c r="AE328" s="1030"/>
      <c r="AF328" s="1030"/>
      <c r="AG328" s="1030"/>
      <c r="AH328" s="1030"/>
      <c r="AI328" s="1030"/>
      <c r="AJ328" s="1030"/>
      <c r="AK328" s="1030"/>
      <c r="AL328" s="1030"/>
      <c r="AM328" s="1030"/>
      <c r="AN328" s="1030"/>
      <c r="AO328" s="1030"/>
      <c r="AP328" s="1030"/>
      <c r="AQ328" s="1030"/>
      <c r="AR328" s="1030"/>
      <c r="AS328" s="1030"/>
      <c r="AT328" s="1030"/>
      <c r="AU328" s="1030"/>
      <c r="AV328" s="1030"/>
      <c r="AW328" s="1030"/>
      <c r="AX328" s="1030"/>
      <c r="AY328" s="1030"/>
      <c r="AZ328" s="1030"/>
      <c r="BA328" s="1030"/>
      <c r="BB328" s="1030"/>
      <c r="BC328" s="1030"/>
      <c r="BD328" s="1030"/>
      <c r="BE328" s="1030"/>
      <c r="BF328" s="1030"/>
      <c r="BG328" s="1030"/>
      <c r="BH328" s="1030"/>
      <c r="BI328" s="1030"/>
      <c r="BJ328" s="1030"/>
    </row>
    <row r="329" spans="1:64" hidden="1" outlineLevel="1">
      <c r="B329" s="1033" t="s">
        <v>207</v>
      </c>
      <c r="C329" s="834"/>
      <c r="D329" s="834"/>
      <c r="E329" s="834"/>
      <c r="F329" s="834"/>
      <c r="G329" s="834"/>
      <c r="H329" s="834"/>
      <c r="I329" s="834"/>
      <c r="J329" s="834"/>
      <c r="K329" s="835"/>
      <c r="L329" s="834"/>
      <c r="M329" s="834"/>
      <c r="N329" s="834"/>
      <c r="O329" s="834"/>
      <c r="P329" s="834"/>
      <c r="Q329" s="834"/>
      <c r="R329" s="834"/>
      <c r="S329" s="834"/>
      <c r="T329" s="834"/>
      <c r="U329" s="834"/>
      <c r="V329" s="834"/>
      <c r="W329" s="834"/>
      <c r="X329" s="834"/>
      <c r="Y329" s="834"/>
      <c r="Z329" s="834"/>
      <c r="AA329" s="834"/>
      <c r="AB329" s="834"/>
      <c r="AC329" s="836"/>
      <c r="AD329" s="834"/>
      <c r="AE329" s="834"/>
      <c r="AF329" s="834"/>
      <c r="AG329" s="834"/>
      <c r="AH329" s="834"/>
      <c r="AI329" s="834"/>
      <c r="AJ329" s="834"/>
      <c r="AK329" s="834"/>
      <c r="AL329" s="834"/>
      <c r="AM329" s="834"/>
      <c r="AN329" s="834"/>
      <c r="AO329" s="834"/>
      <c r="AP329" s="834"/>
      <c r="AQ329" s="834"/>
      <c r="AR329" s="834"/>
      <c r="AS329" s="834"/>
      <c r="AT329" s="834"/>
      <c r="AU329" s="834"/>
      <c r="AV329" s="834"/>
      <c r="AW329" s="834"/>
      <c r="AX329" s="834"/>
      <c r="AY329" s="834"/>
      <c r="AZ329" s="834"/>
      <c r="BA329" s="834"/>
      <c r="BB329" s="834"/>
      <c r="BC329" s="834"/>
      <c r="BD329" s="834"/>
      <c r="BE329" s="834"/>
      <c r="BF329" s="834"/>
      <c r="BG329" s="834"/>
      <c r="BH329" s="834"/>
      <c r="BI329" s="834"/>
      <c r="BJ329" s="834"/>
    </row>
    <row r="330" spans="1:64" hidden="1" outlineLevel="1">
      <c r="B330" s="1033"/>
      <c r="C330" s="834"/>
      <c r="D330" s="834"/>
      <c r="E330" s="834"/>
      <c r="F330" s="834"/>
      <c r="G330" s="834"/>
      <c r="H330" s="834"/>
      <c r="I330" s="834"/>
      <c r="J330" s="834"/>
      <c r="K330" s="835"/>
      <c r="L330" s="834"/>
      <c r="M330" s="834"/>
      <c r="N330" s="834"/>
      <c r="O330" s="834"/>
      <c r="P330" s="834"/>
      <c r="Q330" s="834"/>
      <c r="R330" s="834"/>
      <c r="S330" s="834"/>
      <c r="T330" s="834"/>
      <c r="U330" s="834"/>
      <c r="V330" s="834"/>
      <c r="W330" s="834"/>
      <c r="X330" s="834"/>
      <c r="Y330" s="834"/>
      <c r="Z330" s="834"/>
      <c r="AA330" s="834"/>
      <c r="AB330" s="834"/>
      <c r="AC330" s="836"/>
      <c r="AD330" s="834"/>
      <c r="AE330" s="834"/>
      <c r="AF330" s="834"/>
      <c r="AG330" s="834"/>
      <c r="AH330" s="834"/>
      <c r="AI330" s="834"/>
      <c r="AJ330" s="834"/>
      <c r="AK330" s="834"/>
      <c r="AL330" s="834"/>
      <c r="AM330" s="834"/>
      <c r="AN330" s="834"/>
      <c r="AO330" s="834"/>
      <c r="AP330" s="834"/>
      <c r="AQ330" s="834"/>
      <c r="AR330" s="834"/>
      <c r="AS330" s="834"/>
      <c r="AT330" s="834"/>
      <c r="AU330" s="834"/>
      <c r="AV330" s="834"/>
      <c r="AW330" s="834"/>
      <c r="AX330" s="834"/>
      <c r="AY330" s="834"/>
      <c r="AZ330" s="834"/>
      <c r="BA330" s="834"/>
      <c r="BB330" s="834"/>
      <c r="BC330" s="834"/>
      <c r="BD330" s="834"/>
      <c r="BE330" s="834"/>
      <c r="BF330" s="834"/>
      <c r="BG330" s="834"/>
      <c r="BH330" s="834"/>
      <c r="BI330" s="834"/>
      <c r="BJ330" s="834"/>
    </row>
    <row r="331" spans="1:64" collapsed="1">
      <c r="B331" s="1248" t="s">
        <v>168</v>
      </c>
      <c r="C331" s="827"/>
      <c r="D331" s="827"/>
      <c r="E331" s="897"/>
      <c r="F331" s="827"/>
      <c r="G331" s="827"/>
      <c r="H331" s="897"/>
      <c r="I331" s="1249"/>
      <c r="J331" s="1249"/>
      <c r="K331" s="1250"/>
      <c r="L331" s="1249"/>
      <c r="M331" s="1249"/>
      <c r="N331" s="1249"/>
      <c r="O331" s="1249"/>
      <c r="P331" s="1249"/>
      <c r="Q331" s="1249"/>
      <c r="R331" s="1249"/>
      <c r="S331" s="1249"/>
      <c r="T331" s="1249"/>
      <c r="U331" s="1249"/>
      <c r="V331" s="1249"/>
      <c r="W331" s="1249"/>
      <c r="X331" s="1249"/>
      <c r="Y331" s="1249"/>
      <c r="Z331" s="1249"/>
      <c r="AA331" s="1249"/>
      <c r="AB331" s="1249"/>
      <c r="AC331" s="1251"/>
      <c r="AD331" s="1249"/>
      <c r="AE331" s="1249"/>
      <c r="AF331" s="897"/>
      <c r="AG331" s="1249"/>
      <c r="AH331" s="1249"/>
      <c r="AI331" s="897"/>
      <c r="AJ331" s="897"/>
      <c r="AK331" s="897"/>
      <c r="AL331" s="897"/>
      <c r="AM331" s="897"/>
      <c r="AN331" s="897"/>
      <c r="AO331" s="897"/>
      <c r="AP331" s="897"/>
      <c r="AQ331" s="897"/>
      <c r="AR331" s="897"/>
      <c r="AS331" s="897"/>
      <c r="AT331" s="897"/>
      <c r="AU331" s="897"/>
      <c r="AV331" s="897"/>
      <c r="AW331" s="897"/>
      <c r="AX331" s="897"/>
      <c r="AY331" s="897"/>
      <c r="AZ331" s="897"/>
      <c r="BA331" s="897"/>
      <c r="BB331" s="897"/>
      <c r="BC331" s="897"/>
      <c r="BD331" s="897"/>
      <c r="BE331" s="897"/>
      <c r="BF331" s="897"/>
      <c r="BG331" s="897"/>
      <c r="BH331" s="897"/>
      <c r="BI331" s="897"/>
      <c r="BJ331" s="897"/>
    </row>
    <row r="332" spans="1:64">
      <c r="A332" s="812" t="s">
        <v>951</v>
      </c>
      <c r="B332" s="812" t="s">
        <v>218</v>
      </c>
      <c r="C332" s="899">
        <v>163</v>
      </c>
      <c r="D332" s="899">
        <v>165.5</v>
      </c>
      <c r="E332" s="899">
        <v>163.5</v>
      </c>
      <c r="F332" s="899">
        <v>166.5</v>
      </c>
      <c r="G332" s="899">
        <f>(F344+H344)*0.5</f>
        <v>163.5</v>
      </c>
      <c r="H332" s="899">
        <f>(H344+E344)*0.5</f>
        <v>162.5</v>
      </c>
      <c r="I332" s="899">
        <f>(I344+H344)*0.5</f>
        <v>160</v>
      </c>
      <c r="J332" s="899">
        <f>(I344+J344)*0.5</f>
        <v>161</v>
      </c>
      <c r="K332" s="900">
        <f>(K344+H344)*0.5</f>
        <v>160</v>
      </c>
      <c r="L332" s="899">
        <f>(L344+K344)*0.5</f>
        <v>160.5</v>
      </c>
      <c r="M332" s="899">
        <f>(L344+M344)*0.5</f>
        <v>160</v>
      </c>
      <c r="N332" s="899">
        <f>(N344+K344)*0.5</f>
        <v>160.5</v>
      </c>
      <c r="O332" s="899">
        <f>(O344+N344)*0.5</f>
        <v>158.5</v>
      </c>
      <c r="P332" s="899">
        <f>(O344+P344)*0.5</f>
        <v>155</v>
      </c>
      <c r="Q332" s="899">
        <f>(Q344+N344)*0.5</f>
        <v>156.5</v>
      </c>
      <c r="R332" s="899">
        <f>(R344+Q344)*0.5</f>
        <v>153.5</v>
      </c>
      <c r="S332" s="899">
        <f>(R344+S344)*0.5</f>
        <v>154.5</v>
      </c>
      <c r="T332" s="899">
        <f>(T344+Q344)*0.5</f>
        <v>154</v>
      </c>
      <c r="U332" s="899">
        <f>(U344+T344)*0.5</f>
        <v>155</v>
      </c>
      <c r="V332" s="899">
        <f>(U344+V344)*0.5</f>
        <v>157</v>
      </c>
      <c r="W332" s="899">
        <f>(W344+T344)*0.5</f>
        <v>157</v>
      </c>
      <c r="X332" s="899">
        <f>(X344+W344)*0.5</f>
        <v>159</v>
      </c>
      <c r="Y332" s="899">
        <f>(X344+Y344)*0.5</f>
        <v>159</v>
      </c>
      <c r="Z332" s="899">
        <f>(Z344+W344)*0.5</f>
        <v>159</v>
      </c>
      <c r="AA332" s="899">
        <f>(AA344+Z344)*0.5</f>
        <v>161</v>
      </c>
      <c r="AB332" s="899">
        <f>(AA344+AB344)*0.5</f>
        <v>162.5</v>
      </c>
      <c r="AC332" s="901">
        <f>(AC344+Z344)*0.5</f>
        <v>160.5</v>
      </c>
      <c r="AD332" s="899">
        <f>(AD344+AC344)*0.5</f>
        <v>163.5</v>
      </c>
      <c r="AE332" s="899">
        <f>(AD344+AE344)*0.5</f>
        <v>166.5</v>
      </c>
      <c r="AF332" s="899">
        <f>(AF344+AC344)*0.5</f>
        <v>165</v>
      </c>
      <c r="AG332" s="899">
        <f>(AG344+AF344)*0.5</f>
        <v>168.5</v>
      </c>
      <c r="AH332" s="899">
        <f>(AG344+AH344)*0.5</f>
        <v>169.5</v>
      </c>
      <c r="AI332" s="899">
        <f>(AI344+AF344)*0.5</f>
        <v>169</v>
      </c>
      <c r="AJ332" s="899"/>
      <c r="AK332" s="899"/>
      <c r="AL332" s="899">
        <f>(AL344+AI344)*0.5</f>
        <v>171</v>
      </c>
      <c r="AM332" s="899"/>
      <c r="AN332" s="899"/>
      <c r="AO332" s="899">
        <f>(AO344+AL344)*0.5</f>
        <v>173</v>
      </c>
      <c r="AP332" s="899"/>
      <c r="AQ332" s="899"/>
      <c r="AR332" s="899">
        <f>(AR344+AO344)*0.5</f>
        <v>175</v>
      </c>
      <c r="AS332" s="899"/>
      <c r="AT332" s="899"/>
      <c r="AU332" s="899">
        <f>(AU344+AR344)*0.5</f>
        <v>177</v>
      </c>
      <c r="AV332" s="899"/>
      <c r="AW332" s="899"/>
      <c r="AX332" s="899">
        <f>(AX344+AU344)*0.5</f>
        <v>179</v>
      </c>
      <c r="AY332" s="899"/>
      <c r="AZ332" s="899"/>
      <c r="BA332" s="899">
        <f>(BA344+AX344)*0.5</f>
        <v>181</v>
      </c>
      <c r="BB332" s="899"/>
      <c r="BC332" s="899"/>
      <c r="BD332" s="899">
        <f>(BD344+BA344)*0.5</f>
        <v>183</v>
      </c>
      <c r="BE332" s="899"/>
      <c r="BF332" s="899"/>
      <c r="BG332" s="899">
        <f>(BG344+BD344)*0.5</f>
        <v>185</v>
      </c>
      <c r="BH332" s="899"/>
      <c r="BI332" s="899"/>
      <c r="BJ332" s="899">
        <f t="shared" ref="BJ332" si="787">(BJ344+BG344)*0.5</f>
        <v>187</v>
      </c>
    </row>
    <row r="333" spans="1:64">
      <c r="A333" s="812" t="s">
        <v>947</v>
      </c>
      <c r="B333" s="812" t="s">
        <v>936</v>
      </c>
      <c r="C333" s="834">
        <v>3.0092024539877302</v>
      </c>
      <c r="D333" s="834">
        <v>2.7716012084592148</v>
      </c>
      <c r="E333" s="834">
        <v>5.8055045871559638</v>
      </c>
      <c r="F333" s="834">
        <v>3.0258258258258257</v>
      </c>
      <c r="G333" s="834">
        <f>H333-F333</f>
        <v>2.9596494035319729</v>
      </c>
      <c r="H333" s="834">
        <f>E333*(1+H334)</f>
        <v>5.9854752293577986</v>
      </c>
      <c r="I333" s="834">
        <f>I340/I332</f>
        <v>3.274375</v>
      </c>
      <c r="J333" s="834">
        <f>J340/J332</f>
        <v>3.0590062111801242</v>
      </c>
      <c r="K333" s="835">
        <f>K340/K332</f>
        <v>6.3525</v>
      </c>
      <c r="L333" s="834">
        <f>(L340-8.5)/L332</f>
        <v>3.3289719626168219</v>
      </c>
      <c r="M333" s="834">
        <f t="shared" ref="M333:W333" si="788">M340/M332</f>
        <v>3.0987499999999999</v>
      </c>
      <c r="N333" s="834">
        <f t="shared" si="788"/>
        <v>6.471028037383177</v>
      </c>
      <c r="O333" s="834">
        <f t="shared" si="788"/>
        <v>3.935015772870663</v>
      </c>
      <c r="P333" s="834">
        <f t="shared" si="788"/>
        <v>3.6987096774193544</v>
      </c>
      <c r="Q333" s="834">
        <f t="shared" si="788"/>
        <v>7.6485623003194885</v>
      </c>
      <c r="R333" s="834">
        <f t="shared" si="788"/>
        <v>3.9452768729641696</v>
      </c>
      <c r="S333" s="834">
        <f t="shared" si="788"/>
        <v>3.9255663430420706</v>
      </c>
      <c r="T333" s="834">
        <f t="shared" si="788"/>
        <v>7.8707792207792204</v>
      </c>
      <c r="U333" s="834">
        <f t="shared" si="788"/>
        <v>4.3993548387096775</v>
      </c>
      <c r="V333" s="834">
        <f t="shared" si="788"/>
        <v>3.9961783439490444</v>
      </c>
      <c r="W333" s="834">
        <f t="shared" si="788"/>
        <v>8.3394904458598731</v>
      </c>
      <c r="X333" s="834">
        <f t="shared" ref="X333" si="789">X340/X332</f>
        <v>4.2320754716981135</v>
      </c>
      <c r="Y333" s="834">
        <f>Y340/Y332</f>
        <v>3.8911949685534588</v>
      </c>
      <c r="Z333" s="834">
        <f>Z340/Z332</f>
        <v>8.1232704402515719</v>
      </c>
      <c r="AA333" s="834">
        <f>AA340/AA332</f>
        <v>4.3881987577639752</v>
      </c>
      <c r="AB333" s="834">
        <f>AB340/AB332</f>
        <v>4.0326153846153847</v>
      </c>
      <c r="AC333" s="836">
        <f>AC340/AC332</f>
        <v>8.484735202492212</v>
      </c>
      <c r="AD333" s="834">
        <f>AA333*(1+AD334)</f>
        <v>4.4985619565217387</v>
      </c>
      <c r="AE333" s="834">
        <f>AE340/AE332</f>
        <v>4.1852900669434163</v>
      </c>
      <c r="AF333" s="834">
        <f>AC333*(1+AF334)</f>
        <v>8.6810040971962614</v>
      </c>
      <c r="AG333" s="834">
        <f>AD333*(1+AG334)</f>
        <v>4.6345309916576074</v>
      </c>
      <c r="AH333" s="834">
        <f>AH340/AH332</f>
        <v>4.3098171462267958</v>
      </c>
      <c r="AI333" s="834">
        <f>AF333*(1+AI334)</f>
        <v>8.9433874460340164</v>
      </c>
      <c r="AJ333" s="834"/>
      <c r="AK333" s="834"/>
      <c r="AL333" s="834">
        <f>AI333*(1+AL334)</f>
        <v>9.2137013315903928</v>
      </c>
      <c r="AM333" s="834"/>
      <c r="AN333" s="834"/>
      <c r="AO333" s="834">
        <f>AL333*(1+AO334)</f>
        <v>9.4921854543377098</v>
      </c>
      <c r="AP333" s="834"/>
      <c r="AQ333" s="834"/>
      <c r="AR333" s="834">
        <f>AO333*(1+AR334)</f>
        <v>9.7790867596950637</v>
      </c>
      <c r="AS333" s="834"/>
      <c r="AT333" s="834"/>
      <c r="AU333" s="834">
        <f>AR333*(1+AU334)</f>
        <v>10.074659657006844</v>
      </c>
      <c r="AV333" s="834"/>
      <c r="AW333" s="834"/>
      <c r="AX333" s="834">
        <f>AU333*(1+AX334)</f>
        <v>10.379166245139873</v>
      </c>
      <c r="AY333" s="834"/>
      <c r="AZ333" s="834"/>
      <c r="BA333" s="834">
        <f>AX333*(1+BA334)</f>
        <v>10.692876544899223</v>
      </c>
      <c r="BB333" s="834"/>
      <c r="BC333" s="834"/>
      <c r="BD333" s="834">
        <f>BA333*(1+BD334)</f>
        <v>11.016068738468798</v>
      </c>
      <c r="BE333" s="834"/>
      <c r="BF333" s="834"/>
      <c r="BG333" s="834">
        <f>BD333*(1+BG334)</f>
        <v>11.349029416089014</v>
      </c>
      <c r="BH333" s="834"/>
      <c r="BI333" s="834"/>
      <c r="BJ333" s="834">
        <f t="shared" ref="BJ333" si="790">BG333*(1+BJ334)</f>
        <v>11.692053830190302</v>
      </c>
    </row>
    <row r="334" spans="1:64">
      <c r="B334" s="812" t="s">
        <v>219</v>
      </c>
      <c r="C334" s="969">
        <v>3.9667438492910101E-2</v>
      </c>
      <c r="D334" s="969">
        <v>-8.7089787124327023E-3</v>
      </c>
      <c r="E334" s="893">
        <v>2.5000000000000001E-2</v>
      </c>
      <c r="F334" s="893">
        <v>5.5241786128634729E-3</v>
      </c>
      <c r="G334" s="893">
        <f>G333/D333-1</f>
        <v>6.7848215139615142E-2</v>
      </c>
      <c r="H334" s="893">
        <v>3.1E-2</v>
      </c>
      <c r="I334" s="893">
        <f t="shared" ref="I334:Q334" si="791">I333/F333-1</f>
        <v>8.214259130607382E-2</v>
      </c>
      <c r="J334" s="893">
        <f t="shared" si="791"/>
        <v>3.3570465315784226E-2</v>
      </c>
      <c r="K334" s="1089">
        <f t="shared" si="791"/>
        <v>6.1319236414512757E-2</v>
      </c>
      <c r="L334" s="893">
        <f t="shared" si="791"/>
        <v>1.6674010342988099E-2</v>
      </c>
      <c r="M334" s="893">
        <f t="shared" si="791"/>
        <v>1.2992385786801952E-2</v>
      </c>
      <c r="N334" s="893">
        <f t="shared" si="791"/>
        <v>1.8658486797823892E-2</v>
      </c>
      <c r="O334" s="893">
        <f t="shared" si="791"/>
        <v>0.18205134109253507</v>
      </c>
      <c r="P334" s="893">
        <f t="shared" si="791"/>
        <v>0.19361344975211114</v>
      </c>
      <c r="Q334" s="893">
        <f t="shared" si="791"/>
        <v>0.18197019950055648</v>
      </c>
      <c r="R334" s="893">
        <f t="shared" ref="R334" si="792">R333/O333-1</f>
        <v>2.6076388725682076E-3</v>
      </c>
      <c r="S334" s="893">
        <f t="shared" ref="S334" si="793">S333/P333-1</f>
        <v>6.1334001694612006E-2</v>
      </c>
      <c r="T334" s="893">
        <f t="shared" ref="T334:AC334" si="794">T333/Q333-1</f>
        <v>2.905342360229568E-2</v>
      </c>
      <c r="U334" s="893">
        <f t="shared" si="794"/>
        <v>0.11509406826607571</v>
      </c>
      <c r="V334" s="893">
        <f>V333/S333-1</f>
        <v>1.7987723231867259E-2</v>
      </c>
      <c r="W334" s="893">
        <f t="shared" si="794"/>
        <v>5.955080328555451E-2</v>
      </c>
      <c r="X334" s="893">
        <f t="shared" si="794"/>
        <v>-3.8023613267036849E-2</v>
      </c>
      <c r="Y334" s="893">
        <f t="shared" si="794"/>
        <v>-2.6270943476421671E-2</v>
      </c>
      <c r="Z334" s="944">
        <f t="shared" si="794"/>
        <v>-2.5927244237763158E-2</v>
      </c>
      <c r="AA334" s="944">
        <f t="shared" si="794"/>
        <v>3.689047775965526E-2</v>
      </c>
      <c r="AB334" s="893">
        <f t="shared" si="794"/>
        <v>3.6343698325272733E-2</v>
      </c>
      <c r="AC334" s="989">
        <f t="shared" si="794"/>
        <v>4.4497442858672853E-2</v>
      </c>
      <c r="AD334" s="893">
        <f t="shared" ref="AD334:AE334" si="795">(1+AD335)*(1+AD336)-1</f>
        <v>2.5150000000000006E-2</v>
      </c>
      <c r="AE334" s="893">
        <f t="shared" si="795"/>
        <v>0</v>
      </c>
      <c r="AF334" s="893">
        <f t="shared" ref="AF334:AU334" si="796">(1+AF335)*(1+AF336)-1</f>
        <v>2.313199999999993E-2</v>
      </c>
      <c r="AG334" s="893">
        <f t="shared" si="796"/>
        <v>3.0224999999999724E-2</v>
      </c>
      <c r="AH334" s="893">
        <f t="shared" si="796"/>
        <v>0</v>
      </c>
      <c r="AI334" s="893">
        <f t="shared" si="796"/>
        <v>3.0224999999999724E-2</v>
      </c>
      <c r="AJ334" s="893"/>
      <c r="AK334" s="893"/>
      <c r="AL334" s="893">
        <f t="shared" si="796"/>
        <v>3.0224999999999724E-2</v>
      </c>
      <c r="AM334" s="893"/>
      <c r="AN334" s="893"/>
      <c r="AO334" s="893">
        <f t="shared" si="796"/>
        <v>3.0224999999999724E-2</v>
      </c>
      <c r="AP334" s="893"/>
      <c r="AQ334" s="893"/>
      <c r="AR334" s="893">
        <f t="shared" si="796"/>
        <v>3.0224999999999724E-2</v>
      </c>
      <c r="AS334" s="893"/>
      <c r="AT334" s="893"/>
      <c r="AU334" s="893">
        <f t="shared" si="796"/>
        <v>3.0224999999999724E-2</v>
      </c>
      <c r="AV334" s="893"/>
      <c r="AW334" s="893"/>
      <c r="AX334" s="893">
        <f t="shared" ref="AX334:BA334" si="797">(1+AX335)*(1+AX336)-1</f>
        <v>3.0224999999999724E-2</v>
      </c>
      <c r="AY334" s="893"/>
      <c r="AZ334" s="893"/>
      <c r="BA334" s="893">
        <f t="shared" si="797"/>
        <v>3.0224999999999724E-2</v>
      </c>
      <c r="BB334" s="893"/>
      <c r="BC334" s="893"/>
      <c r="BD334" s="893">
        <f t="shared" ref="BD334:BG334" si="798">(1+BD335)*(1+BD336)-1</f>
        <v>3.0224999999999724E-2</v>
      </c>
      <c r="BE334" s="893"/>
      <c r="BF334" s="893"/>
      <c r="BG334" s="893">
        <f t="shared" si="798"/>
        <v>3.0224999999999724E-2</v>
      </c>
      <c r="BH334" s="893"/>
      <c r="BI334" s="893"/>
      <c r="BJ334" s="893">
        <f t="shared" ref="BJ334" si="799">(1+BJ335)*(1+BJ336)-1</f>
        <v>3.0224999999999724E-2</v>
      </c>
    </row>
    <row r="335" spans="1:64" ht="12" customHeight="1">
      <c r="B335" s="812" t="s">
        <v>803</v>
      </c>
      <c r="C335" s="907"/>
      <c r="D335" s="908"/>
      <c r="E335" s="907"/>
      <c r="F335" s="907"/>
      <c r="G335" s="907"/>
      <c r="H335" s="907"/>
      <c r="I335" s="907"/>
      <c r="J335" s="852"/>
      <c r="K335" s="904"/>
      <c r="L335" s="907"/>
      <c r="M335" s="852"/>
      <c r="N335" s="907"/>
      <c r="O335" s="907"/>
      <c r="P335" s="907"/>
      <c r="Q335" s="907"/>
      <c r="R335" s="907"/>
      <c r="S335" s="907"/>
      <c r="T335" s="907">
        <v>0</v>
      </c>
      <c r="U335" s="907"/>
      <c r="V335" s="852"/>
      <c r="W335" s="907" t="s">
        <v>952</v>
      </c>
      <c r="X335" s="907"/>
      <c r="Y335" s="852"/>
      <c r="Z335" s="907" t="s">
        <v>995</v>
      </c>
      <c r="AA335" s="907"/>
      <c r="AB335" s="852"/>
      <c r="AC335" s="909" t="s">
        <v>994</v>
      </c>
      <c r="AD335" s="911">
        <v>1.4999999999999999E-2</v>
      </c>
      <c r="AE335" s="957"/>
      <c r="AF335" s="911">
        <v>1.0999999999999999E-2</v>
      </c>
      <c r="AG335" s="911">
        <v>1.4999999999999999E-2</v>
      </c>
      <c r="AH335" s="957"/>
      <c r="AI335" s="911">
        <v>1.4999999999999999E-2</v>
      </c>
      <c r="AJ335" s="911"/>
      <c r="AK335" s="911"/>
      <c r="AL335" s="911">
        <v>1.4999999999999999E-2</v>
      </c>
      <c r="AM335" s="911"/>
      <c r="AN335" s="911"/>
      <c r="AO335" s="911">
        <v>1.4999999999999999E-2</v>
      </c>
      <c r="AP335" s="911"/>
      <c r="AQ335" s="911"/>
      <c r="AR335" s="911">
        <v>1.4999999999999999E-2</v>
      </c>
      <c r="AS335" s="911"/>
      <c r="AT335" s="911"/>
      <c r="AU335" s="911">
        <v>1.4999999999999999E-2</v>
      </c>
      <c r="AV335" s="911"/>
      <c r="AW335" s="911"/>
      <c r="AX335" s="911">
        <v>1.4999999999999999E-2</v>
      </c>
      <c r="AY335" s="911"/>
      <c r="AZ335" s="911"/>
      <c r="BA335" s="911">
        <v>1.4999999999999999E-2</v>
      </c>
      <c r="BB335" s="911"/>
      <c r="BC335" s="911"/>
      <c r="BD335" s="911">
        <v>1.4999999999999999E-2</v>
      </c>
      <c r="BE335" s="911"/>
      <c r="BF335" s="911"/>
      <c r="BG335" s="911">
        <v>1.4999999999999999E-2</v>
      </c>
      <c r="BH335" s="911"/>
      <c r="BI335" s="911"/>
      <c r="BJ335" s="911">
        <v>1.4999999999999999E-2</v>
      </c>
      <c r="BK335" s="906"/>
    </row>
    <row r="336" spans="1:64" ht="12" customHeight="1">
      <c r="B336" s="812" t="s">
        <v>804</v>
      </c>
      <c r="C336" s="907"/>
      <c r="D336" s="908"/>
      <c r="E336" s="907"/>
      <c r="F336" s="907"/>
      <c r="G336" s="907"/>
      <c r="H336" s="907"/>
      <c r="I336" s="907"/>
      <c r="J336" s="852"/>
      <c r="K336" s="904"/>
      <c r="L336" s="907"/>
      <c r="M336" s="852"/>
      <c r="N336" s="907"/>
      <c r="O336" s="907"/>
      <c r="P336" s="907"/>
      <c r="Q336" s="907"/>
      <c r="R336" s="907"/>
      <c r="S336" s="907"/>
      <c r="T336" s="946">
        <f>T334-T335</f>
        <v>2.905342360229568E-2</v>
      </c>
      <c r="U336" s="907"/>
      <c r="V336" s="852"/>
      <c r="W336" s="946" t="s">
        <v>954</v>
      </c>
      <c r="X336" s="907"/>
      <c r="Y336" s="852"/>
      <c r="Z336" s="907" t="s">
        <v>995</v>
      </c>
      <c r="AA336" s="907"/>
      <c r="AB336" s="852"/>
      <c r="AC336" s="909" t="s">
        <v>994</v>
      </c>
      <c r="AD336" s="911">
        <v>0.01</v>
      </c>
      <c r="AE336" s="957"/>
      <c r="AF336" s="911">
        <v>1.2E-2</v>
      </c>
      <c r="AG336" s="911">
        <v>1.4999999999999999E-2</v>
      </c>
      <c r="AH336" s="957"/>
      <c r="AI336" s="911">
        <v>1.4999999999999999E-2</v>
      </c>
      <c r="AJ336" s="911"/>
      <c r="AK336" s="911"/>
      <c r="AL336" s="911">
        <v>1.4999999999999999E-2</v>
      </c>
      <c r="AM336" s="911"/>
      <c r="AN336" s="911"/>
      <c r="AO336" s="911">
        <v>1.4999999999999999E-2</v>
      </c>
      <c r="AP336" s="911"/>
      <c r="AQ336" s="911"/>
      <c r="AR336" s="911">
        <v>1.4999999999999999E-2</v>
      </c>
      <c r="AS336" s="911"/>
      <c r="AT336" s="911"/>
      <c r="AU336" s="911">
        <v>1.4999999999999999E-2</v>
      </c>
      <c r="AV336" s="911"/>
      <c r="AW336" s="911"/>
      <c r="AX336" s="911">
        <v>1.4999999999999999E-2</v>
      </c>
      <c r="AY336" s="911"/>
      <c r="AZ336" s="911"/>
      <c r="BA336" s="911">
        <v>1.4999999999999999E-2</v>
      </c>
      <c r="BB336" s="911"/>
      <c r="BC336" s="911"/>
      <c r="BD336" s="911">
        <v>1.4999999999999999E-2</v>
      </c>
      <c r="BE336" s="911"/>
      <c r="BF336" s="911"/>
      <c r="BG336" s="911">
        <v>1.4999999999999999E-2</v>
      </c>
      <c r="BH336" s="911"/>
      <c r="BI336" s="911"/>
      <c r="BJ336" s="911">
        <v>1.4999999999999999E-2</v>
      </c>
      <c r="BK336" s="906"/>
    </row>
    <row r="337" spans="2:64" s="912" customFormat="1" ht="12" hidden="1" customHeight="1" outlineLevel="1">
      <c r="B337" s="912" t="s">
        <v>763</v>
      </c>
      <c r="C337" s="913"/>
      <c r="D337" s="914"/>
      <c r="E337" s="913"/>
      <c r="F337" s="913"/>
      <c r="G337" s="913"/>
      <c r="H337" s="913"/>
      <c r="I337" s="913"/>
      <c r="J337" s="867"/>
      <c r="K337" s="915"/>
      <c r="L337" s="913"/>
      <c r="M337" s="867"/>
      <c r="N337" s="913"/>
      <c r="O337" s="913"/>
      <c r="P337" s="913"/>
      <c r="Q337" s="913"/>
      <c r="R337" s="913">
        <f>R333/L333-1</f>
        <v>0.18513370411893937</v>
      </c>
      <c r="S337" s="913">
        <f>S333/M333-1</f>
        <v>0.26682253910191878</v>
      </c>
      <c r="T337" s="913">
        <f>T333/N333-1</f>
        <v>0.21631048039193623</v>
      </c>
      <c r="U337" s="913">
        <f>U333/O333-1</f>
        <v>0.11800183090505656</v>
      </c>
      <c r="V337" s="867"/>
      <c r="W337" s="913"/>
      <c r="X337" s="913"/>
      <c r="Y337" s="867"/>
      <c r="Z337" s="913"/>
      <c r="AA337" s="913"/>
      <c r="AB337" s="867"/>
      <c r="AC337" s="916"/>
      <c r="AD337" s="913"/>
      <c r="AE337" s="867"/>
      <c r="AF337" s="913"/>
      <c r="AG337" s="913"/>
      <c r="AH337" s="867"/>
      <c r="AI337" s="913"/>
      <c r="AJ337" s="913"/>
      <c r="AK337" s="913"/>
      <c r="AL337" s="913"/>
      <c r="AM337" s="913"/>
      <c r="AN337" s="913"/>
      <c r="AO337" s="913"/>
      <c r="AP337" s="913"/>
      <c r="AQ337" s="913"/>
      <c r="AR337" s="913"/>
      <c r="AS337" s="913"/>
      <c r="AT337" s="913"/>
      <c r="AU337" s="913"/>
      <c r="AV337" s="913"/>
      <c r="AW337" s="913"/>
      <c r="AX337" s="913"/>
      <c r="AY337" s="913"/>
      <c r="AZ337" s="913"/>
      <c r="BA337" s="913"/>
      <c r="BB337" s="913"/>
      <c r="BC337" s="913"/>
      <c r="BD337" s="913"/>
      <c r="BE337" s="913"/>
      <c r="BF337" s="913"/>
      <c r="BG337" s="913"/>
      <c r="BH337" s="913"/>
      <c r="BI337" s="913"/>
      <c r="BJ337" s="913"/>
      <c r="BK337" s="917"/>
      <c r="BL337" s="918"/>
    </row>
    <row r="338" spans="2:64" s="912" customFormat="1" ht="12" hidden="1" customHeight="1" outlineLevel="1">
      <c r="B338" s="912" t="s">
        <v>764</v>
      </c>
      <c r="C338" s="913"/>
      <c r="D338" s="914"/>
      <c r="E338" s="913"/>
      <c r="F338" s="913"/>
      <c r="G338" s="913"/>
      <c r="H338" s="913"/>
      <c r="I338" s="913"/>
      <c r="J338" s="867"/>
      <c r="K338" s="915"/>
      <c r="L338" s="913"/>
      <c r="M338" s="867"/>
      <c r="N338" s="913"/>
      <c r="O338" s="913"/>
      <c r="P338" s="913"/>
      <c r="Q338" s="913"/>
      <c r="R338" s="913">
        <f>R333/I333-1</f>
        <v>0.20489463575924249</v>
      </c>
      <c r="S338" s="913">
        <f>S333/J333-1</f>
        <v>0.28328158625334687</v>
      </c>
      <c r="T338" s="913">
        <f>T333/K333-1</f>
        <v>0.23900499343238413</v>
      </c>
      <c r="U338" s="913">
        <f>U333/L333-1</f>
        <v>0.32153556356523172</v>
      </c>
      <c r="V338" s="913">
        <f>(V333/J333)^(1/4)-1</f>
        <v>6.9094575034550187E-2</v>
      </c>
      <c r="W338" s="913">
        <f>(W333/K333)^(1/4)-1</f>
        <v>7.0406432884071446E-2</v>
      </c>
      <c r="X338" s="913">
        <f>(X333/L333)^(1/4)-1</f>
        <v>6.1844242653148918E-2</v>
      </c>
      <c r="Y338" s="913">
        <f>(Y333/M333)^(1/4)-1</f>
        <v>5.8581044397099102E-2</v>
      </c>
      <c r="Z338" s="913"/>
      <c r="AA338" s="913">
        <f>(AA333/O333)^(1/4)-1</f>
        <v>2.7625690812078885E-2</v>
      </c>
      <c r="AB338" s="913">
        <f>(AB333/P333)^(1/4)-1</f>
        <v>2.1842918959366742E-2</v>
      </c>
      <c r="AC338" s="916"/>
      <c r="AD338" s="913">
        <f>(AD333/R333)^(1/4)-1</f>
        <v>3.3353833345608486E-2</v>
      </c>
      <c r="AE338" s="913">
        <f>(AE333/S333)^(1/4)-1</f>
        <v>1.6145294315282666E-2</v>
      </c>
      <c r="AF338" s="913"/>
      <c r="AG338" s="913">
        <f>(AG333/U333)^(1/4)-1</f>
        <v>1.3104395485009857E-2</v>
      </c>
      <c r="AH338" s="913">
        <f>(AH333/V333)^(1/4)-1</f>
        <v>1.90687772741438E-2</v>
      </c>
      <c r="AI338" s="913"/>
      <c r="AJ338" s="913"/>
      <c r="AK338" s="913"/>
      <c r="AL338" s="913"/>
      <c r="AM338" s="913"/>
      <c r="AN338" s="913"/>
      <c r="AO338" s="913"/>
      <c r="AP338" s="913"/>
      <c r="AQ338" s="913"/>
      <c r="AR338" s="913"/>
      <c r="AS338" s="913"/>
      <c r="AT338" s="913"/>
      <c r="AU338" s="913"/>
      <c r="AV338" s="913"/>
      <c r="AW338" s="913"/>
      <c r="AX338" s="913"/>
      <c r="AY338" s="913"/>
      <c r="AZ338" s="913"/>
      <c r="BA338" s="913"/>
      <c r="BB338" s="913"/>
      <c r="BC338" s="913"/>
      <c r="BD338" s="913"/>
      <c r="BE338" s="913"/>
      <c r="BF338" s="913"/>
      <c r="BG338" s="913"/>
      <c r="BH338" s="913"/>
      <c r="BI338" s="913"/>
      <c r="BJ338" s="913"/>
      <c r="BK338" s="917"/>
      <c r="BL338" s="918"/>
    </row>
    <row r="339" spans="2:64" s="912" customFormat="1" ht="12" customHeight="1" collapsed="1">
      <c r="B339" s="919"/>
      <c r="C339" s="913"/>
      <c r="D339" s="914"/>
      <c r="E339" s="913"/>
      <c r="F339" s="913"/>
      <c r="G339" s="913"/>
      <c r="H339" s="913"/>
      <c r="I339" s="913"/>
      <c r="J339" s="867"/>
      <c r="K339" s="915"/>
      <c r="L339" s="913"/>
      <c r="M339" s="867"/>
      <c r="N339" s="913"/>
      <c r="O339" s="913"/>
      <c r="P339" s="913"/>
      <c r="Q339" s="913"/>
      <c r="R339" s="913"/>
      <c r="S339" s="913"/>
      <c r="T339" s="913"/>
      <c r="U339" s="913"/>
      <c r="V339" s="913"/>
      <c r="W339" s="913"/>
      <c r="X339" s="913"/>
      <c r="Y339" s="913"/>
      <c r="Z339" s="913"/>
      <c r="AA339" s="913"/>
      <c r="AB339" s="913"/>
      <c r="AC339" s="916"/>
      <c r="AD339" s="913"/>
      <c r="AE339" s="913"/>
      <c r="AF339" s="913"/>
      <c r="AG339" s="913"/>
      <c r="AH339" s="913"/>
      <c r="AI339" s="1392">
        <f>(AI333/AC333)^(1/2)-1</f>
        <v>2.6672374567466184E-2</v>
      </c>
      <c r="AJ339" s="913"/>
      <c r="AK339" s="913"/>
      <c r="AL339" s="913"/>
      <c r="AM339" s="913"/>
      <c r="AN339" s="913"/>
      <c r="AO339" s="913"/>
      <c r="AP339" s="913"/>
      <c r="AQ339" s="913"/>
      <c r="AR339" s="913"/>
      <c r="AS339" s="913"/>
      <c r="AT339" s="913"/>
      <c r="AU339" s="913"/>
      <c r="AV339" s="913"/>
      <c r="AW339" s="913"/>
      <c r="AX339" s="913"/>
      <c r="AY339" s="913"/>
      <c r="AZ339" s="913"/>
      <c r="BA339" s="913"/>
      <c r="BB339" s="913"/>
      <c r="BC339" s="913"/>
      <c r="BD339" s="913"/>
      <c r="BE339" s="913"/>
      <c r="BF339" s="913"/>
      <c r="BG339" s="913"/>
      <c r="BH339" s="913"/>
      <c r="BI339" s="913"/>
      <c r="BJ339" s="913"/>
      <c r="BK339" s="917"/>
      <c r="BL339" s="918"/>
    </row>
    <row r="340" spans="2:64" s="828" customFormat="1">
      <c r="B340" s="828" t="s">
        <v>139</v>
      </c>
      <c r="C340" s="845">
        <f>C350</f>
        <v>490.5</v>
      </c>
      <c r="D340" s="1106">
        <f>E340-C340</f>
        <v>458.70000000000005</v>
      </c>
      <c r="E340" s="845">
        <f>E350</f>
        <v>949.2</v>
      </c>
      <c r="F340" s="845">
        <f>F350</f>
        <v>503.8</v>
      </c>
      <c r="G340" s="1106">
        <f>H340-F340</f>
        <v>475.40000000000003</v>
      </c>
      <c r="H340" s="845">
        <f>H350</f>
        <v>979.2</v>
      </c>
      <c r="I340" s="1252">
        <v>523.9</v>
      </c>
      <c r="J340" s="1106">
        <f>K340-I340</f>
        <v>492.5</v>
      </c>
      <c r="K340" s="1088">
        <v>1016.4</v>
      </c>
      <c r="L340" s="1252">
        <v>542.79999999999995</v>
      </c>
      <c r="M340" s="1106">
        <f>N340-L340</f>
        <v>495.79999999999995</v>
      </c>
      <c r="N340" s="1004">
        <v>1038.5999999999999</v>
      </c>
      <c r="O340" s="1004">
        <v>623.70000000000005</v>
      </c>
      <c r="P340" s="1004">
        <f>Q340-O340</f>
        <v>573.29999999999995</v>
      </c>
      <c r="Q340" s="1004">
        <v>1197</v>
      </c>
      <c r="R340" s="1004">
        <v>605.6</v>
      </c>
      <c r="S340" s="1004">
        <f>T340-R340</f>
        <v>606.49999999999989</v>
      </c>
      <c r="T340" s="1004">
        <v>1212.0999999999999</v>
      </c>
      <c r="U340" s="1108">
        <v>681.9</v>
      </c>
      <c r="V340" s="1106">
        <f>W340-U340</f>
        <v>627.4</v>
      </c>
      <c r="W340" s="1004">
        <v>1309.3</v>
      </c>
      <c r="X340" s="1108">
        <v>672.9</v>
      </c>
      <c r="Y340" s="1106">
        <f>Z340-X340</f>
        <v>618.69999999999993</v>
      </c>
      <c r="Z340" s="1004">
        <v>1291.5999999999999</v>
      </c>
      <c r="AA340" s="1108">
        <v>706.5</v>
      </c>
      <c r="AB340" s="1106">
        <f>AC340-AA340</f>
        <v>655.29999999999995</v>
      </c>
      <c r="AC340" s="1005">
        <v>1361.8</v>
      </c>
      <c r="AD340" s="1106">
        <f>AD333*AD332</f>
        <v>735.5148798913043</v>
      </c>
      <c r="AE340" s="1106">
        <f>AF340-AD340</f>
        <v>696.85079614607878</v>
      </c>
      <c r="AF340" s="845">
        <f t="shared" ref="AF340:BD340" si="800">AF333*AF332</f>
        <v>1432.3656760373831</v>
      </c>
      <c r="AG340" s="1106">
        <f>AG333*AG332</f>
        <v>780.91847209430682</v>
      </c>
      <c r="AH340" s="1106">
        <f>AI340-AG340</f>
        <v>730.51400628544195</v>
      </c>
      <c r="AI340" s="845">
        <f t="shared" si="800"/>
        <v>1511.4324783797488</v>
      </c>
      <c r="AJ340" s="845"/>
      <c r="AK340" s="845"/>
      <c r="AL340" s="845">
        <f>AL333*AL332</f>
        <v>1575.5429277019571</v>
      </c>
      <c r="AM340" s="845"/>
      <c r="AN340" s="845"/>
      <c r="AO340" s="845">
        <f t="shared" si="800"/>
        <v>1642.1480836004239</v>
      </c>
      <c r="AP340" s="845"/>
      <c r="AQ340" s="845"/>
      <c r="AR340" s="845">
        <f t="shared" si="800"/>
        <v>1711.3401829466361</v>
      </c>
      <c r="AS340" s="845"/>
      <c r="AT340" s="845"/>
      <c r="AU340" s="845">
        <f t="shared" si="800"/>
        <v>1783.2147592902113</v>
      </c>
      <c r="AV340" s="845"/>
      <c r="AW340" s="845"/>
      <c r="AX340" s="845">
        <f t="shared" si="800"/>
        <v>1857.8707578800372</v>
      </c>
      <c r="AY340" s="845"/>
      <c r="AZ340" s="845"/>
      <c r="BA340" s="845">
        <f t="shared" si="800"/>
        <v>1935.4106546267592</v>
      </c>
      <c r="BB340" s="845"/>
      <c r="BC340" s="845"/>
      <c r="BD340" s="845">
        <f t="shared" si="800"/>
        <v>2015.9405791397901</v>
      </c>
      <c r="BE340" s="845"/>
      <c r="BF340" s="845"/>
      <c r="BG340" s="845">
        <f t="shared" ref="BG340:BJ340" si="801">BG333*BG332</f>
        <v>2099.5704419764675</v>
      </c>
      <c r="BH340" s="845"/>
      <c r="BI340" s="845"/>
      <c r="BJ340" s="845">
        <f t="shared" si="801"/>
        <v>2186.4140662455866</v>
      </c>
      <c r="BK340" s="810"/>
      <c r="BL340" s="811"/>
    </row>
    <row r="341" spans="2:64">
      <c r="B341" s="1112" t="s">
        <v>251</v>
      </c>
      <c r="C341" s="834"/>
      <c r="D341" s="1253"/>
      <c r="E341" s="1034"/>
      <c r="F341" s="862"/>
      <c r="G341" s="862"/>
      <c r="H341" s="1034"/>
      <c r="I341" s="862"/>
      <c r="J341" s="862"/>
      <c r="K341" s="1035"/>
      <c r="L341" s="862"/>
      <c r="M341" s="862"/>
      <c r="N341" s="862"/>
      <c r="O341" s="862"/>
      <c r="P341" s="862"/>
      <c r="Q341" s="862"/>
      <c r="R341" s="862"/>
      <c r="S341" s="862"/>
      <c r="T341" s="862"/>
      <c r="U341" s="862"/>
      <c r="V341" s="862"/>
      <c r="W341" s="862"/>
      <c r="X341" s="862"/>
      <c r="Y341" s="862"/>
      <c r="Z341" s="1034"/>
      <c r="AA341" s="862"/>
      <c r="AB341" s="862"/>
      <c r="AC341" s="1152"/>
      <c r="AD341" s="862"/>
      <c r="AE341" s="862"/>
      <c r="AF341" s="1034"/>
      <c r="AG341" s="862"/>
      <c r="AH341" s="862"/>
      <c r="AI341" s="1034"/>
      <c r="AJ341" s="1034"/>
      <c r="AK341" s="1034"/>
      <c r="AL341" s="1034"/>
      <c r="AM341" s="1034"/>
      <c r="AN341" s="1034"/>
      <c r="AO341" s="1034"/>
      <c r="AP341" s="1034"/>
      <c r="AQ341" s="1034"/>
      <c r="AR341" s="1034"/>
      <c r="AS341" s="1034"/>
      <c r="AT341" s="1034"/>
      <c r="AU341" s="1034"/>
      <c r="AV341" s="1034"/>
      <c r="AW341" s="1034"/>
      <c r="AX341" s="1034"/>
      <c r="AY341" s="1034"/>
      <c r="AZ341" s="1034"/>
      <c r="BA341" s="1034"/>
      <c r="BB341" s="1034"/>
      <c r="BC341" s="1034"/>
      <c r="BD341" s="1034"/>
      <c r="BE341" s="1034"/>
      <c r="BF341" s="1034"/>
      <c r="BG341" s="1034"/>
      <c r="BH341" s="1034"/>
      <c r="BI341" s="1034"/>
      <c r="BJ341" s="1034"/>
    </row>
    <row r="342" spans="2:64">
      <c r="B342" s="812" t="s">
        <v>252</v>
      </c>
      <c r="C342" s="899">
        <v>161</v>
      </c>
      <c r="D342" s="899">
        <v>165</v>
      </c>
      <c r="E342" s="899">
        <v>161</v>
      </c>
      <c r="F342" s="1253">
        <f>E344</f>
        <v>166</v>
      </c>
      <c r="G342" s="1253">
        <f>F344</f>
        <v>168</v>
      </c>
      <c r="H342" s="899">
        <f>E344</f>
        <v>166</v>
      </c>
      <c r="I342" s="1253">
        <f>H344</f>
        <v>159</v>
      </c>
      <c r="J342" s="1253">
        <f>I344</f>
        <v>161</v>
      </c>
      <c r="K342" s="900">
        <f>H344</f>
        <v>159</v>
      </c>
      <c r="L342" s="1253">
        <f>K344</f>
        <v>161</v>
      </c>
      <c r="M342" s="1253">
        <f>L344</f>
        <v>160</v>
      </c>
      <c r="N342" s="899">
        <f>K344</f>
        <v>161</v>
      </c>
      <c r="O342" s="899">
        <f>N344</f>
        <v>160</v>
      </c>
      <c r="P342" s="899">
        <f>O344</f>
        <v>157</v>
      </c>
      <c r="Q342" s="899">
        <f>N344</f>
        <v>160</v>
      </c>
      <c r="R342" s="899">
        <f>Q344</f>
        <v>153</v>
      </c>
      <c r="S342" s="899">
        <f>R344</f>
        <v>154</v>
      </c>
      <c r="T342" s="899">
        <f>Q344</f>
        <v>153</v>
      </c>
      <c r="U342" s="1253">
        <f>T344</f>
        <v>155</v>
      </c>
      <c r="V342" s="1253">
        <f>U344</f>
        <v>155</v>
      </c>
      <c r="W342" s="899">
        <f>T344</f>
        <v>155</v>
      </c>
      <c r="X342" s="1253">
        <f>W344</f>
        <v>159</v>
      </c>
      <c r="Y342" s="1253">
        <f>X344</f>
        <v>159</v>
      </c>
      <c r="Z342" s="899">
        <f>W344</f>
        <v>159</v>
      </c>
      <c r="AA342" s="1253">
        <f>Z344</f>
        <v>159</v>
      </c>
      <c r="AB342" s="1253">
        <f>AA344</f>
        <v>163</v>
      </c>
      <c r="AC342" s="901">
        <f>Z344</f>
        <v>159</v>
      </c>
      <c r="AD342" s="1253">
        <f>AC344</f>
        <v>162</v>
      </c>
      <c r="AE342" s="1253">
        <f>AD344</f>
        <v>165</v>
      </c>
      <c r="AF342" s="899">
        <f>AC344</f>
        <v>162</v>
      </c>
      <c r="AG342" s="1253">
        <f>AF344</f>
        <v>168</v>
      </c>
      <c r="AH342" s="1253">
        <f>AG344</f>
        <v>169</v>
      </c>
      <c r="AI342" s="899">
        <f>AF344</f>
        <v>168</v>
      </c>
      <c r="AJ342" s="899"/>
      <c r="AK342" s="899"/>
      <c r="AL342" s="899">
        <f>AI344</f>
        <v>170</v>
      </c>
      <c r="AM342" s="899"/>
      <c r="AN342" s="899"/>
      <c r="AO342" s="899">
        <f>AL344</f>
        <v>172</v>
      </c>
      <c r="AP342" s="899"/>
      <c r="AQ342" s="899"/>
      <c r="AR342" s="899">
        <f>AO344</f>
        <v>174</v>
      </c>
      <c r="AS342" s="899"/>
      <c r="AT342" s="899"/>
      <c r="AU342" s="899">
        <f>AR344</f>
        <v>176</v>
      </c>
      <c r="AV342" s="899"/>
      <c r="AW342" s="899"/>
      <c r="AX342" s="899">
        <f>AU344</f>
        <v>178</v>
      </c>
      <c r="AY342" s="899"/>
      <c r="AZ342" s="899"/>
      <c r="BA342" s="899">
        <f>AX344</f>
        <v>180</v>
      </c>
      <c r="BB342" s="899"/>
      <c r="BC342" s="899"/>
      <c r="BD342" s="899">
        <f>BA344</f>
        <v>182</v>
      </c>
      <c r="BE342" s="899"/>
      <c r="BF342" s="899"/>
      <c r="BG342" s="899">
        <f>BD344</f>
        <v>184</v>
      </c>
      <c r="BH342" s="899"/>
      <c r="BI342" s="899"/>
      <c r="BJ342" s="899">
        <f t="shared" ref="BJ342" si="802">BG344</f>
        <v>186</v>
      </c>
    </row>
    <row r="343" spans="2:64">
      <c r="B343" s="812" t="s">
        <v>253</v>
      </c>
      <c r="C343" s="899">
        <v>4</v>
      </c>
      <c r="D343" s="899">
        <v>4</v>
      </c>
      <c r="E343" s="899">
        <v>5</v>
      </c>
      <c r="F343" s="932">
        <f>2</f>
        <v>2</v>
      </c>
      <c r="G343" s="899">
        <f>H343-F343</f>
        <v>-9</v>
      </c>
      <c r="H343" s="933">
        <f>H344-H342</f>
        <v>-7</v>
      </c>
      <c r="I343" s="931">
        <f>4-2</f>
        <v>2</v>
      </c>
      <c r="J343" s="899">
        <f>K343-I343</f>
        <v>0</v>
      </c>
      <c r="K343" s="1047">
        <f>4-2</f>
        <v>2</v>
      </c>
      <c r="L343" s="931">
        <f>-1</f>
        <v>-1</v>
      </c>
      <c r="M343" s="899">
        <f>N343-L343</f>
        <v>0</v>
      </c>
      <c r="N343" s="933">
        <v>-1</v>
      </c>
      <c r="O343" s="933">
        <f>1-4</f>
        <v>-3</v>
      </c>
      <c r="P343" s="933">
        <f>Q343-O343</f>
        <v>-4</v>
      </c>
      <c r="Q343" s="933">
        <v>-7</v>
      </c>
      <c r="R343" s="933">
        <f>2-1</f>
        <v>1</v>
      </c>
      <c r="S343" s="933">
        <f>T343-R343</f>
        <v>1</v>
      </c>
      <c r="T343" s="933">
        <f>3-1</f>
        <v>2</v>
      </c>
      <c r="U343" s="931">
        <v>0</v>
      </c>
      <c r="V343" s="899">
        <f>W343-U343</f>
        <v>4</v>
      </c>
      <c r="W343" s="933">
        <v>4</v>
      </c>
      <c r="X343" s="931">
        <v>0</v>
      </c>
      <c r="Y343" s="899">
        <f>Z343-X343</f>
        <v>0</v>
      </c>
      <c r="Z343" s="933">
        <v>0</v>
      </c>
      <c r="AA343" s="931">
        <v>4</v>
      </c>
      <c r="AB343" s="899">
        <f>AC343-AA343</f>
        <v>-1</v>
      </c>
      <c r="AC343" s="1358">
        <v>3</v>
      </c>
      <c r="AD343" s="931">
        <v>3</v>
      </c>
      <c r="AE343" s="899">
        <f>AF343-AD343</f>
        <v>3</v>
      </c>
      <c r="AF343" s="936">
        <v>6</v>
      </c>
      <c r="AG343" s="931">
        <f>AI343/2</f>
        <v>1</v>
      </c>
      <c r="AH343" s="899">
        <f>AI343-AG343</f>
        <v>1</v>
      </c>
      <c r="AI343" s="936">
        <v>2</v>
      </c>
      <c r="AJ343" s="936"/>
      <c r="AK343" s="936"/>
      <c r="AL343" s="936">
        <v>2</v>
      </c>
      <c r="AM343" s="936"/>
      <c r="AN343" s="936"/>
      <c r="AO343" s="936">
        <v>2</v>
      </c>
      <c r="AP343" s="936"/>
      <c r="AQ343" s="936"/>
      <c r="AR343" s="936">
        <v>2</v>
      </c>
      <c r="AS343" s="936"/>
      <c r="AT343" s="936"/>
      <c r="AU343" s="936">
        <v>2</v>
      </c>
      <c r="AV343" s="936"/>
      <c r="AW343" s="936"/>
      <c r="AX343" s="936">
        <v>2</v>
      </c>
      <c r="AY343" s="936"/>
      <c r="AZ343" s="936"/>
      <c r="BA343" s="936">
        <v>2</v>
      </c>
      <c r="BB343" s="936"/>
      <c r="BC343" s="936"/>
      <c r="BD343" s="936">
        <v>2</v>
      </c>
      <c r="BE343" s="936"/>
      <c r="BF343" s="936"/>
      <c r="BG343" s="936">
        <v>2</v>
      </c>
      <c r="BH343" s="936"/>
      <c r="BI343" s="936"/>
      <c r="BJ343" s="936">
        <v>2</v>
      </c>
    </row>
    <row r="344" spans="2:64" s="828" customFormat="1">
      <c r="B344" s="828" t="s">
        <v>180</v>
      </c>
      <c r="C344" s="887">
        <v>165</v>
      </c>
      <c r="D344" s="887">
        <v>169</v>
      </c>
      <c r="E344" s="1105">
        <v>166</v>
      </c>
      <c r="F344" s="887">
        <f>F343+F342</f>
        <v>168</v>
      </c>
      <c r="G344" s="887">
        <f>G343+F344</f>
        <v>159</v>
      </c>
      <c r="H344" s="1105">
        <v>159</v>
      </c>
      <c r="I344" s="887">
        <f>H344+I343</f>
        <v>161</v>
      </c>
      <c r="J344" s="887">
        <f>J343+I344</f>
        <v>161</v>
      </c>
      <c r="K344" s="888">
        <f>H344+K343</f>
        <v>161</v>
      </c>
      <c r="L344" s="887">
        <f>K344+L343</f>
        <v>160</v>
      </c>
      <c r="M344" s="887">
        <f>M343+L344</f>
        <v>160</v>
      </c>
      <c r="N344" s="887">
        <f>K344+N343</f>
        <v>160</v>
      </c>
      <c r="O344" s="887">
        <f>N344+O343</f>
        <v>157</v>
      </c>
      <c r="P344" s="887">
        <f>P343+O344</f>
        <v>153</v>
      </c>
      <c r="Q344" s="887">
        <f>N344+Q343</f>
        <v>153</v>
      </c>
      <c r="R344" s="887">
        <f>Q344+R343</f>
        <v>154</v>
      </c>
      <c r="S344" s="887">
        <f>S343+R344</f>
        <v>155</v>
      </c>
      <c r="T344" s="887">
        <f>Q344+T343</f>
        <v>155</v>
      </c>
      <c r="U344" s="887">
        <f>T344+U343</f>
        <v>155</v>
      </c>
      <c r="V344" s="887">
        <f>V343+U344</f>
        <v>159</v>
      </c>
      <c r="W344" s="887">
        <f>T344+W343</f>
        <v>159</v>
      </c>
      <c r="X344" s="887">
        <f>W344+X343</f>
        <v>159</v>
      </c>
      <c r="Y344" s="887">
        <f>Y343+X344</f>
        <v>159</v>
      </c>
      <c r="Z344" s="887">
        <f>W344+Z343</f>
        <v>159</v>
      </c>
      <c r="AA344" s="887">
        <f>Z344+AA343</f>
        <v>163</v>
      </c>
      <c r="AB344" s="887">
        <f>AB343+AA344</f>
        <v>162</v>
      </c>
      <c r="AC344" s="889">
        <f>Z344+AC343</f>
        <v>162</v>
      </c>
      <c r="AD344" s="887">
        <f>AC344+AD343</f>
        <v>165</v>
      </c>
      <c r="AE344" s="887">
        <f>AE343+AD344</f>
        <v>168</v>
      </c>
      <c r="AF344" s="887">
        <f>AC344+AF343</f>
        <v>168</v>
      </c>
      <c r="AG344" s="887">
        <f>AF344+AG343</f>
        <v>169</v>
      </c>
      <c r="AH344" s="887">
        <f>AH343+AG344</f>
        <v>170</v>
      </c>
      <c r="AI344" s="887">
        <f>AF344+AI343</f>
        <v>170</v>
      </c>
      <c r="AJ344" s="887"/>
      <c r="AK344" s="887"/>
      <c r="AL344" s="887">
        <f>AI344+AL343</f>
        <v>172</v>
      </c>
      <c r="AM344" s="887"/>
      <c r="AN344" s="887"/>
      <c r="AO344" s="887">
        <f>AL344+AO343</f>
        <v>174</v>
      </c>
      <c r="AP344" s="887"/>
      <c r="AQ344" s="887"/>
      <c r="AR344" s="887">
        <f>AO344+AR343</f>
        <v>176</v>
      </c>
      <c r="AS344" s="887"/>
      <c r="AT344" s="887"/>
      <c r="AU344" s="887">
        <f>AR344+AU343</f>
        <v>178</v>
      </c>
      <c r="AV344" s="887"/>
      <c r="AW344" s="887"/>
      <c r="AX344" s="887">
        <f>AU344+AX343</f>
        <v>180</v>
      </c>
      <c r="AY344" s="887"/>
      <c r="AZ344" s="887"/>
      <c r="BA344" s="887">
        <f>AX344+BA343</f>
        <v>182</v>
      </c>
      <c r="BB344" s="887"/>
      <c r="BC344" s="887"/>
      <c r="BD344" s="887">
        <f>BA344+BD343</f>
        <v>184</v>
      </c>
      <c r="BE344" s="887"/>
      <c r="BF344" s="887"/>
      <c r="BG344" s="887">
        <f>BD344+BG343</f>
        <v>186</v>
      </c>
      <c r="BH344" s="887"/>
      <c r="BI344" s="887"/>
      <c r="BJ344" s="887">
        <f t="shared" ref="BJ344" si="803">BG344+BJ343</f>
        <v>188</v>
      </c>
      <c r="BK344" s="810"/>
      <c r="BL344" s="811"/>
    </row>
    <row r="345" spans="2:64" hidden="1" outlineLevel="1">
      <c r="B345" s="812" t="s">
        <v>203</v>
      </c>
      <c r="C345" s="830"/>
      <c r="D345" s="830"/>
      <c r="E345" s="830"/>
      <c r="F345" s="830"/>
      <c r="G345" s="830"/>
      <c r="H345" s="830"/>
      <c r="I345" s="830"/>
      <c r="J345" s="830"/>
      <c r="K345" s="829"/>
      <c r="L345" s="830"/>
      <c r="M345" s="830"/>
      <c r="N345" s="830"/>
      <c r="O345" s="830"/>
      <c r="P345" s="830"/>
      <c r="Q345" s="830"/>
      <c r="R345" s="830"/>
      <c r="S345" s="830"/>
      <c r="T345" s="830"/>
      <c r="U345" s="830"/>
      <c r="V345" s="830"/>
      <c r="W345" s="830"/>
      <c r="X345" s="830"/>
      <c r="Y345" s="830"/>
      <c r="Z345" s="830"/>
      <c r="AA345" s="830"/>
      <c r="AB345" s="830"/>
      <c r="AC345" s="1036"/>
      <c r="AD345" s="830"/>
      <c r="AE345" s="830"/>
      <c r="AF345" s="830"/>
      <c r="AG345" s="830"/>
      <c r="AH345" s="830"/>
      <c r="AI345" s="830"/>
      <c r="AJ345" s="830"/>
      <c r="AK345" s="830"/>
      <c r="AL345" s="830"/>
      <c r="AM345" s="830"/>
      <c r="AN345" s="830"/>
      <c r="AO345" s="830"/>
      <c r="AP345" s="830"/>
      <c r="AQ345" s="830"/>
      <c r="AR345" s="830"/>
      <c r="AS345" s="830"/>
      <c r="AT345" s="830"/>
      <c r="AU345" s="830"/>
      <c r="AV345" s="830"/>
      <c r="AW345" s="830"/>
      <c r="AX345" s="830"/>
      <c r="AY345" s="830"/>
      <c r="AZ345" s="830"/>
      <c r="BA345" s="830"/>
      <c r="BB345" s="830"/>
      <c r="BC345" s="830"/>
      <c r="BD345" s="830"/>
      <c r="BE345" s="830"/>
      <c r="BF345" s="830"/>
      <c r="BG345" s="830"/>
      <c r="BH345" s="830"/>
      <c r="BI345" s="830"/>
      <c r="BJ345" s="830"/>
    </row>
    <row r="346" spans="2:64" hidden="1" outlineLevel="1">
      <c r="B346" s="812" t="s">
        <v>168</v>
      </c>
      <c r="C346" s="899">
        <v>101</v>
      </c>
      <c r="D346" s="899">
        <f>E346</f>
        <v>91</v>
      </c>
      <c r="E346" s="899">
        <v>91</v>
      </c>
      <c r="F346" s="899"/>
      <c r="G346" s="899"/>
      <c r="I346" s="899"/>
      <c r="J346" s="899"/>
      <c r="K346" s="900"/>
      <c r="L346" s="899"/>
      <c r="M346" s="899"/>
      <c r="N346" s="899"/>
      <c r="O346" s="899"/>
      <c r="P346" s="899"/>
      <c r="Q346" s="899"/>
      <c r="R346" s="899"/>
      <c r="S346" s="899"/>
      <c r="T346" s="899"/>
      <c r="U346" s="899"/>
      <c r="V346" s="899"/>
      <c r="W346" s="899"/>
      <c r="X346" s="899"/>
      <c r="Y346" s="899"/>
      <c r="Z346" s="899"/>
      <c r="AA346" s="899"/>
      <c r="AB346" s="899"/>
      <c r="AC346" s="901"/>
      <c r="AD346" s="899"/>
      <c r="AE346" s="899"/>
      <c r="AF346" s="899"/>
      <c r="AG346" s="899"/>
      <c r="AH346" s="899"/>
      <c r="AI346" s="899"/>
      <c r="AJ346" s="899"/>
      <c r="AK346" s="899"/>
      <c r="AL346" s="899"/>
      <c r="AM346" s="899"/>
      <c r="AN346" s="899"/>
      <c r="AO346" s="899"/>
      <c r="AP346" s="899"/>
      <c r="AQ346" s="899"/>
      <c r="AR346" s="899"/>
      <c r="AS346" s="899"/>
      <c r="AT346" s="899"/>
      <c r="AU346" s="899"/>
      <c r="AV346" s="899"/>
      <c r="AW346" s="899"/>
      <c r="AX346" s="899"/>
      <c r="AY346" s="899"/>
      <c r="AZ346" s="899"/>
      <c r="BA346" s="899"/>
      <c r="BB346" s="899"/>
      <c r="BC346" s="899"/>
      <c r="BD346" s="899"/>
      <c r="BE346" s="899"/>
      <c r="BF346" s="899"/>
      <c r="BG346" s="899"/>
      <c r="BH346" s="899"/>
      <c r="BI346" s="899"/>
      <c r="BJ346" s="899"/>
    </row>
    <row r="347" spans="2:64" hidden="1" outlineLevel="1">
      <c r="B347" s="812" t="s">
        <v>202</v>
      </c>
      <c r="C347" s="899">
        <v>64</v>
      </c>
      <c r="D347" s="899" t="e">
        <f>E347</f>
        <v>#REF!</v>
      </c>
      <c r="E347" s="899" t="e">
        <f>#REF!+E343-(E346-#REF!)</f>
        <v>#REF!</v>
      </c>
      <c r="F347" s="899"/>
      <c r="G347" s="899"/>
      <c r="H347" s="899"/>
      <c r="I347" s="899"/>
      <c r="J347" s="899"/>
      <c r="K347" s="900"/>
      <c r="L347" s="899"/>
      <c r="M347" s="899"/>
      <c r="N347" s="899"/>
      <c r="O347" s="899"/>
      <c r="P347" s="899"/>
      <c r="Q347" s="899"/>
      <c r="R347" s="899"/>
      <c r="S347" s="899"/>
      <c r="T347" s="899"/>
      <c r="U347" s="899"/>
      <c r="V347" s="899"/>
      <c r="W347" s="899"/>
      <c r="X347" s="899"/>
      <c r="Y347" s="899"/>
      <c r="Z347" s="899"/>
      <c r="AA347" s="899"/>
      <c r="AB347" s="899"/>
      <c r="AC347" s="901"/>
      <c r="AD347" s="899"/>
      <c r="AE347" s="899"/>
      <c r="AF347" s="899"/>
      <c r="AG347" s="899"/>
      <c r="AH347" s="899"/>
      <c r="AI347" s="899"/>
      <c r="AJ347" s="899"/>
      <c r="AK347" s="899"/>
      <c r="AL347" s="899"/>
      <c r="AM347" s="899"/>
      <c r="AN347" s="899"/>
      <c r="AO347" s="899"/>
      <c r="AP347" s="899"/>
      <c r="AQ347" s="899"/>
      <c r="AR347" s="899"/>
      <c r="AS347" s="899"/>
      <c r="AT347" s="899"/>
      <c r="AU347" s="899"/>
      <c r="AV347" s="899"/>
      <c r="AW347" s="899"/>
      <c r="AX347" s="899"/>
      <c r="AY347" s="899"/>
      <c r="AZ347" s="899"/>
      <c r="BA347" s="899"/>
      <c r="BB347" s="899"/>
      <c r="BC347" s="899"/>
      <c r="BD347" s="899"/>
      <c r="BE347" s="899"/>
      <c r="BF347" s="899"/>
      <c r="BG347" s="899"/>
      <c r="BH347" s="899"/>
      <c r="BI347" s="899"/>
      <c r="BJ347" s="899"/>
    </row>
    <row r="348" spans="2:64" collapsed="1">
      <c r="C348" s="834"/>
      <c r="D348" s="1253"/>
      <c r="E348" s="834"/>
      <c r="F348" s="1253"/>
      <c r="G348" s="1253"/>
      <c r="H348" s="834"/>
      <c r="I348" s="862">
        <f>I350/K350</f>
        <v>0.51544667453758364</v>
      </c>
      <c r="J348" s="1253"/>
      <c r="K348" s="835"/>
      <c r="L348" s="1253"/>
      <c r="M348" s="1253"/>
      <c r="N348" s="834"/>
      <c r="O348" s="834"/>
      <c r="P348" s="834"/>
      <c r="Q348" s="834"/>
      <c r="R348" s="834"/>
      <c r="S348" s="834"/>
      <c r="T348" s="834"/>
      <c r="U348" s="1253"/>
      <c r="V348" s="1253"/>
      <c r="W348" s="834"/>
      <c r="X348" s="1253"/>
      <c r="Y348" s="1253"/>
      <c r="Z348" s="834"/>
      <c r="AA348" s="1253"/>
      <c r="AB348" s="1253"/>
      <c r="AC348" s="836"/>
      <c r="AD348" s="862"/>
      <c r="AE348" s="1253"/>
      <c r="AF348" s="834"/>
      <c r="AG348" s="862">
        <f>AG350/AI350</f>
        <v>0.51667440210855409</v>
      </c>
      <c r="AH348" s="1253"/>
      <c r="AI348" s="834"/>
      <c r="AJ348" s="834"/>
      <c r="AK348" s="834"/>
      <c r="AL348" s="834"/>
      <c r="AM348" s="834"/>
      <c r="AN348" s="834"/>
      <c r="AO348" s="834"/>
      <c r="AP348" s="834"/>
      <c r="AQ348" s="834"/>
      <c r="AR348" s="834"/>
      <c r="AS348" s="834"/>
      <c r="AT348" s="834"/>
      <c r="AU348" s="834"/>
      <c r="AV348" s="834"/>
      <c r="AW348" s="834"/>
      <c r="AX348" s="834"/>
      <c r="AY348" s="834"/>
      <c r="AZ348" s="834"/>
      <c r="BA348" s="834"/>
      <c r="BB348" s="834"/>
      <c r="BC348" s="834"/>
      <c r="BD348" s="834"/>
      <c r="BE348" s="834"/>
      <c r="BF348" s="834"/>
      <c r="BG348" s="834"/>
      <c r="BH348" s="834"/>
      <c r="BI348" s="834"/>
      <c r="BJ348" s="834"/>
    </row>
    <row r="349" spans="2:64" hidden="1">
      <c r="B349" s="1254" t="s">
        <v>255</v>
      </c>
      <c r="C349" s="1255"/>
      <c r="D349" s="1256"/>
      <c r="E349" s="1255"/>
      <c r="F349" s="1256"/>
      <c r="G349" s="1256"/>
      <c r="H349" s="1255"/>
      <c r="I349" s="1256"/>
      <c r="J349" s="1256"/>
      <c r="K349" s="1257"/>
      <c r="L349" s="1256"/>
      <c r="M349" s="1256"/>
      <c r="N349" s="1255"/>
      <c r="O349" s="1255"/>
      <c r="P349" s="1255"/>
      <c r="Q349" s="1255"/>
      <c r="R349" s="1255"/>
      <c r="S349" s="1255"/>
      <c r="T349" s="1255"/>
      <c r="U349" s="1256"/>
      <c r="V349" s="1256"/>
      <c r="W349" s="1255"/>
      <c r="X349" s="1256"/>
      <c r="Y349" s="1256"/>
      <c r="Z349" s="1255"/>
      <c r="AA349" s="1256"/>
      <c r="AB349" s="1256"/>
      <c r="AC349" s="1368"/>
      <c r="AD349" s="1256"/>
      <c r="AE349" s="1256"/>
      <c r="AF349" s="1255"/>
      <c r="AG349" s="1256"/>
      <c r="AH349" s="1256"/>
      <c r="AI349" s="1255"/>
      <c r="AJ349" s="1255"/>
      <c r="AK349" s="1255"/>
      <c r="AL349" s="1255"/>
      <c r="AM349" s="1255"/>
      <c r="AN349" s="1255"/>
      <c r="AO349" s="1255"/>
      <c r="AP349" s="1255"/>
      <c r="AQ349" s="1255"/>
      <c r="AR349" s="1255"/>
      <c r="AS349" s="1255"/>
      <c r="AT349" s="1255"/>
      <c r="AU349" s="1255"/>
      <c r="AV349" s="1255"/>
      <c r="AW349" s="1255"/>
      <c r="AX349" s="1255"/>
      <c r="AY349" s="1255"/>
      <c r="AZ349" s="1255"/>
      <c r="BA349" s="1255"/>
      <c r="BB349" s="1255"/>
      <c r="BC349" s="1255"/>
      <c r="BD349" s="1255"/>
      <c r="BE349" s="1255"/>
      <c r="BF349" s="1255"/>
      <c r="BG349" s="1255"/>
      <c r="BH349" s="1255"/>
      <c r="BI349" s="1255"/>
      <c r="BJ349" s="1255"/>
    </row>
    <row r="350" spans="2:64">
      <c r="B350" s="1098" t="s">
        <v>201</v>
      </c>
      <c r="C350" s="921">
        <v>490.5</v>
      </c>
      <c r="D350" s="922">
        <f>E350-C350</f>
        <v>458.70000000000005</v>
      </c>
      <c r="E350" s="1058">
        <v>949.2</v>
      </c>
      <c r="F350" s="1058">
        <v>503.8</v>
      </c>
      <c r="G350" s="1058">
        <f>+H350-F350</f>
        <v>475.40000000000003</v>
      </c>
      <c r="H350" s="1058">
        <v>979.2</v>
      </c>
      <c r="I350" s="922">
        <f>I340+I317</f>
        <v>523.9</v>
      </c>
      <c r="J350" s="922">
        <f>J340+J317</f>
        <v>492.5</v>
      </c>
      <c r="K350" s="1059">
        <f t="shared" ref="K350:AU350" si="804">K340</f>
        <v>1016.4</v>
      </c>
      <c r="L350" s="922">
        <f t="shared" si="804"/>
        <v>542.79999999999995</v>
      </c>
      <c r="M350" s="922">
        <f t="shared" si="804"/>
        <v>495.79999999999995</v>
      </c>
      <c r="N350" s="922">
        <f t="shared" si="804"/>
        <v>1038.5999999999999</v>
      </c>
      <c r="O350" s="922">
        <f t="shared" si="804"/>
        <v>623.70000000000005</v>
      </c>
      <c r="P350" s="922">
        <f t="shared" si="804"/>
        <v>573.29999999999995</v>
      </c>
      <c r="Q350" s="922">
        <f t="shared" si="804"/>
        <v>1197</v>
      </c>
      <c r="R350" s="922">
        <f t="shared" si="804"/>
        <v>605.6</v>
      </c>
      <c r="S350" s="922">
        <f t="shared" si="804"/>
        <v>606.49999999999989</v>
      </c>
      <c r="T350" s="922">
        <f t="shared" si="804"/>
        <v>1212.0999999999999</v>
      </c>
      <c r="U350" s="922">
        <f>U340</f>
        <v>681.9</v>
      </c>
      <c r="V350" s="922">
        <f t="shared" si="804"/>
        <v>627.4</v>
      </c>
      <c r="W350" s="922">
        <f t="shared" si="804"/>
        <v>1309.3</v>
      </c>
      <c r="X350" s="922">
        <f>X340</f>
        <v>672.9</v>
      </c>
      <c r="Y350" s="922">
        <f>Y340</f>
        <v>618.69999999999993</v>
      </c>
      <c r="Z350" s="922">
        <f>Z340</f>
        <v>1291.5999999999999</v>
      </c>
      <c r="AA350" s="922">
        <f t="shared" si="804"/>
        <v>706.5</v>
      </c>
      <c r="AB350" s="922">
        <f>AB340</f>
        <v>655.29999999999995</v>
      </c>
      <c r="AC350" s="1244">
        <f t="shared" si="804"/>
        <v>1361.8</v>
      </c>
      <c r="AD350" s="922">
        <f t="shared" ref="AD350:AE350" si="805">AD340</f>
        <v>735.5148798913043</v>
      </c>
      <c r="AE350" s="922">
        <f t="shared" si="805"/>
        <v>696.85079614607878</v>
      </c>
      <c r="AF350" s="922">
        <f t="shared" si="804"/>
        <v>1432.3656760373831</v>
      </c>
      <c r="AG350" s="922">
        <f t="shared" si="804"/>
        <v>780.91847209430682</v>
      </c>
      <c r="AH350" s="922">
        <f t="shared" si="804"/>
        <v>730.51400628544195</v>
      </c>
      <c r="AI350" s="922">
        <f t="shared" si="804"/>
        <v>1511.4324783797488</v>
      </c>
      <c r="AJ350" s="922"/>
      <c r="AK350" s="922"/>
      <c r="AL350" s="922">
        <f>AL340</f>
        <v>1575.5429277019571</v>
      </c>
      <c r="AM350" s="922"/>
      <c r="AN350" s="922"/>
      <c r="AO350" s="922">
        <f t="shared" si="804"/>
        <v>1642.1480836004239</v>
      </c>
      <c r="AP350" s="922"/>
      <c r="AQ350" s="922"/>
      <c r="AR350" s="922">
        <f t="shared" si="804"/>
        <v>1711.3401829466361</v>
      </c>
      <c r="AS350" s="922"/>
      <c r="AT350" s="922"/>
      <c r="AU350" s="922">
        <f t="shared" si="804"/>
        <v>1783.2147592902113</v>
      </c>
      <c r="AV350" s="922"/>
      <c r="AW350" s="922"/>
      <c r="AX350" s="922">
        <f t="shared" ref="AX350:BA350" si="806">AX340</f>
        <v>1857.8707578800372</v>
      </c>
      <c r="AY350" s="922"/>
      <c r="AZ350" s="922"/>
      <c r="BA350" s="922">
        <f t="shared" si="806"/>
        <v>1935.4106546267592</v>
      </c>
      <c r="BB350" s="922"/>
      <c r="BC350" s="922"/>
      <c r="BD350" s="922">
        <f t="shared" ref="BD350:BG350" si="807">BD340</f>
        <v>2015.9405791397901</v>
      </c>
      <c r="BE350" s="922"/>
      <c r="BF350" s="922"/>
      <c r="BG350" s="922">
        <f t="shared" si="807"/>
        <v>2099.5704419764675</v>
      </c>
      <c r="BH350" s="922"/>
      <c r="BI350" s="922"/>
      <c r="BJ350" s="922">
        <f t="shared" ref="BJ350" si="808">BJ340</f>
        <v>2186.4140662455866</v>
      </c>
    </row>
    <row r="351" spans="2:64">
      <c r="B351" s="828"/>
      <c r="C351" s="1006"/>
      <c r="D351" s="845"/>
      <c r="E351" s="1004"/>
      <c r="F351" s="1004"/>
      <c r="G351" s="1004"/>
      <c r="H351" s="1004"/>
      <c r="I351" s="845"/>
      <c r="J351" s="845"/>
      <c r="K351" s="846"/>
      <c r="L351" s="845"/>
      <c r="M351" s="845"/>
      <c r="N351" s="845"/>
      <c r="O351" s="845"/>
      <c r="P351" s="845"/>
      <c r="Q351" s="845"/>
      <c r="R351" s="845"/>
      <c r="S351" s="845"/>
      <c r="T351" s="845"/>
      <c r="U351" s="845"/>
      <c r="V351" s="845"/>
      <c r="W351" s="845"/>
      <c r="X351" s="845"/>
      <c r="Y351" s="845"/>
      <c r="Z351" s="845"/>
      <c r="AA351" s="845"/>
      <c r="AB351" s="845"/>
      <c r="AC351" s="847"/>
      <c r="AD351" s="845"/>
      <c r="AE351" s="845"/>
      <c r="AF351" s="845"/>
      <c r="AG351" s="845"/>
      <c r="AH351" s="845"/>
      <c r="AI351" s="845"/>
      <c r="AJ351" s="845"/>
      <c r="AK351" s="845"/>
      <c r="AL351" s="845"/>
      <c r="AM351" s="845"/>
      <c r="AN351" s="845"/>
      <c r="AO351" s="845"/>
      <c r="AP351" s="845"/>
      <c r="AQ351" s="845"/>
      <c r="AR351" s="845"/>
      <c r="AS351" s="845"/>
      <c r="AT351" s="845"/>
      <c r="AU351" s="845"/>
      <c r="AV351" s="845"/>
      <c r="AW351" s="845"/>
      <c r="AX351" s="845"/>
      <c r="AY351" s="845"/>
      <c r="AZ351" s="845"/>
      <c r="BA351" s="845"/>
      <c r="BB351" s="845"/>
      <c r="BC351" s="845"/>
      <c r="BD351" s="845"/>
      <c r="BE351" s="845"/>
      <c r="BF351" s="845"/>
      <c r="BG351" s="845"/>
      <c r="BH351" s="845"/>
      <c r="BI351" s="845"/>
      <c r="BJ351" s="845"/>
      <c r="BK351" s="823"/>
      <c r="BL351" s="823"/>
    </row>
    <row r="352" spans="2:64">
      <c r="B352" s="828" t="s">
        <v>42</v>
      </c>
      <c r="C352" s="1258">
        <v>8.5176991150442527E-2</v>
      </c>
      <c r="D352" s="1258">
        <v>1.091226538629364E-3</v>
      </c>
      <c r="E352" s="1259">
        <v>4.2847725774554979E-2</v>
      </c>
      <c r="F352" s="1009">
        <f t="shared" ref="F352:W352" si="809">F350/C350-1</f>
        <v>2.7115188583078487E-2</v>
      </c>
      <c r="G352" s="1009">
        <f t="shared" si="809"/>
        <v>3.6407237846086682E-2</v>
      </c>
      <c r="H352" s="1259">
        <f t="shared" si="809"/>
        <v>3.1605562579013924E-2</v>
      </c>
      <c r="I352" s="1009">
        <f t="shared" si="809"/>
        <v>3.9896784438269162E-2</v>
      </c>
      <c r="J352" s="1009">
        <f t="shared" si="809"/>
        <v>3.5969709718131959E-2</v>
      </c>
      <c r="K352" s="1010">
        <f t="shared" si="809"/>
        <v>3.7990196078431238E-2</v>
      </c>
      <c r="L352" s="1009">
        <f t="shared" si="809"/>
        <v>3.6075586944073201E-2</v>
      </c>
      <c r="M352" s="1009">
        <f t="shared" si="809"/>
        <v>6.700507614213036E-3</v>
      </c>
      <c r="N352" s="1259">
        <f t="shared" si="809"/>
        <v>2.1841794569067208E-2</v>
      </c>
      <c r="O352" s="1259">
        <f t="shared" si="809"/>
        <v>0.14904200442151816</v>
      </c>
      <c r="P352" s="1259">
        <f t="shared" si="809"/>
        <v>0.15631302944735781</v>
      </c>
      <c r="Q352" s="1259">
        <f t="shared" si="809"/>
        <v>0.15251299826689779</v>
      </c>
      <c r="R352" s="1259">
        <f t="shared" si="809"/>
        <v>-2.9020362353695761E-2</v>
      </c>
      <c r="S352" s="1259">
        <f t="shared" si="809"/>
        <v>5.7910343624629324E-2</v>
      </c>
      <c r="T352" s="1259">
        <f t="shared" si="809"/>
        <v>1.261487050960719E-2</v>
      </c>
      <c r="U352" s="1009">
        <f t="shared" si="809"/>
        <v>0.12599075297225881</v>
      </c>
      <c r="V352" s="1009">
        <f>V350/S350-1</f>
        <v>3.4460016488046419E-2</v>
      </c>
      <c r="W352" s="1259">
        <f t="shared" si="809"/>
        <v>8.0191403349558765E-2</v>
      </c>
      <c r="X352" s="1009">
        <f t="shared" ref="X352" si="810">X350/U350-1</f>
        <v>-1.3198416190057238E-2</v>
      </c>
      <c r="Y352" s="1009">
        <f>Y350/V350-1</f>
        <v>-1.3866751673573541E-2</v>
      </c>
      <c r="Z352" s="1009">
        <f t="shared" ref="Z352" si="811">Z350/W350-1</f>
        <v>-1.3518674100664541E-2</v>
      </c>
      <c r="AA352" s="1009">
        <f t="shared" ref="AA352" si="812">AA350/X350-1</f>
        <v>4.9933125278644797E-2</v>
      </c>
      <c r="AB352" s="1009">
        <f>AB350/Y350-1</f>
        <v>5.9156295458218988E-2</v>
      </c>
      <c r="AC352" s="1011">
        <f>AC350/Z350-1</f>
        <v>5.4351192319603614E-2</v>
      </c>
      <c r="AD352" s="1009">
        <f>AD350/AA350-1</f>
        <v>4.1068478260869457E-2</v>
      </c>
      <c r="AE352" s="1009">
        <f t="shared" ref="AE352" si="813">AE350/AB350-1</f>
        <v>6.3407288487835833E-2</v>
      </c>
      <c r="AF352" s="1259">
        <f>AF350/AC350-1</f>
        <v>5.1817943925233534E-2</v>
      </c>
      <c r="AG352" s="1009">
        <f t="shared" ref="AG352" si="814">AG350/AD350-1</f>
        <v>6.1730351681956952E-2</v>
      </c>
      <c r="AH352" s="1009">
        <f t="shared" ref="AH352" si="815">AH350/AE350-1</f>
        <v>4.8307629589485979E-2</v>
      </c>
      <c r="AI352" s="1259">
        <f>AI350/AF350-1</f>
        <v>5.520015151515123E-2</v>
      </c>
      <c r="AJ352" s="1259"/>
      <c r="AK352" s="1259"/>
      <c r="AL352" s="1259">
        <f>AL350/AI350-1</f>
        <v>4.2417011834319229E-2</v>
      </c>
      <c r="AM352" s="1259"/>
      <c r="AN352" s="1259"/>
      <c r="AO352" s="1259">
        <f>AO350/AL350-1</f>
        <v>4.2274415204678117E-2</v>
      </c>
      <c r="AP352" s="1259"/>
      <c r="AQ352" s="1259"/>
      <c r="AR352" s="1259">
        <f>AR350/AO350-1</f>
        <v>4.2135115606936058E-2</v>
      </c>
      <c r="AS352" s="1259"/>
      <c r="AT352" s="1259"/>
      <c r="AU352" s="1259">
        <f>AU350/AR350-1</f>
        <v>4.1998999999999675E-2</v>
      </c>
      <c r="AV352" s="1259"/>
      <c r="AW352" s="1259"/>
      <c r="AX352" s="1259">
        <f>AX350/AU350-1</f>
        <v>4.1865960451977102E-2</v>
      </c>
      <c r="AY352" s="1259"/>
      <c r="AZ352" s="1259"/>
      <c r="BA352" s="1259">
        <f>BA350/AX350-1</f>
        <v>4.1735893854748296E-2</v>
      </c>
      <c r="BB352" s="1259"/>
      <c r="BC352" s="1259"/>
      <c r="BD352" s="1259">
        <f>BD350/BA350-1</f>
        <v>4.1608701657458225E-2</v>
      </c>
      <c r="BE352" s="1259"/>
      <c r="BF352" s="1259"/>
      <c r="BG352" s="1259">
        <f>BG350/BD350-1</f>
        <v>4.1484289617485848E-2</v>
      </c>
      <c r="BH352" s="1259"/>
      <c r="BI352" s="1259"/>
      <c r="BJ352" s="1259">
        <f t="shared" ref="BJ352" si="816">BJ350/BG350-1</f>
        <v>4.136256756756751E-2</v>
      </c>
    </row>
    <row r="353" spans="2:64" s="942" customFormat="1">
      <c r="B353" s="942" t="s">
        <v>153</v>
      </c>
      <c r="C353" s="1260">
        <v>0.06</v>
      </c>
      <c r="D353" s="951">
        <v>2.821649934526408E-2</v>
      </c>
      <c r="E353" s="1261">
        <v>4.3999999999999997E-2</v>
      </c>
      <c r="F353" s="1261">
        <v>1.0999999999999999E-2</v>
      </c>
      <c r="G353" s="1261">
        <f>((H353*E350-F353*C350))/D350</f>
        <v>2.9623937213865276E-2</v>
      </c>
      <c r="H353" s="1261">
        <v>0.02</v>
      </c>
      <c r="I353" s="1261">
        <v>3.2000000000000001E-2</v>
      </c>
      <c r="J353" s="1261"/>
      <c r="K353" s="1262">
        <v>3.3000000000000002E-2</v>
      </c>
      <c r="L353" s="1261">
        <v>3.3000000000000002E-2</v>
      </c>
      <c r="M353" s="1261">
        <f>(N353-(L350/N350*L353))/(M350/N350)</f>
        <v>2.0431222267043164E-2</v>
      </c>
      <c r="N353" s="1261">
        <v>2.7E-2</v>
      </c>
      <c r="O353" s="1261">
        <v>0.17100000000000001</v>
      </c>
      <c r="P353" s="1261">
        <f>(Q353-(O350/Q350*O353))/(P350/Q350)</f>
        <v>0.17935164835164832</v>
      </c>
      <c r="Q353" s="1261">
        <v>0.17499999999999999</v>
      </c>
      <c r="R353" s="1261">
        <v>-5.8999999999999997E-2</v>
      </c>
      <c r="S353" s="1261">
        <v>5.0000000000000001E-3</v>
      </c>
      <c r="T353" s="1261">
        <v>-2.8000000000000001E-2</v>
      </c>
      <c r="U353" s="1261">
        <v>0.11</v>
      </c>
      <c r="V353" s="1261">
        <v>7.0000000000000007E-2</v>
      </c>
      <c r="W353" s="1261">
        <v>9.0999999999999998E-2</v>
      </c>
      <c r="X353" s="1261">
        <v>-0.03</v>
      </c>
      <c r="Y353" s="1261">
        <f>(1+Y352)/((1+Y354)*(1+Y355))-1</f>
        <v>-2.1377832639619787E-2</v>
      </c>
      <c r="Z353" s="1261">
        <v>-2.1999999999999999E-2</v>
      </c>
      <c r="AA353" s="1261">
        <v>2.5999999999999999E-2</v>
      </c>
      <c r="AB353" s="1261">
        <v>4.2999999999999997E-2</v>
      </c>
      <c r="AC353" s="1263">
        <v>3.5000000000000003E-2</v>
      </c>
      <c r="AD353" s="1009">
        <f t="shared" ref="AD353:AE353" si="817">(1+AD352)/((1+AD354)*(1+AD355))-1</f>
        <v>3.2376636455186292E-2</v>
      </c>
      <c r="AE353" s="1009">
        <f>(1+AE352)/((1+AE354)*(1+AE355))-1</f>
        <v>4.4286343741831491E-2</v>
      </c>
      <c r="AF353" s="1009">
        <f>(1+AF352)/((1+AF354)*(1+AF355))-1</f>
        <v>3.0354108235294053E-2</v>
      </c>
      <c r="AG353" s="1009">
        <f t="shared" ref="AF353:AU353" si="818">(1+AG352)/((1+AG354)*(1+AG355))-1</f>
        <v>3.8162018489984462E-2</v>
      </c>
      <c r="AH353" s="1009">
        <f t="shared" si="818"/>
        <v>3.4413030406603484E-2</v>
      </c>
      <c r="AI353" s="1009">
        <f t="shared" si="818"/>
        <v>3.6506859756097354E-2</v>
      </c>
      <c r="AJ353" s="1009"/>
      <c r="AK353" s="1009"/>
      <c r="AL353" s="1009">
        <f t="shared" si="818"/>
        <v>3.3282047477744436E-2</v>
      </c>
      <c r="AM353" s="1009"/>
      <c r="AN353" s="1009"/>
      <c r="AO353" s="1009">
        <f t="shared" si="818"/>
        <v>3.3246187683284134E-2</v>
      </c>
      <c r="AP353" s="1009"/>
      <c r="AQ353" s="1009"/>
      <c r="AR353" s="1009">
        <f t="shared" si="818"/>
        <v>3.3211159420289516E-2</v>
      </c>
      <c r="AS353" s="1009"/>
      <c r="AT353" s="1009"/>
      <c r="AU353" s="1009">
        <f t="shared" si="818"/>
        <v>3.3176934097421062E-2</v>
      </c>
      <c r="AV353" s="1009"/>
      <c r="AW353" s="1009"/>
      <c r="AX353" s="1009">
        <f t="shared" ref="AX353:BA353" si="819">(1+AX352)/((1+AX354)*(1+AX355))-1</f>
        <v>3.3143484419263292E-2</v>
      </c>
      <c r="AY353" s="1009"/>
      <c r="AZ353" s="1009"/>
      <c r="BA353" s="1009">
        <f t="shared" si="819"/>
        <v>3.3110784313725272E-2</v>
      </c>
      <c r="BB353" s="1009"/>
      <c r="BC353" s="1009"/>
      <c r="BD353" s="1009">
        <f t="shared" ref="BD353:BG353" si="820">(1+BD352)/((1+BD354)*(1+BD355))-1</f>
        <v>3.3078808864265508E-2</v>
      </c>
      <c r="BE353" s="1009"/>
      <c r="BF353" s="1009"/>
      <c r="BG353" s="1009">
        <f t="shared" si="820"/>
        <v>3.3047534246574806E-2</v>
      </c>
      <c r="BH353" s="1009"/>
      <c r="BI353" s="1009"/>
      <c r="BJ353" s="1009">
        <f t="shared" ref="BJ353" si="821">(1+BJ352)/((1+BJ354)*(1+BJ355))-1</f>
        <v>3.3016937669376745E-2</v>
      </c>
      <c r="BK353" s="810"/>
      <c r="BL353" s="1040"/>
    </row>
    <row r="354" spans="2:64" s="950" customFormat="1">
      <c r="B354" s="950" t="s">
        <v>813</v>
      </c>
      <c r="C354" s="943"/>
      <c r="D354" s="902"/>
      <c r="E354" s="944"/>
      <c r="F354" s="944">
        <f t="shared" ref="F354:AB354" si="822">F332/C332-1</f>
        <v>2.1472392638036908E-2</v>
      </c>
      <c r="G354" s="944">
        <f t="shared" si="822"/>
        <v>-1.2084592145015116E-2</v>
      </c>
      <c r="H354" s="944">
        <f t="shared" si="822"/>
        <v>-6.1162079510703737E-3</v>
      </c>
      <c r="I354" s="944">
        <f t="shared" si="822"/>
        <v>-3.9039039039039047E-2</v>
      </c>
      <c r="J354" s="944">
        <f t="shared" si="822"/>
        <v>-1.5290519877675823E-2</v>
      </c>
      <c r="K354" s="1089">
        <f t="shared" si="822"/>
        <v>-1.538461538461533E-2</v>
      </c>
      <c r="L354" s="944">
        <f t="shared" si="822"/>
        <v>3.1250000000000444E-3</v>
      </c>
      <c r="M354" s="944">
        <f t="shared" si="822"/>
        <v>-6.2111801242236142E-3</v>
      </c>
      <c r="N354" s="944">
        <f t="shared" si="822"/>
        <v>3.1250000000000444E-3</v>
      </c>
      <c r="O354" s="944">
        <f t="shared" si="822"/>
        <v>-1.2461059190031154E-2</v>
      </c>
      <c r="P354" s="944">
        <f t="shared" si="822"/>
        <v>-3.125E-2</v>
      </c>
      <c r="Q354" s="944">
        <f t="shared" si="822"/>
        <v>-2.4922118380062308E-2</v>
      </c>
      <c r="R354" s="944">
        <f t="shared" si="822"/>
        <v>-3.1545741324921162E-2</v>
      </c>
      <c r="S354" s="944">
        <f t="shared" si="822"/>
        <v>-3.225806451612856E-3</v>
      </c>
      <c r="T354" s="944">
        <f t="shared" si="822"/>
        <v>-1.5974440894568676E-2</v>
      </c>
      <c r="U354" s="852">
        <f t="shared" si="822"/>
        <v>9.7719869706840434E-3</v>
      </c>
      <c r="V354" s="852">
        <f t="shared" si="822"/>
        <v>1.6181229773462702E-2</v>
      </c>
      <c r="W354" s="944">
        <f t="shared" si="822"/>
        <v>1.9480519480519431E-2</v>
      </c>
      <c r="X354" s="852">
        <f t="shared" si="822"/>
        <v>2.5806451612903292E-2</v>
      </c>
      <c r="Y354" s="852">
        <f t="shared" si="822"/>
        <v>1.2738853503184711E-2</v>
      </c>
      <c r="Z354" s="852">
        <f t="shared" si="822"/>
        <v>1.2738853503184711E-2</v>
      </c>
      <c r="AA354" s="852">
        <f t="shared" si="822"/>
        <v>1.2578616352201255E-2</v>
      </c>
      <c r="AB354" s="852">
        <f t="shared" si="822"/>
        <v>2.2012578616352307E-2</v>
      </c>
      <c r="AC354" s="853">
        <f>AC332/Z332-1</f>
        <v>9.4339622641510523E-3</v>
      </c>
      <c r="AD354" s="852">
        <f t="shared" ref="AD354:AF354" si="823">AD332/AA332-1</f>
        <v>1.552795031055898E-2</v>
      </c>
      <c r="AE354" s="852">
        <f t="shared" si="823"/>
        <v>2.4615384615384706E-2</v>
      </c>
      <c r="AF354" s="852">
        <f t="shared" si="823"/>
        <v>2.8037383177569986E-2</v>
      </c>
      <c r="AG354" s="852">
        <f t="shared" ref="AG354" si="824">AG332/AD332-1</f>
        <v>3.0581039755351647E-2</v>
      </c>
      <c r="AH354" s="852">
        <f t="shared" ref="AH354" si="825">AH332/AE332-1</f>
        <v>1.8018018018018056E-2</v>
      </c>
      <c r="AI354" s="852">
        <f>AI332/AF332-1</f>
        <v>2.4242424242424176E-2</v>
      </c>
      <c r="AJ354" s="852"/>
      <c r="AK354" s="852"/>
      <c r="AL354" s="852">
        <f>AL332/AI332-1</f>
        <v>1.1834319526627279E-2</v>
      </c>
      <c r="AM354" s="852"/>
      <c r="AN354" s="852"/>
      <c r="AO354" s="852">
        <f>AO332/AL332-1</f>
        <v>1.1695906432748648E-2</v>
      </c>
      <c r="AP354" s="852"/>
      <c r="AQ354" s="852"/>
      <c r="AR354" s="852">
        <f>AR332/AO332-1</f>
        <v>1.1560693641618602E-2</v>
      </c>
      <c r="AS354" s="852"/>
      <c r="AT354" s="852"/>
      <c r="AU354" s="852">
        <f>AU332/AR332-1</f>
        <v>1.1428571428571344E-2</v>
      </c>
      <c r="AV354" s="852"/>
      <c r="AW354" s="852"/>
      <c r="AX354" s="852">
        <f>AX332/AU332-1</f>
        <v>1.1299435028248483E-2</v>
      </c>
      <c r="AY354" s="852"/>
      <c r="AZ354" s="852"/>
      <c r="BA354" s="852">
        <f>BA332/AX332-1</f>
        <v>1.1173184357541999E-2</v>
      </c>
      <c r="BB354" s="852"/>
      <c r="BC354" s="852"/>
      <c r="BD354" s="852">
        <f>BD332/BA332-1</f>
        <v>1.1049723756906049E-2</v>
      </c>
      <c r="BE354" s="852"/>
      <c r="BF354" s="852"/>
      <c r="BG354" s="852">
        <f>BG332/BD332-1</f>
        <v>1.0928961748633892E-2</v>
      </c>
      <c r="BH354" s="852"/>
      <c r="BI354" s="852"/>
      <c r="BJ354" s="852">
        <f t="shared" ref="BJ354" si="826">BJ332/BG332-1</f>
        <v>1.08108108108107E-2</v>
      </c>
      <c r="BK354" s="1171"/>
      <c r="BL354" s="1199"/>
    </row>
    <row r="355" spans="2:64" s="950" customFormat="1">
      <c r="B355" s="950" t="s">
        <v>814</v>
      </c>
      <c r="C355" s="943"/>
      <c r="D355" s="902"/>
      <c r="E355" s="944"/>
      <c r="F355" s="944">
        <f t="shared" ref="F355:W355" si="827">(1+F352)/((1+F353)*(1+F354))-1</f>
        <v>-5.416242717246722E-3</v>
      </c>
      <c r="G355" s="944">
        <f t="shared" si="827"/>
        <v>1.8901138858722133E-2</v>
      </c>
      <c r="H355" s="944">
        <f t="shared" si="827"/>
        <v>1.7601867159389162E-2</v>
      </c>
      <c r="I355" s="944">
        <f t="shared" si="827"/>
        <v>4.8587782273327385E-2</v>
      </c>
      <c r="J355" s="944">
        <f t="shared" si="827"/>
        <v>5.205619589387922E-2</v>
      </c>
      <c r="K355" s="1089">
        <f t="shared" si="827"/>
        <v>2.0531261270238854E-2</v>
      </c>
      <c r="L355" s="944">
        <f t="shared" si="827"/>
        <v>-1.4720509147236882E-4</v>
      </c>
      <c r="M355" s="944">
        <f t="shared" si="827"/>
        <v>-7.2898950148886366E-3</v>
      </c>
      <c r="N355" s="944">
        <f t="shared" si="827"/>
        <v>-8.1222134393144074E-3</v>
      </c>
      <c r="O355" s="944">
        <f t="shared" si="827"/>
        <v>-6.3698060130673584E-3</v>
      </c>
      <c r="P355" s="944">
        <f t="shared" si="827"/>
        <v>1.209291683307212E-2</v>
      </c>
      <c r="Q355" s="944">
        <f t="shared" si="827"/>
        <v>5.9320846813246675E-3</v>
      </c>
      <c r="R355" s="944">
        <f t="shared" si="827"/>
        <v>6.5470392000603894E-2</v>
      </c>
      <c r="S355" s="944">
        <f t="shared" si="827"/>
        <v>5.6053733029464592E-2</v>
      </c>
      <c r="T355" s="944">
        <f t="shared" si="827"/>
        <v>5.869693786244401E-2</v>
      </c>
      <c r="U355" s="944">
        <f t="shared" si="827"/>
        <v>4.589250690158142E-3</v>
      </c>
      <c r="V355" s="852">
        <v>-5.0000000000000001E-3</v>
      </c>
      <c r="W355" s="852">
        <f t="shared" si="827"/>
        <v>-2.88260281525623E-2</v>
      </c>
      <c r="X355" s="852">
        <f t="shared" ref="X355" si="828">(1+X352)/((1+X353)*(1+X354))-1</f>
        <v>-8.271766254677182E-3</v>
      </c>
      <c r="Y355" s="852">
        <v>-5.0000000000000001E-3</v>
      </c>
      <c r="Z355" s="852">
        <f>(1+Z352)/((1+Z353)*(1+Z354))-1</f>
        <v>-4.015587155177025E-3</v>
      </c>
      <c r="AA355" s="944">
        <f t="shared" ref="AA355:AB355" si="829">(1+AA352)/((1+AA353)*(1+AA354))-1</f>
        <v>1.061450074040482E-2</v>
      </c>
      <c r="AB355" s="944">
        <f t="shared" si="829"/>
        <v>-6.3818808003138772E-3</v>
      </c>
      <c r="AC355" s="853">
        <f>(1+AC352)/((1+AC353)*(1+AC354))-1</f>
        <v>9.1762732934035363E-3</v>
      </c>
      <c r="AD355" s="957">
        <v>-7.0000000000000001E-3</v>
      </c>
      <c r="AE355" s="957">
        <f t="shared" ref="AD355:BG355" si="830">AE354*-0.25</f>
        <v>-6.1538461538461764E-3</v>
      </c>
      <c r="AF355" s="957">
        <f>AF354*-0.25</f>
        <v>-7.0093457943924964E-3</v>
      </c>
      <c r="AG355" s="957">
        <f t="shared" ref="AG355:AH355" si="831">AG354*-0.25</f>
        <v>-7.6452599388379117E-3</v>
      </c>
      <c r="AH355" s="957">
        <f t="shared" si="831"/>
        <v>-4.504504504504514E-3</v>
      </c>
      <c r="AI355" s="957">
        <f t="shared" si="830"/>
        <v>-6.0606060606060441E-3</v>
      </c>
      <c r="AJ355" s="957"/>
      <c r="AK355" s="957"/>
      <c r="AL355" s="957">
        <f t="shared" si="830"/>
        <v>-2.9585798816568198E-3</v>
      </c>
      <c r="AM355" s="957"/>
      <c r="AN355" s="957"/>
      <c r="AO355" s="957">
        <f t="shared" si="830"/>
        <v>-2.9239766081871621E-3</v>
      </c>
      <c r="AP355" s="957"/>
      <c r="AQ355" s="957"/>
      <c r="AR355" s="957">
        <f t="shared" si="830"/>
        <v>-2.8901734104046506E-3</v>
      </c>
      <c r="AS355" s="957"/>
      <c r="AT355" s="957"/>
      <c r="AU355" s="957">
        <f t="shared" si="830"/>
        <v>-2.8571428571428359E-3</v>
      </c>
      <c r="AV355" s="957"/>
      <c r="AW355" s="957"/>
      <c r="AX355" s="957">
        <f t="shared" si="830"/>
        <v>-2.8248587570621209E-3</v>
      </c>
      <c r="AY355" s="957"/>
      <c r="AZ355" s="957"/>
      <c r="BA355" s="957">
        <f t="shared" si="830"/>
        <v>-2.7932960893854997E-3</v>
      </c>
      <c r="BB355" s="957"/>
      <c r="BC355" s="957"/>
      <c r="BD355" s="957">
        <f t="shared" si="830"/>
        <v>-2.7624309392265123E-3</v>
      </c>
      <c r="BE355" s="957"/>
      <c r="BF355" s="957"/>
      <c r="BG355" s="957">
        <f t="shared" si="830"/>
        <v>-2.732240437158473E-3</v>
      </c>
      <c r="BH355" s="957"/>
      <c r="BI355" s="957"/>
      <c r="BJ355" s="957">
        <f t="shared" ref="BJ355" si="832">BJ354*-0.25</f>
        <v>-2.7027027027026751E-3</v>
      </c>
      <c r="BK355" s="1171"/>
      <c r="BL355" s="1199"/>
    </row>
    <row r="356" spans="2:64">
      <c r="C356" s="834"/>
      <c r="D356" s="834"/>
      <c r="F356" s="834"/>
      <c r="G356" s="834"/>
      <c r="I356" s="834"/>
      <c r="J356" s="834"/>
      <c r="L356" s="834"/>
      <c r="M356" s="834"/>
      <c r="U356" s="834"/>
      <c r="V356" s="941"/>
      <c r="X356" s="834"/>
      <c r="Y356" s="834"/>
      <c r="Z356" s="834"/>
      <c r="AA356" s="834"/>
      <c r="AB356" s="834"/>
      <c r="AC356" s="989"/>
      <c r="AD356" s="834"/>
      <c r="AE356" s="834"/>
      <c r="AG356" s="834"/>
      <c r="AH356" s="834"/>
      <c r="AR356" s="989">
        <f>((1+AR353)*(AO353+1)*(AL353+1)*(1+AI353)*(1+AF353))^(1/5)-1</f>
        <v>3.3318236941371815E-2</v>
      </c>
      <c r="BK356" s="1171"/>
      <c r="BL356" s="1264"/>
    </row>
    <row r="357" spans="2:64" s="828" customFormat="1">
      <c r="B357" s="828" t="s">
        <v>155</v>
      </c>
      <c r="C357" s="845">
        <f>MODEL!C10-C75-C272</f>
        <v>222.59759999999997</v>
      </c>
      <c r="D357" s="1195">
        <f>E357-C357</f>
        <v>153.21030000000039</v>
      </c>
      <c r="E357" s="845">
        <f>+E350*E358</f>
        <v>375.80790000000036</v>
      </c>
      <c r="F357" s="845">
        <f>+F350*F358</f>
        <v>227.12197590214066</v>
      </c>
      <c r="G357" s="845">
        <f>+H357-F357</f>
        <v>159.09474419899709</v>
      </c>
      <c r="H357" s="845">
        <f>+H350*H358</f>
        <v>386.21672010113775</v>
      </c>
      <c r="I357" s="845">
        <f>+I350*I358</f>
        <v>238.27901241590212</v>
      </c>
      <c r="J357" s="845">
        <f>K357-I357</f>
        <v>164.64295661064648</v>
      </c>
      <c r="K357" s="846">
        <f>+K350*K358</f>
        <v>402.9219690265486</v>
      </c>
      <c r="L357" s="845">
        <f>+L350*L358</f>
        <v>244.26</v>
      </c>
      <c r="M357" s="845">
        <f>N357-L357</f>
        <v>207.53099999999995</v>
      </c>
      <c r="N357" s="845">
        <f>+N350*N358</f>
        <v>451.79099999999994</v>
      </c>
      <c r="O357" s="845">
        <f>+O350*O358</f>
        <v>305.613</v>
      </c>
      <c r="P357" s="845">
        <f>+Q357-O357</f>
        <v>262.96199999999993</v>
      </c>
      <c r="Q357" s="845">
        <f>+Q350*Q358</f>
        <v>568.57499999999993</v>
      </c>
      <c r="R357" s="845">
        <f>+R350*R358</f>
        <v>290.68799999999999</v>
      </c>
      <c r="S357" s="845">
        <f>+T357-R357</f>
        <v>275.3626999999999</v>
      </c>
      <c r="T357" s="845">
        <f>+T350*T358</f>
        <v>566.05069999999989</v>
      </c>
      <c r="U357" s="845">
        <f>+U350*U358</f>
        <v>327.31199999999995</v>
      </c>
      <c r="V357" s="845">
        <f>+W357-U357</f>
        <v>276.27529999999996</v>
      </c>
      <c r="W357" s="845">
        <f t="shared" ref="W357:AU357" si="833">+W350*W358</f>
        <v>603.58729999999991</v>
      </c>
      <c r="X357" s="845">
        <f>+X350*X358</f>
        <v>318.2817</v>
      </c>
      <c r="Y357" s="845">
        <f>+Z357-X357</f>
        <v>261.6466999999999</v>
      </c>
      <c r="Z357" s="845">
        <f t="shared" si="833"/>
        <v>579.9283999999999</v>
      </c>
      <c r="AA357" s="845">
        <f>+AA350*AA358</f>
        <v>323.577</v>
      </c>
      <c r="AB357" s="845">
        <f>+AC357-AA357</f>
        <v>271.52959999999996</v>
      </c>
      <c r="AC357" s="847">
        <f t="shared" si="833"/>
        <v>595.10659999999996</v>
      </c>
      <c r="AD357" s="845">
        <f>+AD350*AD358</f>
        <v>337.60132987010866</v>
      </c>
      <c r="AE357" s="845">
        <f>+AF357-AD357</f>
        <v>289.77483623426508</v>
      </c>
      <c r="AF357" s="845">
        <f t="shared" si="833"/>
        <v>627.37616610437374</v>
      </c>
      <c r="AG357" s="845">
        <f>+AG350*AG358</f>
        <v>358.44157869128679</v>
      </c>
      <c r="AH357" s="845">
        <f>+AI357-AG357</f>
        <v>304.32156307823294</v>
      </c>
      <c r="AI357" s="845">
        <f t="shared" si="833"/>
        <v>662.76314176951973</v>
      </c>
      <c r="AJ357" s="845"/>
      <c r="AK357" s="845"/>
      <c r="AL357" s="845">
        <f t="shared" si="833"/>
        <v>692.45111672501002</v>
      </c>
      <c r="AM357" s="845"/>
      <c r="AN357" s="845"/>
      <c r="AO357" s="845">
        <f t="shared" si="833"/>
        <v>722.38094197582643</v>
      </c>
      <c r="AP357" s="845"/>
      <c r="AQ357" s="845"/>
      <c r="AR357" s="845">
        <f t="shared" si="833"/>
        <v>753.50308255140385</v>
      </c>
      <c r="AS357" s="845"/>
      <c r="AT357" s="845"/>
      <c r="AU357" s="845">
        <f t="shared" si="833"/>
        <v>785.86274441919613</v>
      </c>
      <c r="AV357" s="845"/>
      <c r="AW357" s="845"/>
      <c r="AX357" s="845">
        <f t="shared" ref="AX357:BA357" si="834">+AX350*AX358</f>
        <v>819.5067913008844</v>
      </c>
      <c r="AY357" s="845"/>
      <c r="AZ357" s="845"/>
      <c r="BA357" s="845">
        <f t="shared" si="834"/>
        <v>854.48380401771419</v>
      </c>
      <c r="BB357" s="845"/>
      <c r="BC357" s="845"/>
      <c r="BD357" s="845">
        <f t="shared" ref="BD357:BG357" si="835">+BD350*BD358</f>
        <v>890.8441419218733</v>
      </c>
      <c r="BE357" s="845"/>
      <c r="BF357" s="845"/>
      <c r="BG357" s="845">
        <f t="shared" si="835"/>
        <v>928.64000648619162</v>
      </c>
      <c r="BH357" s="845"/>
      <c r="BI357" s="845"/>
      <c r="BJ357" s="845">
        <f t="shared" ref="BJ357" si="836">+BJ350*BJ358</f>
        <v>967.92550712692127</v>
      </c>
      <c r="BK357" s="810"/>
      <c r="BL357" s="811"/>
    </row>
    <row r="358" spans="2:64">
      <c r="B358" s="812" t="s">
        <v>158</v>
      </c>
      <c r="C358" s="902">
        <f>C357/C350</f>
        <v>0.45381773700305805</v>
      </c>
      <c r="D358" s="902">
        <f>D357/D350</f>
        <v>0.33400981033355215</v>
      </c>
      <c r="E358" s="902">
        <v>0.39592067003792702</v>
      </c>
      <c r="F358" s="944">
        <v>0.45081773700305805</v>
      </c>
      <c r="G358" s="944">
        <v>0.33465448927008218</v>
      </c>
      <c r="H358" s="944">
        <v>0.39442067003792658</v>
      </c>
      <c r="I358" s="944">
        <v>0.45481773700305805</v>
      </c>
      <c r="J358" s="944">
        <v>0.33430041951400302</v>
      </c>
      <c r="K358" s="1089">
        <v>0.39642067003792658</v>
      </c>
      <c r="L358" s="944">
        <v>0.45</v>
      </c>
      <c r="M358" s="944">
        <f>M357/M350</f>
        <v>0.41857805566760786</v>
      </c>
      <c r="N358" s="944">
        <v>0.435</v>
      </c>
      <c r="O358" s="944">
        <f>L358+4%</f>
        <v>0.49</v>
      </c>
      <c r="P358" s="944">
        <f>P357/P350</f>
        <v>0.45868131868131862</v>
      </c>
      <c r="Q358" s="944">
        <f>N358+4%</f>
        <v>0.47499999999999998</v>
      </c>
      <c r="R358" s="944">
        <f>O358-1%</f>
        <v>0.48</v>
      </c>
      <c r="S358" s="944">
        <f>+S357/S350</f>
        <v>0.45401929101401478</v>
      </c>
      <c r="T358" s="1148">
        <f>Q358-0.8%</f>
        <v>0.46699999999999997</v>
      </c>
      <c r="U358" s="1148">
        <f>R358</f>
        <v>0.48</v>
      </c>
      <c r="V358" s="955">
        <f>+V357/V350</f>
        <v>0.44034953777494418</v>
      </c>
      <c r="W358" s="955">
        <f>T358-0.6%</f>
        <v>0.46099999999999997</v>
      </c>
      <c r="X358" s="955">
        <f>U358-0.7%</f>
        <v>0.47299999999999998</v>
      </c>
      <c r="Y358" s="955">
        <f>+Y357/Y350</f>
        <v>0.42289752707289469</v>
      </c>
      <c r="Z358" s="955">
        <f>W358-1.2%</f>
        <v>0.44899999999999995</v>
      </c>
      <c r="AA358" s="1148">
        <f>X358-1.5%</f>
        <v>0.45799999999999996</v>
      </c>
      <c r="AB358" s="955">
        <f>+AB357/AB350</f>
        <v>0.41435922478254233</v>
      </c>
      <c r="AC358" s="1113">
        <f>Z358-1.2%</f>
        <v>0.43699999999999994</v>
      </c>
      <c r="AD358" s="957">
        <f>AA358+0.1%</f>
        <v>0.45899999999999996</v>
      </c>
      <c r="AE358" s="957">
        <f>+AE357/AE350</f>
        <v>0.41583483557292289</v>
      </c>
      <c r="AF358" s="957">
        <f>AC358+0.1%</f>
        <v>0.43799999999999994</v>
      </c>
      <c r="AG358" s="957">
        <f>AD358</f>
        <v>0.45899999999999996</v>
      </c>
      <c r="AH358" s="957">
        <f t="shared" ref="AH358" si="837">AE358-0.3%</f>
        <v>0.41283483557292289</v>
      </c>
      <c r="AI358" s="957">
        <f>AF358+0.05%</f>
        <v>0.43849999999999995</v>
      </c>
      <c r="AJ358" s="957"/>
      <c r="AK358" s="957"/>
      <c r="AL358" s="957">
        <f>AI358+0.1%</f>
        <v>0.43949999999999995</v>
      </c>
      <c r="AM358" s="957">
        <f t="shared" ref="AM358:AN358" si="838">AJ358+0.03%</f>
        <v>2.9999999999999997E-4</v>
      </c>
      <c r="AN358" s="957">
        <f t="shared" si="838"/>
        <v>2.9999999999999997E-4</v>
      </c>
      <c r="AO358" s="957">
        <f>AL358+0.04%</f>
        <v>0.43989999999999996</v>
      </c>
      <c r="AP358" s="957">
        <f t="shared" ref="AP358:BJ358" si="839">AM358+0.04%</f>
        <v>6.9999999999999999E-4</v>
      </c>
      <c r="AQ358" s="957">
        <f t="shared" si="839"/>
        <v>6.9999999999999999E-4</v>
      </c>
      <c r="AR358" s="957">
        <f t="shared" si="839"/>
        <v>0.44029999999999997</v>
      </c>
      <c r="AS358" s="957">
        <f t="shared" si="839"/>
        <v>1.1000000000000001E-3</v>
      </c>
      <c r="AT358" s="957">
        <f t="shared" si="839"/>
        <v>1.1000000000000001E-3</v>
      </c>
      <c r="AU358" s="957">
        <f t="shared" si="839"/>
        <v>0.44069999999999998</v>
      </c>
      <c r="AV358" s="957">
        <f t="shared" si="839"/>
        <v>1.5E-3</v>
      </c>
      <c r="AW358" s="957">
        <f t="shared" si="839"/>
        <v>1.5E-3</v>
      </c>
      <c r="AX358" s="957">
        <f t="shared" si="839"/>
        <v>0.44109999999999999</v>
      </c>
      <c r="AY358" s="957">
        <f t="shared" si="839"/>
        <v>1.9E-3</v>
      </c>
      <c r="AZ358" s="957">
        <f t="shared" si="839"/>
        <v>1.9E-3</v>
      </c>
      <c r="BA358" s="957">
        <f t="shared" si="839"/>
        <v>0.4415</v>
      </c>
      <c r="BB358" s="957">
        <f t="shared" si="839"/>
        <v>2.3E-3</v>
      </c>
      <c r="BC358" s="957">
        <f t="shared" si="839"/>
        <v>2.3E-3</v>
      </c>
      <c r="BD358" s="957">
        <f t="shared" si="839"/>
        <v>0.44190000000000002</v>
      </c>
      <c r="BE358" s="957">
        <f t="shared" si="839"/>
        <v>2.7000000000000001E-3</v>
      </c>
      <c r="BF358" s="957">
        <f t="shared" si="839"/>
        <v>2.7000000000000001E-3</v>
      </c>
      <c r="BG358" s="957">
        <f t="shared" si="839"/>
        <v>0.44230000000000003</v>
      </c>
      <c r="BH358" s="957">
        <f t="shared" si="839"/>
        <v>3.1000000000000003E-3</v>
      </c>
      <c r="BI358" s="957">
        <f t="shared" si="839"/>
        <v>3.1000000000000003E-3</v>
      </c>
      <c r="BJ358" s="957">
        <f t="shared" si="839"/>
        <v>0.44270000000000004</v>
      </c>
    </row>
    <row r="359" spans="2:64">
      <c r="C359" s="902"/>
      <c r="D359" s="902"/>
      <c r="E359" s="958"/>
      <c r="F359" s="944"/>
      <c r="G359" s="944"/>
      <c r="H359" s="1266"/>
      <c r="I359" s="944"/>
      <c r="J359" s="944"/>
      <c r="K359" s="1077"/>
      <c r="L359" s="944"/>
      <c r="M359" s="944"/>
      <c r="N359" s="1266"/>
      <c r="O359" s="1266"/>
      <c r="P359" s="1266"/>
      <c r="Q359" s="1266"/>
      <c r="R359" s="1266"/>
      <c r="S359" s="1266"/>
      <c r="T359" s="1266"/>
      <c r="U359" s="944"/>
      <c r="V359" s="944"/>
      <c r="W359" s="1266"/>
      <c r="X359" s="944"/>
      <c r="Y359" s="944"/>
      <c r="Z359" s="1266"/>
      <c r="AA359" s="944"/>
      <c r="AB359" s="944"/>
      <c r="AC359" s="1078"/>
      <c r="AD359" s="944"/>
      <c r="AE359" s="944"/>
      <c r="AF359" s="1266"/>
      <c r="AG359" s="944"/>
      <c r="AH359" s="944"/>
      <c r="AI359" s="1266"/>
      <c r="AJ359" s="1266"/>
      <c r="AK359" s="1266"/>
      <c r="AL359" s="1266"/>
      <c r="AM359" s="1266"/>
      <c r="AN359" s="1266"/>
      <c r="AO359" s="1266"/>
      <c r="AP359" s="1266"/>
      <c r="AQ359" s="1266"/>
      <c r="AR359" s="1266"/>
      <c r="AS359" s="1266"/>
      <c r="AT359" s="1266"/>
      <c r="AU359" s="1266"/>
      <c r="AV359" s="1266"/>
      <c r="AW359" s="1266"/>
      <c r="AX359" s="1266"/>
      <c r="AY359" s="1266"/>
      <c r="AZ359" s="1266"/>
      <c r="BA359" s="1266"/>
      <c r="BB359" s="1266"/>
      <c r="BC359" s="1266"/>
      <c r="BD359" s="1266"/>
      <c r="BE359" s="1266"/>
      <c r="BF359" s="1266"/>
      <c r="BG359" s="1266"/>
      <c r="BH359" s="1266"/>
      <c r="BI359" s="1266"/>
      <c r="BJ359" s="1266"/>
    </row>
    <row r="360" spans="2:64">
      <c r="B360" s="828" t="s">
        <v>222</v>
      </c>
      <c r="C360" s="1267">
        <f t="shared" ref="C360:W360" si="840">-C357+C364</f>
        <v>-159.59759999999997</v>
      </c>
      <c r="D360" s="1267">
        <f t="shared" si="840"/>
        <v>-101.11030000000039</v>
      </c>
      <c r="E360" s="845">
        <f t="shared" si="840"/>
        <v>-260.70790000000034</v>
      </c>
      <c r="F360" s="845">
        <f t="shared" si="840"/>
        <v>-164.12197590214066</v>
      </c>
      <c r="G360" s="845">
        <f t="shared" si="840"/>
        <v>-106.39474419899709</v>
      </c>
      <c r="H360" s="845">
        <f t="shared" si="840"/>
        <v>-270.51672010113776</v>
      </c>
      <c r="I360" s="845">
        <f t="shared" si="840"/>
        <v>-170.07901241590213</v>
      </c>
      <c r="J360" s="845">
        <f t="shared" si="840"/>
        <v>-110.24295661064649</v>
      </c>
      <c r="K360" s="846">
        <f t="shared" si="840"/>
        <v>-280.32196902654857</v>
      </c>
      <c r="L360" s="845">
        <f t="shared" si="840"/>
        <v>-139.16</v>
      </c>
      <c r="M360" s="845">
        <f t="shared" si="840"/>
        <v>-107.53099999999995</v>
      </c>
      <c r="N360" s="845">
        <f t="shared" si="840"/>
        <v>-246.69099999999995</v>
      </c>
      <c r="O360" s="845">
        <f t="shared" si="840"/>
        <v>-148.81299999999999</v>
      </c>
      <c r="P360" s="845">
        <f t="shared" si="840"/>
        <v>-133.86199999999997</v>
      </c>
      <c r="Q360" s="845">
        <f>-Q357+Q364</f>
        <v>-282.67499999999995</v>
      </c>
      <c r="R360" s="845">
        <f t="shared" si="840"/>
        <v>-164.988</v>
      </c>
      <c r="S360" s="845">
        <f>T360-R360</f>
        <v>-136.46269999999987</v>
      </c>
      <c r="T360" s="845">
        <f t="shared" si="840"/>
        <v>-301.45069999999987</v>
      </c>
      <c r="U360" s="845">
        <f t="shared" si="840"/>
        <v>-177.11199999999997</v>
      </c>
      <c r="V360" s="845">
        <f>+W360-U360</f>
        <v>-143.67529999999994</v>
      </c>
      <c r="W360" s="845">
        <f t="shared" si="840"/>
        <v>-320.7872999999999</v>
      </c>
      <c r="X360" s="845">
        <f t="shared" ref="X360" si="841">-X357+X364</f>
        <v>-182.08170000000001</v>
      </c>
      <c r="Y360" s="845">
        <f>+Z360-X360</f>
        <v>-150.54669999999987</v>
      </c>
      <c r="Z360" s="845">
        <f t="shared" ref="Z360:AA360" si="842">-Z357+Z364</f>
        <v>-332.62839999999989</v>
      </c>
      <c r="AA360" s="845">
        <f t="shared" si="842"/>
        <v>-189.67699999999999</v>
      </c>
      <c r="AB360" s="845">
        <f>+AC360-AA360</f>
        <v>-150.12959999999995</v>
      </c>
      <c r="AC360" s="847">
        <f>-AC357+AC364</f>
        <v>-339.80659999999995</v>
      </c>
      <c r="AD360" s="845">
        <f t="shared" ref="AD360" si="843">AD350*AD361</f>
        <v>-196.28992194326085</v>
      </c>
      <c r="AE360" s="845">
        <f>+AF360-AD360</f>
        <v>-158.83297231930359</v>
      </c>
      <c r="AF360" s="845">
        <f>AF350*AF361</f>
        <v>-355.12289426256444</v>
      </c>
      <c r="AG360" s="845">
        <f t="shared" ref="AG360:AU360" si="844">AG350*AG361</f>
        <v>-207.62604938434791</v>
      </c>
      <c r="AH360" s="845">
        <f>+AI360-AG360</f>
        <v>-165.13482022611547</v>
      </c>
      <c r="AI360" s="845">
        <f t="shared" si="844"/>
        <v>-372.76086961046337</v>
      </c>
      <c r="AJ360" s="845"/>
      <c r="AK360" s="845"/>
      <c r="AL360" s="845">
        <f t="shared" si="844"/>
        <v>-386.52406602208902</v>
      </c>
      <c r="AM360" s="845"/>
      <c r="AN360" s="845"/>
      <c r="AO360" s="845">
        <f t="shared" si="844"/>
        <v>-402.37150045062714</v>
      </c>
      <c r="AP360" s="845"/>
      <c r="AQ360" s="845"/>
      <c r="AR360" s="845">
        <f t="shared" si="844"/>
        <v>-418.81206808416658</v>
      </c>
      <c r="AS360" s="845"/>
      <c r="AT360" s="845"/>
      <c r="AU360" s="845">
        <f t="shared" si="844"/>
        <v>-435.86679170384633</v>
      </c>
      <c r="AV360" s="845"/>
      <c r="AW360" s="845"/>
      <c r="AX360" s="845">
        <f t="shared" ref="AX360:BA360" si="845">AX350*AX361</f>
        <v>-453.55741234028574</v>
      </c>
      <c r="AY360" s="845"/>
      <c r="AZ360" s="845"/>
      <c r="BA360" s="845">
        <f t="shared" si="845"/>
        <v>-471.90641316236616</v>
      </c>
      <c r="BB360" s="845"/>
      <c r="BC360" s="845"/>
      <c r="BD360" s="845">
        <f t="shared" ref="BD360:BG360" si="846">BD350*BD361</f>
        <v>-490.93704414413838</v>
      </c>
      <c r="BE360" s="845"/>
      <c r="BF360" s="845"/>
      <c r="BG360" s="845">
        <f t="shared" si="846"/>
        <v>-510.67334753477337</v>
      </c>
      <c r="BH360" s="845"/>
      <c r="BI360" s="845"/>
      <c r="BJ360" s="845">
        <f t="shared" ref="BJ360" si="847">BJ350*BJ361</f>
        <v>-531.14018415726264</v>
      </c>
    </row>
    <row r="361" spans="2:64" s="1270" customFormat="1">
      <c r="B361" s="812" t="s">
        <v>768</v>
      </c>
      <c r="C361" s="902"/>
      <c r="D361" s="902"/>
      <c r="E361" s="902"/>
      <c r="F361" s="944"/>
      <c r="G361" s="944"/>
      <c r="H361" s="852">
        <f t="shared" ref="H361:W361" si="848">H360/H350</f>
        <v>-0.27626299029936452</v>
      </c>
      <c r="I361" s="852">
        <f t="shared" si="848"/>
        <v>-0.3246402222101587</v>
      </c>
      <c r="J361" s="852">
        <f t="shared" si="848"/>
        <v>-0.22384356672212485</v>
      </c>
      <c r="K361" s="988">
        <f t="shared" si="848"/>
        <v>-0.27579886759794231</v>
      </c>
      <c r="L361" s="852">
        <f t="shared" si="848"/>
        <v>-0.25637435519528373</v>
      </c>
      <c r="M361" s="852">
        <f t="shared" si="848"/>
        <v>-0.21688382412263002</v>
      </c>
      <c r="N361" s="852">
        <f t="shared" si="848"/>
        <v>-0.23752262661274789</v>
      </c>
      <c r="O361" s="852">
        <f t="shared" si="848"/>
        <v>-0.23859708193041523</v>
      </c>
      <c r="P361" s="852">
        <f t="shared" si="848"/>
        <v>-0.23349380777952203</v>
      </c>
      <c r="Q361" s="852">
        <f t="shared" si="848"/>
        <v>-0.23615288220551375</v>
      </c>
      <c r="R361" s="852">
        <f t="shared" si="848"/>
        <v>-0.27243725231175692</v>
      </c>
      <c r="S361" s="852">
        <f t="shared" si="848"/>
        <v>-0.22500032976092316</v>
      </c>
      <c r="T361" s="852">
        <f t="shared" si="848"/>
        <v>-0.2487011797706459</v>
      </c>
      <c r="U361" s="852">
        <f t="shared" si="848"/>
        <v>-0.25973309869482325</v>
      </c>
      <c r="V361" s="852">
        <f>V360/V350</f>
        <v>-0.22900111571565179</v>
      </c>
      <c r="W361" s="852">
        <f t="shared" si="848"/>
        <v>-0.24500672114870534</v>
      </c>
      <c r="X361" s="852">
        <f t="shared" ref="X361" si="849">X360/X350</f>
        <v>-0.27059251003120821</v>
      </c>
      <c r="Y361" s="852">
        <f>Y360/Y350</f>
        <v>-0.24332746080491335</v>
      </c>
      <c r="Z361" s="852">
        <f t="shared" ref="Z361:AC361" si="850">Z360/Z350</f>
        <v>-0.25753205326726536</v>
      </c>
      <c r="AA361" s="852">
        <f t="shared" si="850"/>
        <v>-0.26847416843595184</v>
      </c>
      <c r="AB361" s="852">
        <f>AB360/AB350</f>
        <v>-0.22910056462688838</v>
      </c>
      <c r="AC361" s="853">
        <f t="shared" si="850"/>
        <v>-0.24952753708327211</v>
      </c>
      <c r="AD361" s="957">
        <f>AA361+0.16%</f>
        <v>-0.26687416843595185</v>
      </c>
      <c r="AE361" s="957">
        <f>AE360/AE350</f>
        <v>-0.22792967045130261</v>
      </c>
      <c r="AF361" s="957">
        <f>AC361+0.16%</f>
        <v>-0.24792753708327211</v>
      </c>
      <c r="AG361" s="957">
        <f>AD361+0.1%</f>
        <v>-0.26587416843595185</v>
      </c>
      <c r="AH361" s="957">
        <f>AH360/AH350</f>
        <v>-0.22605291453041693</v>
      </c>
      <c r="AI361" s="957">
        <f>AF361+0.13%</f>
        <v>-0.24662753708327212</v>
      </c>
      <c r="AJ361" s="957"/>
      <c r="AK361" s="957"/>
      <c r="AL361" s="957">
        <f>AI361+0.13%</f>
        <v>-0.24532753708327212</v>
      </c>
      <c r="AM361" s="957"/>
      <c r="AN361" s="957"/>
      <c r="AO361" s="957">
        <f>AL361+0.03%</f>
        <v>-0.24502753708327213</v>
      </c>
      <c r="AP361" s="957">
        <f t="shared" ref="AP361:BJ361" si="851">AM361+0.03%</f>
        <v>2.9999999999999997E-4</v>
      </c>
      <c r="AQ361" s="957">
        <f t="shared" si="851"/>
        <v>2.9999999999999997E-4</v>
      </c>
      <c r="AR361" s="957">
        <f t="shared" si="851"/>
        <v>-0.24472753708327213</v>
      </c>
      <c r="AS361" s="957">
        <f t="shared" si="851"/>
        <v>5.9999999999999995E-4</v>
      </c>
      <c r="AT361" s="957">
        <f t="shared" si="851"/>
        <v>5.9999999999999995E-4</v>
      </c>
      <c r="AU361" s="957">
        <f t="shared" si="851"/>
        <v>-0.24442753708327214</v>
      </c>
      <c r="AV361" s="957">
        <f t="shared" si="851"/>
        <v>8.9999999999999998E-4</v>
      </c>
      <c r="AW361" s="957">
        <f t="shared" si="851"/>
        <v>8.9999999999999998E-4</v>
      </c>
      <c r="AX361" s="957">
        <f t="shared" si="851"/>
        <v>-0.24412753708327214</v>
      </c>
      <c r="AY361" s="957">
        <f t="shared" si="851"/>
        <v>1.1999999999999999E-3</v>
      </c>
      <c r="AZ361" s="957">
        <f t="shared" si="851"/>
        <v>1.1999999999999999E-3</v>
      </c>
      <c r="BA361" s="957">
        <f t="shared" si="851"/>
        <v>-0.24382753708327215</v>
      </c>
      <c r="BB361" s="957">
        <f t="shared" si="851"/>
        <v>1.4999999999999998E-3</v>
      </c>
      <c r="BC361" s="957">
        <f t="shared" si="851"/>
        <v>1.4999999999999998E-3</v>
      </c>
      <c r="BD361" s="957">
        <f t="shared" si="851"/>
        <v>-0.24352753708327216</v>
      </c>
      <c r="BE361" s="957">
        <f t="shared" si="851"/>
        <v>1.7999999999999997E-3</v>
      </c>
      <c r="BF361" s="957">
        <f t="shared" si="851"/>
        <v>1.7999999999999997E-3</v>
      </c>
      <c r="BG361" s="957">
        <f t="shared" si="851"/>
        <v>-0.24322753708327216</v>
      </c>
      <c r="BH361" s="957">
        <f t="shared" si="851"/>
        <v>2.0999999999999999E-3</v>
      </c>
      <c r="BI361" s="957">
        <f t="shared" si="851"/>
        <v>2.0999999999999999E-3</v>
      </c>
      <c r="BJ361" s="957">
        <f t="shared" si="851"/>
        <v>-0.24292753708327217</v>
      </c>
      <c r="BK361" s="1268"/>
      <c r="BL361" s="1269"/>
    </row>
    <row r="362" spans="2:64">
      <c r="B362" s="812" t="s">
        <v>806</v>
      </c>
      <c r="C362" s="959"/>
      <c r="D362" s="959"/>
      <c r="E362" s="958"/>
      <c r="F362" s="959"/>
      <c r="G362" s="959"/>
      <c r="H362" s="958"/>
      <c r="I362" s="959"/>
      <c r="J362" s="959"/>
      <c r="K362" s="960"/>
      <c r="L362" s="959">
        <f t="shared" ref="L362:Z362" si="852">(-L360)/(-I360)-1</f>
        <v>-0.18179205051058522</v>
      </c>
      <c r="M362" s="959">
        <f t="shared" si="852"/>
        <v>-2.459981747609119E-2</v>
      </c>
      <c r="N362" s="852">
        <f>(-N360)/(-K360)-1</f>
        <v>-0.11997264839190513</v>
      </c>
      <c r="O362" s="852">
        <f t="shared" si="852"/>
        <v>6.9366197183098555E-2</v>
      </c>
      <c r="P362" s="852">
        <f t="shared" si="852"/>
        <v>0.24486892152030615</v>
      </c>
      <c r="Q362" s="852">
        <f t="shared" si="852"/>
        <v>0.14586669152907894</v>
      </c>
      <c r="R362" s="852">
        <f t="shared" si="852"/>
        <v>0.10869346092075305</v>
      </c>
      <c r="S362" s="852">
        <f t="shared" si="852"/>
        <v>1.9428217119122015E-2</v>
      </c>
      <c r="T362" s="852">
        <f t="shared" si="852"/>
        <v>6.6421508799858309E-2</v>
      </c>
      <c r="U362" s="852">
        <f t="shared" si="852"/>
        <v>7.3484132179309825E-2</v>
      </c>
      <c r="V362" s="852">
        <f t="shared" si="852"/>
        <v>5.2854003328382637E-2</v>
      </c>
      <c r="W362" s="852">
        <f t="shared" si="852"/>
        <v>6.4145148775571093E-2</v>
      </c>
      <c r="X362" s="852">
        <f t="shared" si="852"/>
        <v>2.8059645873797612E-2</v>
      </c>
      <c r="Y362" s="852">
        <f t="shared" ref="Y362" si="853">(-Y360)/(-V360)-1</f>
        <v>4.7825896309246829E-2</v>
      </c>
      <c r="Z362" s="852">
        <f t="shared" si="852"/>
        <v>3.6912620917349148E-2</v>
      </c>
      <c r="AA362" s="852">
        <f t="shared" ref="AA362:AB362" si="854">(-AA360)/(-X360)-1</f>
        <v>4.171369226012267E-2</v>
      </c>
      <c r="AB362" s="852">
        <f t="shared" si="854"/>
        <v>-2.7705688666700423E-3</v>
      </c>
      <c r="AC362" s="853">
        <f t="shared" ref="AC362" si="855">(-AC360)/(-Z360)-1</f>
        <v>2.1580237887083742E-2</v>
      </c>
      <c r="AD362" s="852">
        <f t="shared" ref="AD362" si="856">(-AD360)/(-AA360)-1</f>
        <v>3.4864121339228671E-2</v>
      </c>
      <c r="AE362" s="852">
        <f t="shared" ref="AE362" si="857">(-AE360)/(-AB360)-1</f>
        <v>5.7972393980292081E-2</v>
      </c>
      <c r="AF362" s="852">
        <f>(-AF360)/(-AC360)-1</f>
        <v>4.5073563204965694E-2</v>
      </c>
      <c r="AG362" s="852">
        <f t="shared" ref="AG362" si="858">(-AG360)/(-AD360)-1</f>
        <v>5.7751958576680584E-2</v>
      </c>
      <c r="AH362" s="852">
        <f t="shared" ref="AH362" si="859">(-AH360)/(-AE360)-1</f>
        <v>3.9675942688670363E-2</v>
      </c>
      <c r="AI362" s="852">
        <f>(-AI360)/(-AF360)-1</f>
        <v>4.9667243742550937E-2</v>
      </c>
      <c r="AJ362" s="852"/>
      <c r="AK362" s="852"/>
      <c r="AL362" s="852">
        <f>(-AL360)/(-AI360)-1</f>
        <v>3.6922320805851339E-2</v>
      </c>
      <c r="AM362" s="852"/>
      <c r="AN362" s="852"/>
      <c r="AO362" s="852">
        <f>(-AO360)/(-AL360)-1</f>
        <v>4.0999864747444992E-2</v>
      </c>
      <c r="AP362" s="852"/>
      <c r="AQ362" s="852"/>
      <c r="AR362" s="852">
        <f>(-AR360)/(-AO360)-1</f>
        <v>4.0859175202834219E-2</v>
      </c>
      <c r="AS362" s="852"/>
      <c r="AT362" s="852"/>
      <c r="AU362" s="852">
        <f>(-AU360)/(-AR360)-1</f>
        <v>4.0721662338183418E-2</v>
      </c>
      <c r="AV362" s="852"/>
      <c r="AW362" s="852"/>
      <c r="AX362" s="852">
        <f>(-AX360)/(-AU360)-1</f>
        <v>4.0587218327152286E-2</v>
      </c>
      <c r="AY362" s="852"/>
      <c r="AZ362" s="852"/>
      <c r="BA362" s="852">
        <f>(-BA360)/(-AX360)-1</f>
        <v>4.0455740161763565E-2</v>
      </c>
      <c r="BB362" s="852"/>
      <c r="BC362" s="852"/>
      <c r="BD362" s="852">
        <f>(-BD360)/(-BA360)-1</f>
        <v>4.0327129386191318E-2</v>
      </c>
      <c r="BE362" s="852"/>
      <c r="BF362" s="852"/>
      <c r="BG362" s="852">
        <f>(-BG360)/(-BD360)-1</f>
        <v>4.0201291848004139E-2</v>
      </c>
      <c r="BH362" s="852"/>
      <c r="BI362" s="852"/>
      <c r="BJ362" s="852">
        <f t="shared" ref="BJ362" si="860">(-BJ360)/(-BG360)-1</f>
        <v>4.0078137465546115E-2</v>
      </c>
    </row>
    <row r="363" spans="2:64">
      <c r="C363" s="959"/>
      <c r="D363" s="959"/>
      <c r="E363" s="958"/>
      <c r="F363" s="959"/>
      <c r="G363" s="959"/>
      <c r="H363" s="958"/>
      <c r="I363" s="959"/>
      <c r="J363" s="959"/>
      <c r="K363" s="960"/>
      <c r="L363" s="959"/>
      <c r="M363" s="959"/>
      <c r="N363" s="958"/>
      <c r="O363" s="958"/>
      <c r="P363" s="958"/>
      <c r="Q363" s="958"/>
      <c r="R363" s="958"/>
      <c r="S363" s="958"/>
      <c r="T363" s="958"/>
      <c r="U363" s="959"/>
      <c r="V363" s="959"/>
      <c r="W363" s="958"/>
      <c r="X363" s="959"/>
      <c r="Y363" s="959"/>
      <c r="Z363" s="958"/>
      <c r="AA363" s="959"/>
      <c r="AB363" s="959"/>
      <c r="AC363" s="1200"/>
      <c r="AD363" s="959"/>
      <c r="AE363" s="959"/>
      <c r="AF363" s="958"/>
      <c r="AG363" s="959"/>
      <c r="AH363" s="959"/>
      <c r="AI363" s="958"/>
      <c r="AJ363" s="958"/>
      <c r="AK363" s="958"/>
      <c r="AL363" s="958"/>
      <c r="AM363" s="958"/>
      <c r="AN363" s="958"/>
      <c r="AO363" s="958"/>
      <c r="AP363" s="958"/>
      <c r="AQ363" s="958"/>
      <c r="AR363" s="958"/>
      <c r="AS363" s="958"/>
      <c r="AT363" s="958"/>
      <c r="AU363" s="958"/>
      <c r="AV363" s="958"/>
      <c r="AW363" s="958"/>
      <c r="AX363" s="958"/>
      <c r="AY363" s="958"/>
      <c r="AZ363" s="958"/>
      <c r="BA363" s="958"/>
      <c r="BB363" s="958"/>
      <c r="BC363" s="958"/>
      <c r="BD363" s="958"/>
      <c r="BE363" s="958"/>
      <c r="BF363" s="958"/>
      <c r="BG363" s="958"/>
      <c r="BH363" s="958"/>
      <c r="BI363" s="958"/>
      <c r="BJ363" s="958"/>
    </row>
    <row r="364" spans="2:64">
      <c r="B364" s="828" t="s">
        <v>66</v>
      </c>
      <c r="C364" s="974">
        <v>63</v>
      </c>
      <c r="D364" s="979">
        <f>+E364-C364</f>
        <v>52.099999999999994</v>
      </c>
      <c r="E364" s="979">
        <v>115.1</v>
      </c>
      <c r="F364" s="979">
        <v>63</v>
      </c>
      <c r="G364" s="1271">
        <f>+H364-F364</f>
        <v>52.7</v>
      </c>
      <c r="H364" s="979">
        <v>115.7</v>
      </c>
      <c r="I364" s="975">
        <v>68.2</v>
      </c>
      <c r="J364" s="1271">
        <f>K364-I364</f>
        <v>54.399999999999991</v>
      </c>
      <c r="K364" s="977">
        <v>122.6</v>
      </c>
      <c r="L364" s="975">
        <v>105.1</v>
      </c>
      <c r="M364" s="1271">
        <f>+N364-L364</f>
        <v>100</v>
      </c>
      <c r="N364" s="975">
        <v>205.1</v>
      </c>
      <c r="O364" s="975">
        <v>156.80000000000001</v>
      </c>
      <c r="P364" s="975">
        <f>+Q364-O364</f>
        <v>129.09999999999997</v>
      </c>
      <c r="Q364" s="975">
        <v>285.89999999999998</v>
      </c>
      <c r="R364" s="975">
        <v>125.7</v>
      </c>
      <c r="S364" s="975">
        <f>+T364-R364</f>
        <v>138.90000000000003</v>
      </c>
      <c r="T364" s="975">
        <v>264.60000000000002</v>
      </c>
      <c r="U364" s="975">
        <v>150.19999999999999</v>
      </c>
      <c r="V364" s="1271">
        <f t="shared" ref="V364:AU364" si="861">V357+V360</f>
        <v>132.60000000000002</v>
      </c>
      <c r="W364" s="975">
        <v>282.8</v>
      </c>
      <c r="X364" s="975">
        <v>136.19999999999999</v>
      </c>
      <c r="Y364" s="1271">
        <f t="shared" ref="Y364" si="862">Y357+Y360</f>
        <v>111.10000000000002</v>
      </c>
      <c r="Z364" s="975">
        <v>247.3</v>
      </c>
      <c r="AA364" s="975">
        <v>133.9</v>
      </c>
      <c r="AB364" s="1271">
        <f t="shared" ref="AB364" si="863">AB357+AB360</f>
        <v>121.4</v>
      </c>
      <c r="AC364" s="978">
        <v>255.3</v>
      </c>
      <c r="AD364" s="979">
        <f t="shared" ref="AD364:AE364" si="864">AD357+AD360</f>
        <v>141.31140792684781</v>
      </c>
      <c r="AE364" s="1271">
        <f t="shared" si="864"/>
        <v>130.94186391496149</v>
      </c>
      <c r="AF364" s="979">
        <f>AF357+AF360</f>
        <v>272.25327184180929</v>
      </c>
      <c r="AG364" s="979">
        <f t="shared" si="861"/>
        <v>150.81552930693888</v>
      </c>
      <c r="AH364" s="1271">
        <f t="shared" si="861"/>
        <v>139.18674285211748</v>
      </c>
      <c r="AI364" s="979">
        <f t="shared" si="861"/>
        <v>290.00227215905636</v>
      </c>
      <c r="AJ364" s="979"/>
      <c r="AK364" s="979"/>
      <c r="AL364" s="979">
        <f t="shared" si="861"/>
        <v>305.92705070292101</v>
      </c>
      <c r="AM364" s="979"/>
      <c r="AN364" s="979"/>
      <c r="AO364" s="979">
        <f t="shared" si="861"/>
        <v>320.00944152519929</v>
      </c>
      <c r="AP364" s="979"/>
      <c r="AQ364" s="979"/>
      <c r="AR364" s="979">
        <f t="shared" si="861"/>
        <v>334.69101446723727</v>
      </c>
      <c r="AS364" s="979"/>
      <c r="AT364" s="979"/>
      <c r="AU364" s="979">
        <f t="shared" si="861"/>
        <v>349.9959527153498</v>
      </c>
      <c r="AV364" s="979"/>
      <c r="AW364" s="979"/>
      <c r="AX364" s="979">
        <f t="shared" ref="AX364:BA364" si="865">AX357+AX360</f>
        <v>365.94937896059866</v>
      </c>
      <c r="AY364" s="979"/>
      <c r="AZ364" s="979"/>
      <c r="BA364" s="979">
        <f t="shared" si="865"/>
        <v>382.57739085534803</v>
      </c>
      <c r="BB364" s="979"/>
      <c r="BC364" s="979"/>
      <c r="BD364" s="979">
        <f t="shared" ref="BD364:BG364" si="866">BD357+BD360</f>
        <v>399.90709777773492</v>
      </c>
      <c r="BE364" s="979"/>
      <c r="BF364" s="979"/>
      <c r="BG364" s="979">
        <f t="shared" si="866"/>
        <v>417.96665895141825</v>
      </c>
      <c r="BH364" s="979"/>
      <c r="BI364" s="979"/>
      <c r="BJ364" s="979">
        <f t="shared" ref="BJ364" si="867">BJ357+BJ360</f>
        <v>436.78532296965864</v>
      </c>
    </row>
    <row r="365" spans="2:64">
      <c r="B365" s="1112" t="s">
        <v>42</v>
      </c>
      <c r="C365" s="907">
        <v>0.17537313432835822</v>
      </c>
      <c r="D365" s="907">
        <v>0.11563169164882225</v>
      </c>
      <c r="E365" s="969">
        <v>0.14755732801595212</v>
      </c>
      <c r="F365" s="969">
        <f t="shared" ref="F365:S365" si="868">+F364/C364-1</f>
        <v>0</v>
      </c>
      <c r="G365" s="969">
        <f t="shared" si="868"/>
        <v>1.1516314779270731E-2</v>
      </c>
      <c r="H365" s="893">
        <f t="shared" si="868"/>
        <v>5.2128583840140852E-3</v>
      </c>
      <c r="I365" s="893">
        <f t="shared" si="868"/>
        <v>8.2539682539682691E-2</v>
      </c>
      <c r="J365" s="893">
        <f t="shared" si="868"/>
        <v>3.2258064516128782E-2</v>
      </c>
      <c r="K365" s="1089">
        <f t="shared" si="868"/>
        <v>5.9636992221261842E-2</v>
      </c>
      <c r="L365" s="893">
        <f t="shared" si="868"/>
        <v>0.54105571847507306</v>
      </c>
      <c r="M365" s="893">
        <f t="shared" si="868"/>
        <v>0.83823529411764741</v>
      </c>
      <c r="N365" s="893">
        <f t="shared" si="868"/>
        <v>0.67292006525285486</v>
      </c>
      <c r="O365" s="893">
        <f t="shared" si="868"/>
        <v>0.49191246431969571</v>
      </c>
      <c r="P365" s="893">
        <f t="shared" si="868"/>
        <v>0.2909999999999997</v>
      </c>
      <c r="Q365" s="893">
        <f t="shared" si="868"/>
        <v>0.39395416869819599</v>
      </c>
      <c r="R365" s="893">
        <f t="shared" si="868"/>
        <v>-0.19834183673469397</v>
      </c>
      <c r="S365" s="893">
        <f t="shared" si="868"/>
        <v>7.591014717273481E-2</v>
      </c>
      <c r="T365" s="893">
        <f>T364/Q364-1</f>
        <v>-7.4501573976914814E-2</v>
      </c>
      <c r="U365" s="893">
        <f>+U364/R364-1</f>
        <v>0.19490851233094664</v>
      </c>
      <c r="V365" s="893">
        <f>+V364/S364-1</f>
        <v>-4.5356371490280822E-2</v>
      </c>
      <c r="W365" s="893">
        <f>W364/T364-1</f>
        <v>6.8783068783068835E-2</v>
      </c>
      <c r="X365" s="893">
        <f>+X364/U364-1</f>
        <v>-9.3209054593874852E-2</v>
      </c>
      <c r="Y365" s="893">
        <f>+Y364/V364-1</f>
        <v>-0.16214177978883859</v>
      </c>
      <c r="Z365" s="944">
        <f>Z364/W364-1</f>
        <v>-0.12553041018387556</v>
      </c>
      <c r="AA365" s="944">
        <f>+AA364/X364-1</f>
        <v>-1.6886930983847193E-2</v>
      </c>
      <c r="AB365" s="893">
        <f>+AB364/Y364-1</f>
        <v>9.2709270927092469E-2</v>
      </c>
      <c r="AC365" s="989">
        <f>AC364/Z364-1</f>
        <v>3.2349373230893708E-2</v>
      </c>
      <c r="AD365" s="893">
        <f>+AD364/AA364-1</f>
        <v>5.5350320588855917E-2</v>
      </c>
      <c r="AE365" s="893">
        <f>+AE364/AB364-1</f>
        <v>7.8598549546635033E-2</v>
      </c>
      <c r="AF365" s="893">
        <f>AF364/AC364-1</f>
        <v>6.6405295110886442E-2</v>
      </c>
      <c r="AG365" s="893">
        <f>+AG364/AD364-1</f>
        <v>6.7256575527228746E-2</v>
      </c>
      <c r="AH365" s="893">
        <f>+AH364/AE364-1</f>
        <v>6.2965950618440347E-2</v>
      </c>
      <c r="AI365" s="893">
        <f>AI364/AF364-1</f>
        <v>6.5192973429388124E-2</v>
      </c>
      <c r="AJ365" s="893"/>
      <c r="AK365" s="893"/>
      <c r="AL365" s="893">
        <f>AL364/AI364-1</f>
        <v>5.4912599219672398E-2</v>
      </c>
      <c r="AM365" s="893"/>
      <c r="AN365" s="893"/>
      <c r="AO365" s="893">
        <f>AO364/AL364-1</f>
        <v>4.6031858869366227E-2</v>
      </c>
      <c r="AP365" s="893"/>
      <c r="AQ365" s="893"/>
      <c r="AR365" s="893">
        <f>AR364/AO364-1</f>
        <v>4.5878561807626728E-2</v>
      </c>
      <c r="AS365" s="893"/>
      <c r="AT365" s="893"/>
      <c r="AU365" s="893">
        <f>AU364/AR364-1</f>
        <v>4.5728560333401891E-2</v>
      </c>
      <c r="AV365" s="893"/>
      <c r="AW365" s="893"/>
      <c r="AX365" s="893">
        <f>AX364/AU364-1</f>
        <v>4.5581744935844215E-2</v>
      </c>
      <c r="AY365" s="893"/>
      <c r="AZ365" s="893"/>
      <c r="BA365" s="893">
        <f>BA364/AX364-1</f>
        <v>4.5438010967466802E-2</v>
      </c>
      <c r="BB365" s="893"/>
      <c r="BC365" s="893"/>
      <c r="BD365" s="893">
        <f>BD364/BA364-1</f>
        <v>4.5297258375990301E-2</v>
      </c>
      <c r="BE365" s="893"/>
      <c r="BF365" s="893"/>
      <c r="BG365" s="893">
        <f>BG364/BD364-1</f>
        <v>4.5159391453763797E-2</v>
      </c>
      <c r="BH365" s="893"/>
      <c r="BI365" s="893"/>
      <c r="BJ365" s="893">
        <f t="shared" ref="BJ365" si="869">BJ364/BG364-1</f>
        <v>4.5024318603431368E-2</v>
      </c>
      <c r="BK365" s="873"/>
    </row>
    <row r="366" spans="2:64">
      <c r="B366" s="1000" t="s">
        <v>59</v>
      </c>
      <c r="C366" s="987">
        <f t="shared" ref="C366:R366" si="870">+C364/C350</f>
        <v>0.12844036697247707</v>
      </c>
      <c r="D366" s="987">
        <f t="shared" si="870"/>
        <v>0.11358186178330061</v>
      </c>
      <c r="E366" s="902">
        <f t="shared" si="870"/>
        <v>0.12126000842815</v>
      </c>
      <c r="F366" s="902">
        <f t="shared" si="870"/>
        <v>0.12504962286621674</v>
      </c>
      <c r="G366" s="902">
        <f t="shared" si="870"/>
        <v>0.11085401766933109</v>
      </c>
      <c r="H366" s="902">
        <f t="shared" si="870"/>
        <v>0.11815767973856209</v>
      </c>
      <c r="I366" s="902">
        <f t="shared" si="870"/>
        <v>0.13017751479289941</v>
      </c>
      <c r="J366" s="902">
        <f t="shared" si="870"/>
        <v>0.11045685279187815</v>
      </c>
      <c r="K366" s="904">
        <f t="shared" si="870"/>
        <v>0.12062180243998426</v>
      </c>
      <c r="L366" s="944">
        <f t="shared" si="870"/>
        <v>0.19362564480471628</v>
      </c>
      <c r="M366" s="910">
        <f t="shared" si="870"/>
        <v>0.20169423154497784</v>
      </c>
      <c r="N366" s="944">
        <f t="shared" si="870"/>
        <v>0.19747737338725208</v>
      </c>
      <c r="O366" s="944">
        <f t="shared" si="870"/>
        <v>0.25140291806958476</v>
      </c>
      <c r="P366" s="944">
        <f t="shared" si="870"/>
        <v>0.22518751090179656</v>
      </c>
      <c r="Q366" s="944">
        <f t="shared" si="870"/>
        <v>0.2388471177944862</v>
      </c>
      <c r="R366" s="944">
        <f t="shared" si="870"/>
        <v>0.20756274768824307</v>
      </c>
      <c r="S366" s="944">
        <f t="shared" ref="S366:AU366" si="871">+S364/S350</f>
        <v>0.2290189612530916</v>
      </c>
      <c r="T366" s="944">
        <f t="shared" si="871"/>
        <v>0.21829882022935404</v>
      </c>
      <c r="U366" s="852">
        <f t="shared" si="871"/>
        <v>0.2202669013051767</v>
      </c>
      <c r="V366" s="852">
        <f t="shared" si="871"/>
        <v>0.21134842205929236</v>
      </c>
      <c r="W366" s="944">
        <f t="shared" si="871"/>
        <v>0.2159932788512946</v>
      </c>
      <c r="X366" s="852">
        <f t="shared" ref="X366" si="872">+X364/X350</f>
        <v>0.20240748996879179</v>
      </c>
      <c r="Y366" s="852">
        <f t="shared" ref="Y366:Z366" si="873">+Y364/Y350</f>
        <v>0.1795700662679813</v>
      </c>
      <c r="Z366" s="852">
        <f t="shared" si="873"/>
        <v>0.19146794673273462</v>
      </c>
      <c r="AA366" s="852">
        <f t="shared" si="871"/>
        <v>0.18952583156404812</v>
      </c>
      <c r="AB366" s="852">
        <f t="shared" si="871"/>
        <v>0.18525866015565393</v>
      </c>
      <c r="AC366" s="853">
        <f t="shared" si="871"/>
        <v>0.18747246291672787</v>
      </c>
      <c r="AD366" s="852">
        <f t="shared" ref="AD366:AE366" si="874">+AD364/AD350</f>
        <v>0.19212583156404811</v>
      </c>
      <c r="AE366" s="852">
        <f t="shared" si="874"/>
        <v>0.18790516512162028</v>
      </c>
      <c r="AF366" s="852">
        <f t="shared" si="871"/>
        <v>0.19007246291672783</v>
      </c>
      <c r="AG366" s="852">
        <f t="shared" si="871"/>
        <v>0.19312583156404808</v>
      </c>
      <c r="AH366" s="852">
        <f t="shared" si="871"/>
        <v>0.19053261354954976</v>
      </c>
      <c r="AI366" s="852">
        <f t="shared" si="871"/>
        <v>0.19187246291672783</v>
      </c>
      <c r="AJ366" s="852"/>
      <c r="AK366" s="852"/>
      <c r="AL366" s="852">
        <f t="shared" si="871"/>
        <v>0.19417246291672779</v>
      </c>
      <c r="AM366" s="852"/>
      <c r="AN366" s="852"/>
      <c r="AO366" s="852">
        <f t="shared" si="871"/>
        <v>0.19487246291672783</v>
      </c>
      <c r="AP366" s="852"/>
      <c r="AQ366" s="852"/>
      <c r="AR366" s="852">
        <f t="shared" si="871"/>
        <v>0.19557246291672786</v>
      </c>
      <c r="AS366" s="852"/>
      <c r="AT366" s="852"/>
      <c r="AU366" s="852">
        <f t="shared" si="871"/>
        <v>0.19627246291672787</v>
      </c>
      <c r="AV366" s="852"/>
      <c r="AW366" s="852"/>
      <c r="AX366" s="852">
        <f t="shared" ref="AX366:BA366" si="875">+AX364/AX350</f>
        <v>0.19697246291672782</v>
      </c>
      <c r="AY366" s="852"/>
      <c r="AZ366" s="852"/>
      <c r="BA366" s="852">
        <f t="shared" si="875"/>
        <v>0.19767246291672785</v>
      </c>
      <c r="BB366" s="852"/>
      <c r="BC366" s="852"/>
      <c r="BD366" s="852">
        <f t="shared" ref="BD366:BG366" si="876">+BD364/BD350</f>
        <v>0.19837246291672786</v>
      </c>
      <c r="BE366" s="852"/>
      <c r="BF366" s="852"/>
      <c r="BG366" s="852">
        <f t="shared" si="876"/>
        <v>0.19907246291672787</v>
      </c>
      <c r="BH366" s="852"/>
      <c r="BI366" s="852"/>
      <c r="BJ366" s="852">
        <f t="shared" ref="BJ366" si="877">+BJ364/BJ350</f>
        <v>0.19977246291672787</v>
      </c>
      <c r="BK366" s="906"/>
    </row>
    <row r="367" spans="2:64">
      <c r="B367" s="828"/>
      <c r="C367" s="958"/>
      <c r="D367" s="959"/>
      <c r="E367" s="958"/>
      <c r="F367" s="959"/>
      <c r="G367" s="959"/>
      <c r="H367" s="958"/>
      <c r="I367" s="959"/>
      <c r="J367" s="959"/>
      <c r="K367" s="960"/>
      <c r="L367" s="959"/>
      <c r="M367" s="959"/>
      <c r="N367" s="958"/>
      <c r="O367" s="958"/>
      <c r="P367" s="958"/>
      <c r="Q367" s="958"/>
      <c r="R367" s="958"/>
      <c r="S367" s="958"/>
      <c r="T367" s="958"/>
      <c r="U367" s="959"/>
      <c r="V367" s="959"/>
      <c r="W367" s="958"/>
      <c r="X367" s="959"/>
      <c r="Y367" s="959"/>
      <c r="Z367" s="959"/>
      <c r="AA367" s="959"/>
      <c r="AB367" s="959"/>
      <c r="AC367" s="965"/>
      <c r="AD367" s="959"/>
      <c r="AE367" s="959"/>
      <c r="AF367" s="958"/>
      <c r="AG367" s="959"/>
      <c r="AH367" s="959"/>
      <c r="AI367" s="958"/>
      <c r="AJ367" s="958"/>
      <c r="AK367" s="958"/>
      <c r="AL367" s="958"/>
      <c r="AM367" s="958"/>
      <c r="AN367" s="958"/>
      <c r="AO367" s="958"/>
      <c r="AP367" s="958"/>
      <c r="AQ367" s="958"/>
      <c r="AR367" s="958"/>
      <c r="AS367" s="958"/>
      <c r="AT367" s="958"/>
      <c r="AU367" s="958"/>
      <c r="AV367" s="958"/>
      <c r="AW367" s="958"/>
      <c r="AX367" s="958"/>
      <c r="AY367" s="958"/>
      <c r="AZ367" s="958"/>
      <c r="BA367" s="958"/>
      <c r="BB367" s="958"/>
      <c r="BC367" s="958"/>
      <c r="BD367" s="958"/>
      <c r="BE367" s="958"/>
      <c r="BF367" s="958"/>
      <c r="BG367" s="958"/>
      <c r="BH367" s="958"/>
      <c r="BI367" s="958"/>
      <c r="BJ367" s="958"/>
      <c r="BK367" s="873"/>
    </row>
    <row r="368" spans="2:64">
      <c r="B368" s="828" t="s">
        <v>220</v>
      </c>
      <c r="C368" s="982">
        <v>-12.1</v>
      </c>
      <c r="D368" s="982">
        <f>E368-C368</f>
        <v>-11.700000000000001</v>
      </c>
      <c r="E368" s="984">
        <v>-23.8</v>
      </c>
      <c r="F368" s="984">
        <v>-11.3</v>
      </c>
      <c r="G368" s="984">
        <f>H368-F368</f>
        <v>-12.899999999999999</v>
      </c>
      <c r="H368" s="984">
        <v>-24.2</v>
      </c>
      <c r="I368" s="982">
        <f>I372-I364</f>
        <v>-13.800000000000004</v>
      </c>
      <c r="J368" s="980">
        <f>K368-I368</f>
        <v>-14.999999999999993</v>
      </c>
      <c r="K368" s="984">
        <f>93.8-122.6</f>
        <v>-28.799999999999997</v>
      </c>
      <c r="L368" s="982">
        <f>L372-L364</f>
        <v>-46.699999999999996</v>
      </c>
      <c r="M368" s="980">
        <f>N368-L368</f>
        <v>-47.800000000000004</v>
      </c>
      <c r="N368" s="985">
        <v>-94.5</v>
      </c>
      <c r="O368" s="985">
        <v>-52.8</v>
      </c>
      <c r="P368" s="985">
        <f>Q368-O368</f>
        <v>-53.100000000000009</v>
      </c>
      <c r="Q368" s="985">
        <v>-105.9</v>
      </c>
      <c r="R368" s="985">
        <v>-50.9</v>
      </c>
      <c r="S368" s="985">
        <f>T368-R368</f>
        <v>-58.1</v>
      </c>
      <c r="T368" s="985">
        <v>-109</v>
      </c>
      <c r="U368" s="985">
        <v>-58.8</v>
      </c>
      <c r="V368" s="980">
        <f>W368-U368</f>
        <v>-62.2</v>
      </c>
      <c r="W368" s="985">
        <v>-121</v>
      </c>
      <c r="X368" s="985">
        <v>-62</v>
      </c>
      <c r="Y368" s="980">
        <f>Z368-X368</f>
        <v>-63.900000000000006</v>
      </c>
      <c r="Z368" s="985">
        <v>-125.9</v>
      </c>
      <c r="AA368" s="985">
        <v>-64.599999999999994</v>
      </c>
      <c r="AB368" s="980">
        <f>AC368-AA368</f>
        <v>-67</v>
      </c>
      <c r="AC368" s="986">
        <v>-131.6</v>
      </c>
      <c r="AD368" s="980">
        <f t="shared" ref="AD368" si="878">AD350*AD370</f>
        <v>-67.667368949999997</v>
      </c>
      <c r="AE368" s="980">
        <f>AF368-AD368</f>
        <v>-70.751872470560755</v>
      </c>
      <c r="AF368" s="980">
        <f>AF350*AF370</f>
        <v>-138.41924142056075</v>
      </c>
      <c r="AG368" s="980">
        <f t="shared" ref="AG368" si="879">AG350*AG370</f>
        <v>-71.84449943267623</v>
      </c>
      <c r="AH368" s="980">
        <f>AI368-AG368</f>
        <v>-74.064361839073797</v>
      </c>
      <c r="AI368" s="980">
        <f t="shared" ref="AI368:AU368" si="880">AI350*AI370</f>
        <v>-145.90886127175003</v>
      </c>
      <c r="AJ368" s="980"/>
      <c r="AK368" s="980"/>
      <c r="AL368" s="980">
        <f t="shared" si="880"/>
        <v>-151.94032487427569</v>
      </c>
      <c r="AM368" s="980"/>
      <c r="AN368" s="980"/>
      <c r="AO368" s="980">
        <f t="shared" si="880"/>
        <v>-158.19929844598448</v>
      </c>
      <c r="AP368" s="980"/>
      <c r="AQ368" s="980"/>
      <c r="AR368" s="980">
        <f t="shared" si="880"/>
        <v>-164.69391015664752</v>
      </c>
      <c r="AS368" s="980"/>
      <c r="AT368" s="980"/>
      <c r="AU368" s="980">
        <f t="shared" si="880"/>
        <v>-171.43256821338747</v>
      </c>
      <c r="AV368" s="980"/>
      <c r="AW368" s="980"/>
      <c r="AX368" s="980">
        <f t="shared" ref="AX368:BA368" si="881">AX350*AX370</f>
        <v>-178.60975733439003</v>
      </c>
      <c r="AY368" s="980"/>
      <c r="AZ368" s="980"/>
      <c r="BA368" s="980">
        <f t="shared" si="881"/>
        <v>-186.06419520792048</v>
      </c>
      <c r="BB368" s="980"/>
      <c r="BC368" s="980"/>
      <c r="BD368" s="980">
        <f t="shared" ref="BD368:BG368" si="882">BD350*BD370</f>
        <v>-193.80608479546194</v>
      </c>
      <c r="BE368" s="980"/>
      <c r="BF368" s="980"/>
      <c r="BG368" s="980">
        <f t="shared" si="882"/>
        <v>-201.84599254674791</v>
      </c>
      <c r="BH368" s="980"/>
      <c r="BI368" s="980"/>
      <c r="BJ368" s="980">
        <f t="shared" ref="BJ368" si="883">BJ350*BJ370</f>
        <v>-210.19486105170549</v>
      </c>
      <c r="BK368" s="873"/>
    </row>
    <row r="369" spans="2:64">
      <c r="B369" s="812" t="s">
        <v>221</v>
      </c>
      <c r="C369" s="969">
        <v>9.9999999999999867E-2</v>
      </c>
      <c r="D369" s="969">
        <v>1.7391304347826209E-2</v>
      </c>
      <c r="E369" s="902">
        <v>5.7777777777777706E-2</v>
      </c>
      <c r="F369" s="902">
        <f t="shared" ref="F369:S369" si="884">+F368/C368-1</f>
        <v>-6.6115702479338734E-2</v>
      </c>
      <c r="G369" s="902">
        <f t="shared" si="884"/>
        <v>0.10256410256410242</v>
      </c>
      <c r="H369" s="902">
        <f t="shared" si="884"/>
        <v>1.6806722689075571E-2</v>
      </c>
      <c r="I369" s="902">
        <f t="shared" si="884"/>
        <v>0.22123893805309769</v>
      </c>
      <c r="J369" s="902">
        <f t="shared" si="884"/>
        <v>0.16279069767441823</v>
      </c>
      <c r="K369" s="904">
        <f t="shared" si="884"/>
        <v>0.19008264462809898</v>
      </c>
      <c r="L369" s="902">
        <f t="shared" si="884"/>
        <v>2.3840579710144914</v>
      </c>
      <c r="M369" s="902">
        <f t="shared" si="884"/>
        <v>2.1866666666666683</v>
      </c>
      <c r="N369" s="902">
        <f t="shared" si="884"/>
        <v>2.2812500000000004</v>
      </c>
      <c r="O369" s="902">
        <f t="shared" si="884"/>
        <v>0.13062098501070674</v>
      </c>
      <c r="P369" s="902">
        <f t="shared" si="884"/>
        <v>0.11087866108786626</v>
      </c>
      <c r="Q369" s="902">
        <f t="shared" si="884"/>
        <v>0.12063492063492065</v>
      </c>
      <c r="R369" s="902">
        <f t="shared" si="884"/>
        <v>-3.5984848484848508E-2</v>
      </c>
      <c r="S369" s="902">
        <f t="shared" si="884"/>
        <v>9.4161958568738102E-2</v>
      </c>
      <c r="T369" s="902">
        <f>T368/Q368-1</f>
        <v>2.9272898961284266E-2</v>
      </c>
      <c r="U369" s="902">
        <f>+U368/R368-1</f>
        <v>0.15520628683693505</v>
      </c>
      <c r="V369" s="902">
        <f>+V368/S368-1</f>
        <v>7.0567986230636759E-2</v>
      </c>
      <c r="W369" s="902">
        <f>W368/T368-1</f>
        <v>0.11009174311926606</v>
      </c>
      <c r="X369" s="902">
        <f>+X368/U368-1</f>
        <v>5.4421768707483054E-2</v>
      </c>
      <c r="Y369" s="902">
        <f>+Y368/V368-1</f>
        <v>2.7331189710610992E-2</v>
      </c>
      <c r="Z369" s="852">
        <f>Z368/W368-1</f>
        <v>4.0495867768595151E-2</v>
      </c>
      <c r="AA369" s="902">
        <f>+AA368/X368-1</f>
        <v>4.1935483870967571E-2</v>
      </c>
      <c r="AB369" s="902">
        <f>+AB368/Y368-1</f>
        <v>4.8513302034428607E-2</v>
      </c>
      <c r="AC369" s="853">
        <f>AC368/Z368-1</f>
        <v>4.5274027005559825E-2</v>
      </c>
      <c r="AD369" s="902">
        <f>+AD368/AA368-1</f>
        <v>4.748249148606809E-2</v>
      </c>
      <c r="AE369" s="902">
        <f>+AE368/AB368-1</f>
        <v>5.5998096575533562E-2</v>
      </c>
      <c r="AF369" s="852">
        <f>AF368/AC368-1</f>
        <v>5.1817943925233756E-2</v>
      </c>
      <c r="AG369" s="902">
        <f>+AG368/AD368-1</f>
        <v>6.1730351681956952E-2</v>
      </c>
      <c r="AH369" s="902">
        <f>+AH368/AE368-1</f>
        <v>4.6818398621059076E-2</v>
      </c>
      <c r="AI369" s="852">
        <f>AI368/AF368-1</f>
        <v>5.4108227832527112E-2</v>
      </c>
      <c r="AJ369" s="852"/>
      <c r="AK369" s="852"/>
      <c r="AL369" s="852">
        <f>AL368/AI368-1</f>
        <v>4.1337198782548823E-2</v>
      </c>
      <c r="AM369" s="852"/>
      <c r="AN369" s="852"/>
      <c r="AO369" s="852">
        <f>AO368/AL368-1</f>
        <v>4.1193630307739815E-2</v>
      </c>
      <c r="AP369" s="852"/>
      <c r="AQ369" s="852"/>
      <c r="AR369" s="852">
        <f>AR368/AO368-1</f>
        <v>4.1053353424829186E-2</v>
      </c>
      <c r="AS369" s="852"/>
      <c r="AT369" s="852"/>
      <c r="AU369" s="852">
        <f>AU368/AR368-1</f>
        <v>4.0916255193228057E-2</v>
      </c>
      <c r="AV369" s="852"/>
      <c r="AW369" s="852"/>
      <c r="AX369" s="852">
        <f>AX368/AU368-1</f>
        <v>4.1865960451977102E-2</v>
      </c>
      <c r="AY369" s="852"/>
      <c r="AZ369" s="852"/>
      <c r="BA369" s="852">
        <f>BA368/AX368-1</f>
        <v>4.1735893854748296E-2</v>
      </c>
      <c r="BB369" s="852"/>
      <c r="BC369" s="852"/>
      <c r="BD369" s="852">
        <f>BD368/BA368-1</f>
        <v>4.1608701657458447E-2</v>
      </c>
      <c r="BE369" s="852"/>
      <c r="BF369" s="852"/>
      <c r="BG369" s="852">
        <f>BG368/BD368-1</f>
        <v>4.1484289617485848E-2</v>
      </c>
      <c r="BH369" s="852"/>
      <c r="BI369" s="852"/>
      <c r="BJ369" s="852">
        <f t="shared" ref="BJ369" si="885">BJ368/BG368-1</f>
        <v>4.136256756756751E-2</v>
      </c>
      <c r="BK369" s="906"/>
    </row>
    <row r="370" spans="2:64">
      <c r="B370" s="812" t="s">
        <v>223</v>
      </c>
      <c r="C370" s="902">
        <f>-C368/C350</f>
        <v>2.4668705402650357E-2</v>
      </c>
      <c r="D370" s="902">
        <f>-D368/D350</f>
        <v>2.5506867233485938E-2</v>
      </c>
      <c r="E370" s="902">
        <f t="shared" ref="E370:R370" si="886">E368/E350</f>
        <v>-2.5073746312684365E-2</v>
      </c>
      <c r="F370" s="902">
        <f t="shared" si="886"/>
        <v>-2.2429535529972212E-2</v>
      </c>
      <c r="G370" s="902">
        <f t="shared" si="886"/>
        <v>-2.7135044173327721E-2</v>
      </c>
      <c r="H370" s="902">
        <f t="shared" si="886"/>
        <v>-2.4714052287581698E-2</v>
      </c>
      <c r="I370" s="902">
        <f t="shared" si="886"/>
        <v>-2.6340904752815433E-2</v>
      </c>
      <c r="J370" s="902">
        <f t="shared" si="886"/>
        <v>-3.045685279187816E-2</v>
      </c>
      <c r="K370" s="904">
        <f t="shared" si="886"/>
        <v>-2.8335301062573787E-2</v>
      </c>
      <c r="L370" s="902">
        <f t="shared" si="886"/>
        <v>-8.6035372144436253E-2</v>
      </c>
      <c r="M370" s="902">
        <f t="shared" si="886"/>
        <v>-9.6409842678499419E-2</v>
      </c>
      <c r="N370" s="902">
        <f t="shared" si="886"/>
        <v>-9.0987868284228779E-2</v>
      </c>
      <c r="O370" s="902">
        <f t="shared" si="886"/>
        <v>-8.4656084656084651E-2</v>
      </c>
      <c r="P370" s="902">
        <f t="shared" si="886"/>
        <v>-9.2621664050235503E-2</v>
      </c>
      <c r="Q370" s="902">
        <f t="shared" si="886"/>
        <v>-8.8471177944862159E-2</v>
      </c>
      <c r="R370" s="902">
        <f t="shared" si="886"/>
        <v>-8.4048877146631437E-2</v>
      </c>
      <c r="S370" s="902">
        <f>+S368/S350</f>
        <v>-9.5795548227535054E-2</v>
      </c>
      <c r="T370" s="902">
        <f>+T368/T350</f>
        <v>-8.9926573715040023E-2</v>
      </c>
      <c r="U370" s="902">
        <f t="shared" ref="U370" si="887">U368/U350</f>
        <v>-8.6229652441706994E-2</v>
      </c>
      <c r="V370" s="852">
        <f>V368/V350</f>
        <v>-9.9139305068536826E-2</v>
      </c>
      <c r="W370" s="902">
        <f>+W368/W350</f>
        <v>-9.2415794699457723E-2</v>
      </c>
      <c r="X370" s="902">
        <f t="shared" ref="X370" si="888">X368/X350</f>
        <v>-9.2138504978451483E-2</v>
      </c>
      <c r="Y370" s="852">
        <f>Y368/Y350</f>
        <v>-0.10328107321803784</v>
      </c>
      <c r="Z370" s="902">
        <f>+Z368/Z350</f>
        <v>-9.7475998761226396E-2</v>
      </c>
      <c r="AA370" s="902">
        <f t="shared" ref="AA370" si="889">AA368/AA350</f>
        <v>-9.1436659589525821E-2</v>
      </c>
      <c r="AB370" s="852">
        <f>AB368/AB350</f>
        <v>-0.10224324736761789</v>
      </c>
      <c r="AC370" s="905">
        <f>+AC368/AC350</f>
        <v>-9.6636804229695991E-2</v>
      </c>
      <c r="AD370" s="957">
        <v>-9.1999999999999998E-2</v>
      </c>
      <c r="AE370" s="957">
        <f>AE368/AE350</f>
        <v>-0.10153087699957115</v>
      </c>
      <c r="AF370" s="957">
        <f>AC370</f>
        <v>-9.6636804229695991E-2</v>
      </c>
      <c r="AG370" s="957">
        <v>-9.1999999999999998E-2</v>
      </c>
      <c r="AH370" s="957">
        <f>AH368/AH350</f>
        <v>-0.1013866417369331</v>
      </c>
      <c r="AI370" s="957">
        <f>AF370+0.01%</f>
        <v>-9.6536804229695988E-2</v>
      </c>
      <c r="AJ370" s="957"/>
      <c r="AK370" s="957"/>
      <c r="AL370" s="957">
        <f>AI370+0.01%</f>
        <v>-9.6436804229695985E-2</v>
      </c>
      <c r="AM370" s="957"/>
      <c r="AN370" s="957"/>
      <c r="AO370" s="957">
        <f>AL370+0.01%</f>
        <v>-9.6336804229695983E-2</v>
      </c>
      <c r="AP370" s="957"/>
      <c r="AQ370" s="957"/>
      <c r="AR370" s="957">
        <f>AO370+0.01%</f>
        <v>-9.623680422969598E-2</v>
      </c>
      <c r="AS370" s="957"/>
      <c r="AT370" s="957"/>
      <c r="AU370" s="957">
        <f>AR370+0.01%</f>
        <v>-9.6136804229695977E-2</v>
      </c>
      <c r="AV370" s="957"/>
      <c r="AW370" s="957"/>
      <c r="AX370" s="957">
        <f>AU370</f>
        <v>-9.6136804229695977E-2</v>
      </c>
      <c r="AY370" s="957"/>
      <c r="AZ370" s="957"/>
      <c r="BA370" s="957">
        <f>AX370</f>
        <v>-9.6136804229695977E-2</v>
      </c>
      <c r="BB370" s="957"/>
      <c r="BC370" s="957"/>
      <c r="BD370" s="957">
        <f>BA370</f>
        <v>-9.6136804229695977E-2</v>
      </c>
      <c r="BE370" s="957"/>
      <c r="BF370" s="957"/>
      <c r="BG370" s="957">
        <f>BD370</f>
        <v>-9.6136804229695977E-2</v>
      </c>
      <c r="BH370" s="957"/>
      <c r="BI370" s="957"/>
      <c r="BJ370" s="957">
        <f t="shared" ref="BJ370" si="890">BG370</f>
        <v>-9.6136804229695977E-2</v>
      </c>
      <c r="BK370" s="906"/>
    </row>
    <row r="371" spans="2:64">
      <c r="B371" s="828"/>
      <c r="C371" s="958"/>
      <c r="D371" s="959"/>
      <c r="E371" s="958"/>
      <c r="F371" s="959"/>
      <c r="G371" s="959"/>
      <c r="H371" s="958"/>
      <c r="I371" s="959"/>
      <c r="J371" s="959"/>
      <c r="K371" s="960"/>
      <c r="L371" s="959"/>
      <c r="M371" s="959"/>
      <c r="N371" s="958"/>
      <c r="O371" s="958"/>
      <c r="P371" s="958"/>
      <c r="Q371" s="958"/>
      <c r="R371" s="959"/>
      <c r="S371" s="958"/>
      <c r="T371" s="958"/>
      <c r="U371" s="959"/>
      <c r="V371" s="959"/>
      <c r="W371" s="958"/>
      <c r="X371" s="959"/>
      <c r="Y371" s="959"/>
      <c r="Z371" s="958"/>
      <c r="AA371" s="959"/>
      <c r="AB371" s="959"/>
      <c r="AC371" s="1200"/>
      <c r="AD371" s="959"/>
      <c r="AE371" s="959"/>
      <c r="AF371" s="958"/>
      <c r="AG371" s="959">
        <f>AG372/AI372</f>
        <v>0.54805441406356126</v>
      </c>
      <c r="AH371" s="959"/>
      <c r="AI371" s="958"/>
      <c r="AJ371" s="958"/>
      <c r="AK371" s="958"/>
      <c r="AL371" s="958"/>
      <c r="AM371" s="958"/>
      <c r="AN371" s="958"/>
      <c r="AO371" s="958"/>
      <c r="AP371" s="958"/>
      <c r="AQ371" s="958"/>
      <c r="AR371" s="958"/>
      <c r="AS371" s="958"/>
      <c r="AT371" s="958"/>
      <c r="AU371" s="958"/>
      <c r="AV371" s="958"/>
      <c r="AW371" s="958"/>
      <c r="AX371" s="958"/>
      <c r="AY371" s="958"/>
      <c r="AZ371" s="958"/>
      <c r="BA371" s="958"/>
      <c r="BB371" s="958"/>
      <c r="BC371" s="958"/>
      <c r="BD371" s="958"/>
      <c r="BE371" s="958"/>
      <c r="BF371" s="958"/>
      <c r="BG371" s="958"/>
      <c r="BH371" s="958"/>
      <c r="BI371" s="958"/>
      <c r="BJ371" s="958"/>
      <c r="BK371" s="873"/>
    </row>
    <row r="372" spans="2:64" s="828" customFormat="1">
      <c r="B372" s="828" t="s">
        <v>70</v>
      </c>
      <c r="C372" s="991">
        <v>50.9</v>
      </c>
      <c r="D372" s="834">
        <f>E372-C372</f>
        <v>40.4</v>
      </c>
      <c r="E372" s="845">
        <v>91.3</v>
      </c>
      <c r="F372" s="834">
        <v>51.7</v>
      </c>
      <c r="G372" s="834">
        <f>+H372-F372</f>
        <v>39.799999999999997</v>
      </c>
      <c r="H372" s="845">
        <v>91.5</v>
      </c>
      <c r="I372" s="840">
        <v>54.4</v>
      </c>
      <c r="J372" s="834">
        <f>+K372-I372</f>
        <v>39.4</v>
      </c>
      <c r="K372" s="846">
        <f>+K364+K368</f>
        <v>93.8</v>
      </c>
      <c r="L372" s="840">
        <v>58.4</v>
      </c>
      <c r="M372" s="834">
        <f>+N372-L372</f>
        <v>52.199999999999996</v>
      </c>
      <c r="N372" s="845">
        <f>+N364+N368</f>
        <v>110.6</v>
      </c>
      <c r="O372" s="845">
        <f>O364+O368</f>
        <v>104.00000000000001</v>
      </c>
      <c r="P372" s="845">
        <f>+Q372-O372</f>
        <v>75.999999999999957</v>
      </c>
      <c r="Q372" s="845">
        <f>+Q364+Q368</f>
        <v>179.99999999999997</v>
      </c>
      <c r="R372" s="845">
        <f>R364+R368</f>
        <v>74.800000000000011</v>
      </c>
      <c r="S372" s="845">
        <f>+T372-R372</f>
        <v>80.800000000000011</v>
      </c>
      <c r="T372" s="845">
        <f>+T364+T368</f>
        <v>155.60000000000002</v>
      </c>
      <c r="U372" s="845">
        <f>+U364+U368</f>
        <v>91.399999999999991</v>
      </c>
      <c r="V372" s="845">
        <f>+W372-U372</f>
        <v>70.40000000000002</v>
      </c>
      <c r="W372" s="845">
        <f>+W364+W368</f>
        <v>161.80000000000001</v>
      </c>
      <c r="X372" s="845">
        <f>+X364+X368</f>
        <v>74.199999999999989</v>
      </c>
      <c r="Y372" s="845">
        <f>+Z372-X372</f>
        <v>47.200000000000017</v>
      </c>
      <c r="Z372" s="845">
        <f>+Z364+Z368</f>
        <v>121.4</v>
      </c>
      <c r="AA372" s="845">
        <f>+AA364+AA368</f>
        <v>69.300000000000011</v>
      </c>
      <c r="AB372" s="845">
        <f>+AC372-AA372</f>
        <v>54.400000000000006</v>
      </c>
      <c r="AC372" s="847">
        <f t="shared" ref="AC372:AU372" si="891">+AC364+AC368</f>
        <v>123.70000000000002</v>
      </c>
      <c r="AD372" s="834">
        <f>+AD364+AD368</f>
        <v>73.64403897684781</v>
      </c>
      <c r="AE372" s="834">
        <f>+AF372-AD372</f>
        <v>60.189991444400732</v>
      </c>
      <c r="AF372" s="845">
        <f t="shared" si="891"/>
        <v>133.83403042124854</v>
      </c>
      <c r="AG372" s="834">
        <f>+AG364+AG368</f>
        <v>78.971029874262655</v>
      </c>
      <c r="AH372" s="834">
        <f>+AI372-AG372</f>
        <v>65.122381013043679</v>
      </c>
      <c r="AI372" s="845">
        <f t="shared" si="891"/>
        <v>144.09341088730633</v>
      </c>
      <c r="AJ372" s="845"/>
      <c r="AK372" s="845"/>
      <c r="AL372" s="845">
        <f t="shared" si="891"/>
        <v>153.98672582864532</v>
      </c>
      <c r="AM372" s="845"/>
      <c r="AN372" s="845"/>
      <c r="AO372" s="845">
        <f t="shared" si="891"/>
        <v>161.81014307921481</v>
      </c>
      <c r="AP372" s="845"/>
      <c r="AQ372" s="845"/>
      <c r="AR372" s="845">
        <f t="shared" si="891"/>
        <v>169.99710431058975</v>
      </c>
      <c r="AS372" s="845"/>
      <c r="AT372" s="845"/>
      <c r="AU372" s="845">
        <f t="shared" si="891"/>
        <v>178.56338450196233</v>
      </c>
      <c r="AV372" s="845"/>
      <c r="AW372" s="845"/>
      <c r="AX372" s="845">
        <f t="shared" ref="AX372:BA372" si="892">+AX364+AX368</f>
        <v>187.33962162620864</v>
      </c>
      <c r="AY372" s="845"/>
      <c r="AZ372" s="845"/>
      <c r="BA372" s="845">
        <f t="shared" si="892"/>
        <v>196.51319564742755</v>
      </c>
      <c r="BB372" s="845"/>
      <c r="BC372" s="845"/>
      <c r="BD372" s="845">
        <f t="shared" ref="BD372:BG372" si="893">+BD364+BD368</f>
        <v>206.10101298227298</v>
      </c>
      <c r="BE372" s="845"/>
      <c r="BF372" s="845"/>
      <c r="BG372" s="845">
        <f t="shared" si="893"/>
        <v>216.12066640467035</v>
      </c>
      <c r="BH372" s="845"/>
      <c r="BI372" s="845"/>
      <c r="BJ372" s="845">
        <f t="shared" ref="BJ372" si="894">+BJ364+BJ368</f>
        <v>226.59046191795315</v>
      </c>
      <c r="BK372" s="873"/>
      <c r="BL372" s="992"/>
    </row>
    <row r="373" spans="2:64">
      <c r="B373" s="812" t="s">
        <v>42</v>
      </c>
      <c r="C373" s="969">
        <v>0.19483568075117375</v>
      </c>
      <c r="D373" s="969">
        <v>0.14772727272727293</v>
      </c>
      <c r="E373" s="902">
        <v>0.17352185089974292</v>
      </c>
      <c r="F373" s="902">
        <f>+F372/C372-1</f>
        <v>1.5717092337917515E-2</v>
      </c>
      <c r="G373" s="902">
        <f>+G372/D372-1</f>
        <v>-1.4851485148514865E-2</v>
      </c>
      <c r="H373" s="902">
        <f>H372/E372-1</f>
        <v>2.1905805038335835E-3</v>
      </c>
      <c r="I373" s="902">
        <f>+I372/F372-1</f>
        <v>5.2224371373307488E-2</v>
      </c>
      <c r="J373" s="902">
        <f>+J372/G372-1</f>
        <v>-1.005025125628134E-2</v>
      </c>
      <c r="K373" s="904">
        <f>K372/H372-1</f>
        <v>2.5136612021857907E-2</v>
      </c>
      <c r="L373" s="902">
        <f>+L372/I372-1</f>
        <v>7.3529411764705843E-2</v>
      </c>
      <c r="M373" s="902">
        <f>+M372/J372-1</f>
        <v>0.32487309644670037</v>
      </c>
      <c r="N373" s="902">
        <f>N372/K372-1</f>
        <v>0.17910447761194037</v>
      </c>
      <c r="O373" s="902">
        <f>+O372/L372-1</f>
        <v>0.78082191780821941</v>
      </c>
      <c r="P373" s="902">
        <f>+P372/M372-1</f>
        <v>0.45593869731800707</v>
      </c>
      <c r="Q373" s="902">
        <f>Q372/N372-1</f>
        <v>0.62748643761301981</v>
      </c>
      <c r="R373" s="902">
        <f>+R372/O372-1</f>
        <v>-0.28076923076923077</v>
      </c>
      <c r="S373" s="902">
        <f>+S372/P372-1</f>
        <v>6.3157894736842746E-2</v>
      </c>
      <c r="T373" s="902">
        <f>T372/Q372-1</f>
        <v>-0.13555555555555532</v>
      </c>
      <c r="U373" s="902">
        <f>+U372/R372-1</f>
        <v>0.22192513368983935</v>
      </c>
      <c r="V373" s="902">
        <f>+V372/S372-1</f>
        <v>-0.12871287128712861</v>
      </c>
      <c r="W373" s="902">
        <f>W372/T372-1</f>
        <v>3.9845758354755789E-2</v>
      </c>
      <c r="X373" s="902">
        <f>+X372/U372-1</f>
        <v>-0.18818380743982499</v>
      </c>
      <c r="Y373" s="902">
        <f>+Y372/V372-1</f>
        <v>-0.32954545454545447</v>
      </c>
      <c r="Z373" s="852">
        <f>Z372/W372-1</f>
        <v>-0.24969097651421512</v>
      </c>
      <c r="AA373" s="902">
        <f>+AA372/X372-1</f>
        <v>-6.6037735849056256E-2</v>
      </c>
      <c r="AB373" s="902">
        <f>+AB372/Y372-1</f>
        <v>0.15254237288135553</v>
      </c>
      <c r="AC373" s="853">
        <f>AC372/Z372-1</f>
        <v>1.8945634266886335E-2</v>
      </c>
      <c r="AD373" s="902">
        <f>+AD372/AA372-1</f>
        <v>6.2684545120458735E-2</v>
      </c>
      <c r="AE373" s="902">
        <f>+AE372/AB372-1</f>
        <v>0.10643366625736639</v>
      </c>
      <c r="AF373" s="852">
        <f>AF372/AC372-1</f>
        <v>8.19242556285249E-2</v>
      </c>
      <c r="AG373" s="902">
        <f>+AG372/AD372-1</f>
        <v>7.2334312069569418E-2</v>
      </c>
      <c r="AH373" s="902">
        <f>+AH372/AE372-1</f>
        <v>8.1947005644603665E-2</v>
      </c>
      <c r="AI373" s="852">
        <f>AI372/AF372-1</f>
        <v>7.6657487141095215E-2</v>
      </c>
      <c r="AJ373" s="852"/>
      <c r="AK373" s="852"/>
      <c r="AL373" s="852">
        <f>AL372/AI372-1</f>
        <v>6.8659037775685938E-2</v>
      </c>
      <c r="AM373" s="852"/>
      <c r="AN373" s="852"/>
      <c r="AO373" s="852">
        <f>AO372/AL372-1</f>
        <v>5.0805789969684101E-2</v>
      </c>
      <c r="AP373" s="852"/>
      <c r="AQ373" s="852"/>
      <c r="AR373" s="852">
        <f>AR372/AO372-1</f>
        <v>5.0596094135872516E-2</v>
      </c>
      <c r="AS373" s="852"/>
      <c r="AT373" s="852"/>
      <c r="AU373" s="852">
        <f>AU372/AR372-1</f>
        <v>5.0390741807705863E-2</v>
      </c>
      <c r="AV373" s="852"/>
      <c r="AW373" s="852"/>
      <c r="AX373" s="852">
        <f>AX372/AU372-1</f>
        <v>4.9149141906804861E-2</v>
      </c>
      <c r="AY373" s="852"/>
      <c r="AZ373" s="852"/>
      <c r="BA373" s="852">
        <f>BA372/AX372-1</f>
        <v>4.8967612625601342E-2</v>
      </c>
      <c r="BB373" s="852"/>
      <c r="BC373" s="852"/>
      <c r="BD373" s="852">
        <f>BD372/BA372-1</f>
        <v>4.8789687141657989E-2</v>
      </c>
      <c r="BE373" s="852"/>
      <c r="BF373" s="852"/>
      <c r="BG373" s="852">
        <f>BG372/BD372-1</f>
        <v>4.8615255584693262E-2</v>
      </c>
      <c r="BH373" s="852"/>
      <c r="BI373" s="852"/>
      <c r="BJ373" s="852">
        <f t="shared" ref="BJ373" si="895">BJ372/BG372-1</f>
        <v>4.8444212612591464E-2</v>
      </c>
    </row>
    <row r="374" spans="2:64" ht="12" customHeight="1">
      <c r="B374" s="812" t="s">
        <v>152</v>
      </c>
      <c r="C374" s="987">
        <f t="shared" ref="C374:AU374" si="896">+C372/C350</f>
        <v>0.1037716615698267</v>
      </c>
      <c r="D374" s="987">
        <f t="shared" si="896"/>
        <v>8.8074994549814684E-2</v>
      </c>
      <c r="E374" s="902">
        <f t="shared" si="896"/>
        <v>9.6186262115465646E-2</v>
      </c>
      <c r="F374" s="902">
        <f t="shared" si="896"/>
        <v>0.10262008733624454</v>
      </c>
      <c r="G374" s="902">
        <f t="shared" si="896"/>
        <v>8.3718973496003352E-2</v>
      </c>
      <c r="H374" s="902">
        <f t="shared" si="896"/>
        <v>9.3443627450980393E-2</v>
      </c>
      <c r="I374" s="902">
        <f t="shared" si="896"/>
        <v>0.10383661004008399</v>
      </c>
      <c r="J374" s="902">
        <f t="shared" si="896"/>
        <v>0.08</v>
      </c>
      <c r="K374" s="904">
        <f t="shared" si="896"/>
        <v>9.2286501377410471E-2</v>
      </c>
      <c r="L374" s="902">
        <f t="shared" si="896"/>
        <v>0.10759027266028004</v>
      </c>
      <c r="M374" s="902">
        <f t="shared" si="896"/>
        <v>0.10528438886647842</v>
      </c>
      <c r="N374" s="902">
        <f t="shared" si="896"/>
        <v>0.10648950510302331</v>
      </c>
      <c r="O374" s="902">
        <f t="shared" si="896"/>
        <v>0.16674683341350008</v>
      </c>
      <c r="P374" s="902">
        <f t="shared" si="896"/>
        <v>0.13256584685156109</v>
      </c>
      <c r="Q374" s="902">
        <f t="shared" si="896"/>
        <v>0.15037593984962402</v>
      </c>
      <c r="R374" s="902">
        <f t="shared" si="896"/>
        <v>0.12351387054161164</v>
      </c>
      <c r="S374" s="902">
        <f t="shared" si="896"/>
        <v>0.13322341302555651</v>
      </c>
      <c r="T374" s="902">
        <f t="shared" si="896"/>
        <v>0.12837224651431403</v>
      </c>
      <c r="U374" s="902">
        <f t="shared" si="896"/>
        <v>0.13403724886346971</v>
      </c>
      <c r="V374" s="902">
        <f t="shared" si="896"/>
        <v>0.11220911699075553</v>
      </c>
      <c r="W374" s="902">
        <f t="shared" si="896"/>
        <v>0.12357748415183688</v>
      </c>
      <c r="X374" s="902">
        <f t="shared" ref="X374" si="897">+X372/X350</f>
        <v>0.11026898499034031</v>
      </c>
      <c r="Y374" s="902">
        <f t="shared" ref="Y374:Z374" si="898">+Y372/Y350</f>
        <v>7.6288993049943465E-2</v>
      </c>
      <c r="Z374" s="852">
        <f t="shared" si="898"/>
        <v>9.3991947971508213E-2</v>
      </c>
      <c r="AA374" s="902">
        <f t="shared" si="896"/>
        <v>9.8089171974522313E-2</v>
      </c>
      <c r="AB374" s="902">
        <f t="shared" si="896"/>
        <v>8.3015412788036022E-2</v>
      </c>
      <c r="AC374" s="853">
        <f t="shared" si="896"/>
        <v>9.0835658687031889E-2</v>
      </c>
      <c r="AD374" s="902">
        <f t="shared" ref="AD374:AE374" si="899">+AD372/AD350</f>
        <v>0.10012583156404811</v>
      </c>
      <c r="AE374" s="902">
        <f t="shared" si="899"/>
        <v>8.6374288122049128E-2</v>
      </c>
      <c r="AF374" s="852">
        <f t="shared" si="896"/>
        <v>9.3435658687031839E-2</v>
      </c>
      <c r="AG374" s="902">
        <f t="shared" si="896"/>
        <v>0.10112583156404809</v>
      </c>
      <c r="AH374" s="902">
        <f t="shared" si="896"/>
        <v>8.9145971812616659E-2</v>
      </c>
      <c r="AI374" s="852">
        <f t="shared" si="896"/>
        <v>9.5335658687031824E-2</v>
      </c>
      <c r="AJ374" s="852"/>
      <c r="AK374" s="852"/>
      <c r="AL374" s="852">
        <f t="shared" si="896"/>
        <v>9.7735658687031809E-2</v>
      </c>
      <c r="AM374" s="852"/>
      <c r="AN374" s="852"/>
      <c r="AO374" s="852">
        <f t="shared" si="896"/>
        <v>9.8535658687031846E-2</v>
      </c>
      <c r="AP374" s="852"/>
      <c r="AQ374" s="852"/>
      <c r="AR374" s="852">
        <f t="shared" si="896"/>
        <v>9.9335658687031883E-2</v>
      </c>
      <c r="AS374" s="852"/>
      <c r="AT374" s="852"/>
      <c r="AU374" s="852">
        <f t="shared" si="896"/>
        <v>0.10013565868703189</v>
      </c>
      <c r="AV374" s="852"/>
      <c r="AW374" s="852"/>
      <c r="AX374" s="852">
        <f t="shared" ref="AX374:BA374" si="900">+AX372/AX350</f>
        <v>0.10083565868703186</v>
      </c>
      <c r="AY374" s="852"/>
      <c r="AZ374" s="852"/>
      <c r="BA374" s="852">
        <f t="shared" si="900"/>
        <v>0.10153565868703188</v>
      </c>
      <c r="BB374" s="852"/>
      <c r="BC374" s="852"/>
      <c r="BD374" s="852">
        <f t="shared" ref="BD374:BG374" si="901">+BD372/BD350</f>
        <v>0.10223565868703188</v>
      </c>
      <c r="BE374" s="852"/>
      <c r="BF374" s="852"/>
      <c r="BG374" s="852">
        <f t="shared" si="901"/>
        <v>0.10293565868703189</v>
      </c>
      <c r="BH374" s="852"/>
      <c r="BI374" s="852"/>
      <c r="BJ374" s="852">
        <f t="shared" ref="BJ374" si="902">+BJ372/BJ350</f>
        <v>0.1036356586870319</v>
      </c>
      <c r="BK374" s="993"/>
    </row>
    <row r="375" spans="2:64" ht="12" customHeight="1">
      <c r="B375" s="1000"/>
      <c r="C375" s="987"/>
      <c r="D375" s="987"/>
      <c r="E375" s="1272"/>
      <c r="F375" s="941"/>
      <c r="G375" s="1272"/>
      <c r="H375" s="941"/>
      <c r="I375" s="941"/>
      <c r="J375" s="941"/>
      <c r="K375" s="1273"/>
      <c r="L375" s="941"/>
      <c r="M375" s="941"/>
      <c r="N375" s="941"/>
      <c r="O375" s="941"/>
      <c r="P375" s="941"/>
      <c r="Q375" s="1274"/>
      <c r="R375" s="941"/>
      <c r="S375" s="941"/>
      <c r="T375" s="1275"/>
      <c r="U375" s="941"/>
      <c r="V375" s="941"/>
      <c r="W375" s="941"/>
      <c r="X375" s="941"/>
      <c r="Y375" s="941"/>
      <c r="Z375" s="1272"/>
      <c r="AA375" s="1274"/>
      <c r="AB375" s="941"/>
      <c r="AC375" s="997"/>
      <c r="AD375" s="941"/>
      <c r="AE375" s="941"/>
      <c r="AF375" s="1272"/>
      <c r="AG375" s="941"/>
      <c r="AH375" s="941"/>
      <c r="AI375" s="987"/>
      <c r="AJ375" s="987"/>
      <c r="AK375" s="987"/>
      <c r="AL375" s="987"/>
      <c r="AM375" s="987"/>
      <c r="AN375" s="987"/>
      <c r="AO375" s="987"/>
      <c r="AP375" s="987"/>
      <c r="AQ375" s="987"/>
      <c r="AR375" s="987"/>
      <c r="AS375" s="987"/>
      <c r="AT375" s="987"/>
      <c r="AU375" s="987"/>
      <c r="AV375" s="987"/>
      <c r="AW375" s="987"/>
      <c r="AX375" s="987"/>
      <c r="AY375" s="987"/>
      <c r="AZ375" s="987"/>
      <c r="BA375" s="987"/>
      <c r="BB375" s="987"/>
      <c r="BC375" s="987"/>
      <c r="BD375" s="987"/>
      <c r="BE375" s="987"/>
      <c r="BF375" s="987"/>
      <c r="BG375" s="987"/>
      <c r="BH375" s="987"/>
      <c r="BI375" s="987"/>
      <c r="BJ375" s="987"/>
      <c r="BK375" s="993"/>
    </row>
    <row r="376" spans="2:64" s="1024" customFormat="1">
      <c r="B376" s="1017" t="s">
        <v>263</v>
      </c>
      <c r="C376" s="973"/>
      <c r="D376" s="973"/>
      <c r="E376" s="973"/>
      <c r="F376" s="1018"/>
      <c r="G376" s="973"/>
      <c r="H376" s="973"/>
      <c r="I376" s="1018"/>
      <c r="J376" s="973"/>
      <c r="K376" s="1019"/>
      <c r="L376" s="1018"/>
      <c r="M376" s="973"/>
      <c r="N376" s="1025">
        <v>140.1</v>
      </c>
      <c r="O376" s="1025"/>
      <c r="P376" s="1025"/>
      <c r="Q376" s="1025">
        <v>191.4</v>
      </c>
      <c r="R376" s="1025"/>
      <c r="S376" s="1025"/>
      <c r="T376" s="1025">
        <v>214.1</v>
      </c>
      <c r="U376" s="1025"/>
      <c r="V376" s="1025"/>
      <c r="W376" s="1025">
        <v>225.2</v>
      </c>
      <c r="X376" s="1025">
        <v>261.60000000000002</v>
      </c>
      <c r="Y376" s="1025"/>
      <c r="Z376" s="1025">
        <v>246.6</v>
      </c>
      <c r="AA376" s="1025">
        <v>285.10000000000002</v>
      </c>
      <c r="AB376" s="1025"/>
      <c r="AC376" s="1026">
        <v>260.5</v>
      </c>
      <c r="AD376" s="973"/>
      <c r="AE376" s="973"/>
      <c r="AF376" s="973"/>
      <c r="AG376" s="973"/>
      <c r="AH376" s="973"/>
      <c r="AI376" s="973"/>
      <c r="AJ376" s="973"/>
      <c r="AK376" s="973"/>
      <c r="AL376" s="973"/>
      <c r="AM376" s="973"/>
      <c r="AN376" s="973"/>
      <c r="AO376" s="973"/>
      <c r="AP376" s="973"/>
      <c r="AQ376" s="973"/>
      <c r="AR376" s="973"/>
      <c r="AS376" s="973"/>
      <c r="AT376" s="973"/>
      <c r="AU376" s="973"/>
      <c r="AV376" s="973"/>
      <c r="AW376" s="973"/>
      <c r="AX376" s="973"/>
      <c r="AY376" s="973"/>
      <c r="AZ376" s="973"/>
      <c r="BA376" s="973"/>
      <c r="BB376" s="973"/>
      <c r="BC376" s="973"/>
      <c r="BD376" s="973"/>
      <c r="BE376" s="973"/>
      <c r="BF376" s="973"/>
      <c r="BG376" s="973"/>
      <c r="BH376" s="973"/>
      <c r="BI376" s="973"/>
      <c r="BJ376" s="973"/>
      <c r="BK376" s="1022"/>
      <c r="BL376" s="1023"/>
    </row>
    <row r="377" spans="2:64" s="1024" customFormat="1">
      <c r="B377" s="1017" t="s">
        <v>799</v>
      </c>
      <c r="C377" s="973"/>
      <c r="D377" s="973"/>
      <c r="E377" s="973"/>
      <c r="F377" s="1018"/>
      <c r="G377" s="973"/>
      <c r="H377" s="973"/>
      <c r="I377" s="1018"/>
      <c r="J377" s="973"/>
      <c r="K377" s="1019"/>
      <c r="L377" s="1018"/>
      <c r="M377" s="973"/>
      <c r="N377" s="1025">
        <v>-68.8</v>
      </c>
      <c r="O377" s="1025"/>
      <c r="P377" s="1025"/>
      <c r="Q377" s="1025">
        <v>-96.3</v>
      </c>
      <c r="R377" s="1025"/>
      <c r="S377" s="1025"/>
      <c r="T377" s="1025">
        <v>-84</v>
      </c>
      <c r="U377" s="1025"/>
      <c r="V377" s="1025"/>
      <c r="W377" s="1025">
        <v>-69.5</v>
      </c>
      <c r="X377" s="1025">
        <v>-142.30000000000001</v>
      </c>
      <c r="Y377" s="1025"/>
      <c r="Z377" s="1025">
        <v>-98.6</v>
      </c>
      <c r="AA377" s="1025">
        <v>-159.5</v>
      </c>
      <c r="AB377" s="1025"/>
      <c r="AC377" s="1026">
        <v>-92.1</v>
      </c>
      <c r="AD377" s="973"/>
      <c r="AE377" s="973"/>
      <c r="AF377" s="973"/>
      <c r="AG377" s="973"/>
      <c r="AH377" s="973"/>
      <c r="AI377" s="973"/>
      <c r="AJ377" s="973"/>
      <c r="AK377" s="973"/>
      <c r="AL377" s="973"/>
      <c r="AM377" s="973"/>
      <c r="AN377" s="973"/>
      <c r="AO377" s="973"/>
      <c r="AP377" s="973"/>
      <c r="AQ377" s="973"/>
      <c r="AR377" s="973"/>
      <c r="AS377" s="973"/>
      <c r="AT377" s="973"/>
      <c r="AU377" s="973"/>
      <c r="AV377" s="973"/>
      <c r="AW377" s="973"/>
      <c r="AX377" s="973"/>
      <c r="AY377" s="973"/>
      <c r="AZ377" s="973"/>
      <c r="BA377" s="973"/>
      <c r="BB377" s="973"/>
      <c r="BC377" s="973"/>
      <c r="BD377" s="973"/>
      <c r="BE377" s="973"/>
      <c r="BF377" s="973"/>
      <c r="BG377" s="973"/>
      <c r="BH377" s="973"/>
      <c r="BI377" s="973"/>
      <c r="BJ377" s="973"/>
      <c r="BK377" s="1022"/>
      <c r="BL377" s="1023"/>
    </row>
    <row r="378" spans="2:64" s="1145" customFormat="1">
      <c r="B378" s="1153" t="s">
        <v>800</v>
      </c>
      <c r="C378" s="979"/>
      <c r="D378" s="979"/>
      <c r="E378" s="979"/>
      <c r="F378" s="976"/>
      <c r="G378" s="979"/>
      <c r="H378" s="979"/>
      <c r="I378" s="976"/>
      <c r="J378" s="979"/>
      <c r="K378" s="1154"/>
      <c r="L378" s="976"/>
      <c r="M378" s="979"/>
      <c r="N378" s="979">
        <f>SUM(N376:N377)</f>
        <v>71.3</v>
      </c>
      <c r="O378" s="979"/>
      <c r="P378" s="979"/>
      <c r="Q378" s="979">
        <f>SUM(Q376:Q377)</f>
        <v>95.100000000000009</v>
      </c>
      <c r="R378" s="979"/>
      <c r="S378" s="979"/>
      <c r="T378" s="979">
        <f>SUM(T376:T377)</f>
        <v>130.1</v>
      </c>
      <c r="U378" s="979"/>
      <c r="V378" s="979"/>
      <c r="W378" s="979">
        <f>SUM(W376:W377)</f>
        <v>155.69999999999999</v>
      </c>
      <c r="X378" s="979">
        <f>SUM(X376:X377)</f>
        <v>119.30000000000001</v>
      </c>
      <c r="Y378" s="979"/>
      <c r="Z378" s="979">
        <f>SUM(Z376:Z377)</f>
        <v>148</v>
      </c>
      <c r="AA378" s="979">
        <f>SUM(AA376:AA377)</f>
        <v>125.60000000000002</v>
      </c>
      <c r="AB378" s="979"/>
      <c r="AC378" s="1095">
        <f>SUM(AC376:AC377)</f>
        <v>168.4</v>
      </c>
      <c r="AD378" s="979"/>
      <c r="AE378" s="979"/>
      <c r="AF378" s="979"/>
      <c r="AG378" s="979"/>
      <c r="AH378" s="979"/>
      <c r="AI378" s="979"/>
      <c r="AJ378" s="979"/>
      <c r="AK378" s="979"/>
      <c r="AL378" s="979"/>
      <c r="AM378" s="979"/>
      <c r="AN378" s="979"/>
      <c r="AO378" s="979"/>
      <c r="AP378" s="979"/>
      <c r="AQ378" s="979"/>
      <c r="AR378" s="979"/>
      <c r="AS378" s="979"/>
      <c r="AT378" s="979"/>
      <c r="AU378" s="979"/>
      <c r="AV378" s="979"/>
      <c r="AW378" s="979"/>
      <c r="AX378" s="979"/>
      <c r="AY378" s="979"/>
      <c r="AZ378" s="979"/>
      <c r="BA378" s="979"/>
      <c r="BB378" s="979"/>
      <c r="BC378" s="979"/>
      <c r="BD378" s="979"/>
      <c r="BE378" s="979"/>
      <c r="BF378" s="979"/>
      <c r="BG378" s="979"/>
      <c r="BH378" s="979"/>
      <c r="BI378" s="979"/>
      <c r="BJ378" s="979"/>
      <c r="BK378" s="1022"/>
      <c r="BL378" s="1023"/>
    </row>
    <row r="379" spans="2:64" s="1024" customFormat="1">
      <c r="B379" s="1017" t="s">
        <v>802</v>
      </c>
      <c r="C379" s="973"/>
      <c r="D379" s="973"/>
      <c r="E379" s="973"/>
      <c r="F379" s="1018"/>
      <c r="G379" s="973"/>
      <c r="H379" s="973"/>
      <c r="I379" s="1018"/>
      <c r="J379" s="973"/>
      <c r="K379" s="1019"/>
      <c r="L379" s="1018"/>
      <c r="M379" s="973"/>
      <c r="N379" s="973">
        <f>N376/(N350-N357)*365</f>
        <v>87.143346472191126</v>
      </c>
      <c r="O379" s="973"/>
      <c r="P379" s="973"/>
      <c r="Q379" s="973">
        <f>Q376/(Q350-Q357)*365</f>
        <v>111.16839718343476</v>
      </c>
      <c r="R379" s="973"/>
      <c r="S379" s="973"/>
      <c r="T379" s="973">
        <f>T376/(T350-T357)*365</f>
        <v>120.96058303909624</v>
      </c>
      <c r="U379" s="973"/>
      <c r="V379" s="973"/>
      <c r="W379" s="973">
        <f>W376/(W350-W357)*365</f>
        <v>116.47516050086669</v>
      </c>
      <c r="X379" s="973">
        <f>X376/(X350-X357)*365</f>
        <v>269.25852388328525</v>
      </c>
      <c r="Y379" s="973"/>
      <c r="Z379" s="973">
        <f>Z376/(Z350-Z357)*365</f>
        <v>126.47546986559531</v>
      </c>
      <c r="AA379" s="973">
        <f>AA376/(AA350-AA357)*365/2</f>
        <v>135.87783967011646</v>
      </c>
      <c r="AB379" s="973"/>
      <c r="AC379" s="1027">
        <f>AC376/(AC350-AC357)*365</f>
        <v>124.01632777848356</v>
      </c>
      <c r="AD379" s="973"/>
      <c r="AE379" s="973"/>
      <c r="AF379" s="973"/>
      <c r="AG379" s="973"/>
      <c r="AH379" s="973"/>
      <c r="AI379" s="973"/>
      <c r="AJ379" s="973"/>
      <c r="AK379" s="973"/>
      <c r="AL379" s="973"/>
      <c r="AM379" s="973"/>
      <c r="AN379" s="973"/>
      <c r="AO379" s="973"/>
      <c r="AP379" s="973"/>
      <c r="AQ379" s="973"/>
      <c r="AR379" s="973"/>
      <c r="AS379" s="973"/>
      <c r="AT379" s="973"/>
      <c r="AU379" s="973"/>
      <c r="AV379" s="973"/>
      <c r="AW379" s="973"/>
      <c r="AX379" s="973"/>
      <c r="AY379" s="973"/>
      <c r="AZ379" s="973"/>
      <c r="BA379" s="973"/>
      <c r="BB379" s="973"/>
      <c r="BC379" s="973"/>
      <c r="BD379" s="973"/>
      <c r="BE379" s="973"/>
      <c r="BF379" s="973"/>
      <c r="BG379" s="973"/>
      <c r="BH379" s="973"/>
      <c r="BI379" s="973"/>
      <c r="BJ379" s="973"/>
      <c r="BK379" s="1276"/>
      <c r="BL379" s="1277"/>
    </row>
    <row r="380" spans="2:64" s="828" customFormat="1">
      <c r="C380" s="951"/>
      <c r="D380" s="951"/>
      <c r="E380" s="951"/>
      <c r="F380" s="951"/>
      <c r="G380" s="951"/>
      <c r="H380" s="951"/>
      <c r="I380" s="951"/>
      <c r="J380" s="951"/>
      <c r="K380" s="952"/>
      <c r="L380" s="951"/>
      <c r="M380" s="951"/>
      <c r="N380" s="951"/>
      <c r="O380" s="951"/>
      <c r="P380" s="951"/>
      <c r="Q380" s="951"/>
      <c r="R380" s="951"/>
      <c r="S380" s="951"/>
      <c r="T380" s="951"/>
      <c r="U380" s="951"/>
      <c r="V380" s="951"/>
      <c r="W380" s="951"/>
      <c r="X380" s="951"/>
      <c r="Y380" s="951"/>
      <c r="Z380" s="951"/>
      <c r="AA380" s="1004"/>
      <c r="AB380" s="951"/>
      <c r="AC380" s="953"/>
      <c r="AD380" s="951"/>
      <c r="AE380" s="951"/>
      <c r="AF380" s="951"/>
      <c r="AG380" s="951"/>
      <c r="AH380" s="951"/>
      <c r="AI380" s="951"/>
      <c r="AJ380" s="951"/>
      <c r="AK380" s="951"/>
      <c r="AL380" s="951"/>
      <c r="AM380" s="951"/>
      <c r="AN380" s="951"/>
      <c r="AO380" s="951"/>
      <c r="AP380" s="951"/>
      <c r="AQ380" s="951"/>
      <c r="AR380" s="951"/>
      <c r="AS380" s="951"/>
      <c r="AT380" s="951"/>
      <c r="AU380" s="951"/>
      <c r="AV380" s="951"/>
      <c r="AW380" s="951"/>
      <c r="AX380" s="951"/>
      <c r="AY380" s="951"/>
      <c r="AZ380" s="951"/>
      <c r="BA380" s="951"/>
      <c r="BB380" s="951"/>
      <c r="BC380" s="951"/>
      <c r="BD380" s="951"/>
      <c r="BE380" s="951"/>
      <c r="BF380" s="951"/>
      <c r="BG380" s="951"/>
      <c r="BH380" s="951"/>
      <c r="BI380" s="951"/>
      <c r="BJ380" s="951"/>
      <c r="BK380" s="1028"/>
      <c r="BL380" s="811"/>
    </row>
    <row r="381" spans="2:64" s="828" customFormat="1">
      <c r="B381" s="828" t="s">
        <v>390</v>
      </c>
      <c r="C381" s="1006"/>
      <c r="D381" s="845"/>
      <c r="E381" s="834">
        <f>H381/(1+H382)</f>
        <v>28.344671201814059</v>
      </c>
      <c r="F381" s="1006"/>
      <c r="G381" s="845"/>
      <c r="H381" s="834">
        <f>K381/(1+K382)</f>
        <v>71.428571428571431</v>
      </c>
      <c r="I381" s="834">
        <f>I383*I340</f>
        <v>57.628999999999998</v>
      </c>
      <c r="J381" s="845">
        <f>K381-I381</f>
        <v>37.371000000000002</v>
      </c>
      <c r="K381" s="846">
        <v>95</v>
      </c>
      <c r="L381" s="834">
        <v>59.3</v>
      </c>
      <c r="M381" s="845">
        <f>N381-L381</f>
        <v>82.250000000000014</v>
      </c>
      <c r="N381" s="845">
        <f>K381*(1+N382)</f>
        <v>141.55000000000001</v>
      </c>
      <c r="O381" s="845">
        <v>119.9</v>
      </c>
      <c r="P381" s="845">
        <f>Q381-O381</f>
        <v>72.608000000000004</v>
      </c>
      <c r="Q381" s="845">
        <f>N381*(1+Q382)</f>
        <v>192.50800000000001</v>
      </c>
      <c r="R381" s="845">
        <v>187</v>
      </c>
      <c r="S381" s="845">
        <f>T381-R381</f>
        <v>80.586120000000051</v>
      </c>
      <c r="T381" s="845">
        <f>Q381*(1+T382)</f>
        <v>267.58612000000005</v>
      </c>
      <c r="U381" s="1004">
        <v>107</v>
      </c>
      <c r="V381" s="845"/>
      <c r="W381" s="1004">
        <v>198</v>
      </c>
      <c r="X381" s="1004">
        <v>120</v>
      </c>
      <c r="Y381" s="1004"/>
      <c r="Z381" s="1004">
        <v>222</v>
      </c>
      <c r="AA381" s="828">
        <v>138</v>
      </c>
      <c r="AB381" s="1004"/>
      <c r="AC381" s="1005">
        <v>248</v>
      </c>
      <c r="AD381" s="845"/>
      <c r="AE381" s="845"/>
      <c r="AF381" s="845">
        <f>AC381*(1+AF382)</f>
        <v>260.40000000000003</v>
      </c>
      <c r="AG381" s="845"/>
      <c r="AH381" s="845"/>
      <c r="AI381" s="845">
        <f>AF381*(1+AI382)</f>
        <v>273.42000000000007</v>
      </c>
      <c r="AJ381" s="845"/>
      <c r="AK381" s="845"/>
      <c r="AL381" s="845">
        <f>AI381*(1+AL382)</f>
        <v>287.09100000000007</v>
      </c>
      <c r="AM381" s="845"/>
      <c r="AN381" s="845"/>
      <c r="AO381" s="845">
        <f>AL381*(1+AO382)</f>
        <v>301.44555000000008</v>
      </c>
      <c r="AP381" s="845"/>
      <c r="AQ381" s="845"/>
      <c r="AR381" s="845">
        <f>AO381*(1+AR382)</f>
        <v>316.51782750000012</v>
      </c>
      <c r="AS381" s="845"/>
      <c r="AT381" s="845"/>
      <c r="AU381" s="845">
        <f>AR381*(1+AU382)</f>
        <v>332.34371887500015</v>
      </c>
      <c r="AV381" s="845"/>
      <c r="AW381" s="845"/>
      <c r="AX381" s="845">
        <f>AU381*(1+AX382)</f>
        <v>348.96090481875018</v>
      </c>
      <c r="AY381" s="845"/>
      <c r="AZ381" s="845"/>
      <c r="BA381" s="845">
        <f>AX381*(1+BA382)</f>
        <v>366.4089500596877</v>
      </c>
      <c r="BB381" s="845"/>
      <c r="BC381" s="845"/>
      <c r="BD381" s="845">
        <f>BA381*(1+BD382)</f>
        <v>384.72939756267209</v>
      </c>
      <c r="BE381" s="845"/>
      <c r="BF381" s="845"/>
      <c r="BG381" s="845">
        <f>BD381*(1+BG382)</f>
        <v>403.96586744080571</v>
      </c>
      <c r="BH381" s="845"/>
      <c r="BI381" s="845"/>
      <c r="BJ381" s="845">
        <f t="shared" ref="BJ381" si="903">BG381*(1+BJ382)</f>
        <v>424.16416081284603</v>
      </c>
      <c r="BK381" s="873"/>
      <c r="BL381" s="992"/>
    </row>
    <row r="382" spans="2:64" s="828" customFormat="1">
      <c r="B382" s="812" t="s">
        <v>391</v>
      </c>
      <c r="C382" s="991"/>
      <c r="D382" s="834"/>
      <c r="E382" s="1006"/>
      <c r="F382" s="947">
        <v>1.74</v>
      </c>
      <c r="G382" s="834"/>
      <c r="H382" s="1007">
        <v>1.52</v>
      </c>
      <c r="I382" s="840"/>
      <c r="J382" s="834"/>
      <c r="K382" s="945">
        <v>0.33</v>
      </c>
      <c r="L382" s="944">
        <f>L381/I381-1</f>
        <v>2.8995818077703905E-2</v>
      </c>
      <c r="M382" s="944">
        <f>M381/J381-1</f>
        <v>1.2009044446228363</v>
      </c>
      <c r="N382" s="947">
        <v>0.49</v>
      </c>
      <c r="O382" s="947">
        <f>O381/L381-1</f>
        <v>1.021922428330523</v>
      </c>
      <c r="P382" s="947">
        <f>P381/M381-1</f>
        <v>-0.11722796352583598</v>
      </c>
      <c r="Q382" s="947">
        <v>0.36</v>
      </c>
      <c r="R382" s="947">
        <f>R381/O381-1</f>
        <v>0.55963302752293576</v>
      </c>
      <c r="S382" s="947">
        <f>S381/P381-1</f>
        <v>0.1098793521375061</v>
      </c>
      <c r="T382" s="947">
        <v>0.39</v>
      </c>
      <c r="U382" s="947">
        <f>U381/R381-1</f>
        <v>-0.42780748663101609</v>
      </c>
      <c r="V382" s="991"/>
      <c r="W382" s="947">
        <f>W381/T381-1</f>
        <v>-0.26005130609913563</v>
      </c>
      <c r="X382" s="947">
        <f>X381/U381-1</f>
        <v>0.12149532710280364</v>
      </c>
      <c r="Y382" s="991"/>
      <c r="Z382" s="1148">
        <f>Z381/W381-1</f>
        <v>0.1212121212121211</v>
      </c>
      <c r="AA382" s="944">
        <f>AA381/X381-1</f>
        <v>0.14999999999999991</v>
      </c>
      <c r="AB382" s="991"/>
      <c r="AC382" s="1265">
        <v>0.05</v>
      </c>
      <c r="AD382" s="845"/>
      <c r="AE382" s="834"/>
      <c r="AF382" s="944">
        <v>0.05</v>
      </c>
      <c r="AG382" s="845"/>
      <c r="AH382" s="834"/>
      <c r="AI382" s="944">
        <v>0.05</v>
      </c>
      <c r="AJ382" s="944"/>
      <c r="AK382" s="944"/>
      <c r="AL382" s="944">
        <v>0.05</v>
      </c>
      <c r="AM382" s="944"/>
      <c r="AN382" s="944"/>
      <c r="AO382" s="944">
        <v>0.05</v>
      </c>
      <c r="AP382" s="944"/>
      <c r="AQ382" s="944"/>
      <c r="AR382" s="944">
        <v>0.05</v>
      </c>
      <c r="AS382" s="944"/>
      <c r="AT382" s="944"/>
      <c r="AU382" s="944">
        <v>0.05</v>
      </c>
      <c r="AV382" s="944"/>
      <c r="AW382" s="944"/>
      <c r="AX382" s="944">
        <v>0.05</v>
      </c>
      <c r="AY382" s="944"/>
      <c r="AZ382" s="944"/>
      <c r="BA382" s="944">
        <v>0.05</v>
      </c>
      <c r="BB382" s="944"/>
      <c r="BC382" s="944"/>
      <c r="BD382" s="944">
        <v>0.05</v>
      </c>
      <c r="BE382" s="944"/>
      <c r="BF382" s="944"/>
      <c r="BG382" s="944">
        <v>0.05</v>
      </c>
      <c r="BH382" s="944"/>
      <c r="BI382" s="944"/>
      <c r="BJ382" s="944">
        <v>0.05</v>
      </c>
      <c r="BK382" s="873"/>
      <c r="BL382" s="992"/>
    </row>
    <row r="383" spans="2:64" s="828" customFormat="1">
      <c r="B383" s="812" t="s">
        <v>392</v>
      </c>
      <c r="C383" s="991"/>
      <c r="D383" s="834"/>
      <c r="E383" s="1006"/>
      <c r="F383" s="991"/>
      <c r="G383" s="834"/>
      <c r="H383" s="1007">
        <v>0.08</v>
      </c>
      <c r="I383" s="947">
        <v>0.11</v>
      </c>
      <c r="J383" s="834"/>
      <c r="K383" s="1089">
        <f t="shared" ref="K383:U383" si="904">K381/K340</f>
        <v>9.3467138921684373E-2</v>
      </c>
      <c r="L383" s="947">
        <f t="shared" si="904"/>
        <v>0.10924834193072955</v>
      </c>
      <c r="M383" s="944">
        <f t="shared" si="904"/>
        <v>0.1658935054457443</v>
      </c>
      <c r="N383" s="944">
        <f t="shared" si="904"/>
        <v>0.13628923550933952</v>
      </c>
      <c r="O383" s="944">
        <f t="shared" si="904"/>
        <v>0.19223985890652556</v>
      </c>
      <c r="P383" s="944">
        <f t="shared" si="904"/>
        <v>0.12664922379208096</v>
      </c>
      <c r="Q383" s="944">
        <f t="shared" si="904"/>
        <v>0.16082539682539684</v>
      </c>
      <c r="R383" s="944">
        <f t="shared" si="904"/>
        <v>0.30878467635402906</v>
      </c>
      <c r="S383" s="944">
        <f t="shared" si="904"/>
        <v>0.13287076669414685</v>
      </c>
      <c r="T383" s="944">
        <f>T381/T340</f>
        <v>0.22076241234221605</v>
      </c>
      <c r="U383" s="944">
        <f t="shared" si="904"/>
        <v>0.15691450359290218</v>
      </c>
      <c r="V383" s="944"/>
      <c r="W383" s="944">
        <f t="shared" ref="W383:AU383" si="905">W381/W340</f>
        <v>0.15122584587183993</v>
      </c>
      <c r="X383" s="944">
        <f t="shared" si="905"/>
        <v>0.17833259028087384</v>
      </c>
      <c r="Y383" s="944"/>
      <c r="Z383" s="944">
        <f t="shared" ref="Z383:AA383" si="906">Z381/Z340</f>
        <v>0.17187983895943018</v>
      </c>
      <c r="AA383" s="944">
        <f t="shared" si="906"/>
        <v>0.19532908704883228</v>
      </c>
      <c r="AB383" s="944"/>
      <c r="AC383" s="989">
        <f t="shared" si="905"/>
        <v>0.182111910706418</v>
      </c>
      <c r="AD383" s="944"/>
      <c r="AE383" s="944"/>
      <c r="AF383" s="944">
        <f t="shared" si="905"/>
        <v>0.18179715163267002</v>
      </c>
      <c r="AG383" s="944"/>
      <c r="AH383" s="944"/>
      <c r="AI383" s="944">
        <f t="shared" si="905"/>
        <v>0.1809012337045354</v>
      </c>
      <c r="AJ383" s="944"/>
      <c r="AK383" s="944"/>
      <c r="AL383" s="944">
        <f t="shared" si="905"/>
        <v>0.18221718682000176</v>
      </c>
      <c r="AM383" s="944"/>
      <c r="AN383" s="944"/>
      <c r="AO383" s="944">
        <f t="shared" si="905"/>
        <v>0.1835678237611057</v>
      </c>
      <c r="AP383" s="944"/>
      <c r="AQ383" s="944"/>
      <c r="AR383" s="944">
        <f t="shared" si="905"/>
        <v>0.1849531908699826</v>
      </c>
      <c r="AS383" s="944"/>
      <c r="AT383" s="944"/>
      <c r="AU383" s="944">
        <f t="shared" si="905"/>
        <v>0.18637335584149486</v>
      </c>
      <c r="AV383" s="944"/>
      <c r="AW383" s="944"/>
      <c r="AX383" s="944">
        <f t="shared" ref="AX383:BA383" si="907">AX381/AX340</f>
        <v>0.18782840697538047</v>
      </c>
      <c r="AY383" s="944"/>
      <c r="AZ383" s="944"/>
      <c r="BA383" s="944">
        <f t="shared" si="907"/>
        <v>0.18931845248643062</v>
      </c>
      <c r="BB383" s="944"/>
      <c r="BC383" s="944"/>
      <c r="BD383" s="944">
        <f t="shared" ref="BD383:BG383" si="908">BD381/BD340</f>
        <v>0.19084361986841777</v>
      </c>
      <c r="BE383" s="944"/>
      <c r="BF383" s="944"/>
      <c r="BG383" s="944">
        <f t="shared" si="908"/>
        <v>0.19240405530786828</v>
      </c>
      <c r="BH383" s="944"/>
      <c r="BI383" s="944"/>
      <c r="BJ383" s="944">
        <f t="shared" ref="BJ383" si="909">BJ381/BJ340</f>
        <v>0.19399992314411055</v>
      </c>
      <c r="BK383" s="873"/>
      <c r="BL383" s="992"/>
    </row>
    <row r="384" spans="2:64" s="828" customFormat="1">
      <c r="B384" s="812" t="s">
        <v>533</v>
      </c>
      <c r="C384" s="991"/>
      <c r="D384" s="834"/>
      <c r="E384" s="1006"/>
      <c r="F384" s="991"/>
      <c r="G384" s="834"/>
      <c r="H384" s="1007">
        <f>(H381-E381)/(H340-E340)</f>
        <v>1.436130007558579</v>
      </c>
      <c r="I384" s="947"/>
      <c r="J384" s="834"/>
      <c r="K384" s="1278">
        <f>(K381-H381)/(K340-H340)</f>
        <v>0.63364055299539279</v>
      </c>
      <c r="L384" s="947"/>
      <c r="M384" s="944"/>
      <c r="N384" s="1007">
        <f>(N381-K381)/(N340-K340)</f>
        <v>2.0968468468468537</v>
      </c>
      <c r="O384" s="1007"/>
      <c r="P384" s="1007"/>
      <c r="Q384" s="1007">
        <f>(Q381-N381)/(Q340-N340)</f>
        <v>0.32170454545454524</v>
      </c>
      <c r="R384" s="1007"/>
      <c r="S384" s="1007"/>
      <c r="T384" s="1007">
        <f>(T381-Q381)/(T340-Q340)</f>
        <v>4.9720609271523504</v>
      </c>
      <c r="U384" s="944"/>
      <c r="V384" s="944"/>
      <c r="W384" s="1007">
        <f>(W381-T381)/(W340-T340)</f>
        <v>-0.71590658436214005</v>
      </c>
      <c r="X384" s="944"/>
      <c r="Y384" s="944"/>
      <c r="Z384" s="1007">
        <f>(Z381-W381)/(Z340-W340)</f>
        <v>-1.3559322033898271</v>
      </c>
      <c r="AA384" s="944"/>
      <c r="AB384" s="944"/>
      <c r="AC384" s="1281">
        <f>(AC381-Z381)/(AC340-Z340)</f>
        <v>0.37037037037037013</v>
      </c>
      <c r="AD384" s="944"/>
      <c r="AE384" s="944"/>
      <c r="AF384" s="1007">
        <f>(AF381-AC381)/(AF340-AC340)</f>
        <v>0.17572282583151283</v>
      </c>
      <c r="AG384" s="944"/>
      <c r="AH384" s="944"/>
      <c r="AI384" s="1007">
        <f>(AI381-AF381)/(AI340-AF340)</f>
        <v>0.16467088100543611</v>
      </c>
      <c r="AJ384" s="1007"/>
      <c r="AK384" s="1007"/>
      <c r="AL384" s="1007">
        <f>(AL381-AI381)/(AL340-AI340)</f>
        <v>0.21324136930146681</v>
      </c>
      <c r="AM384" s="1007"/>
      <c r="AN384" s="1007"/>
      <c r="AO384" s="1007">
        <f>(AO381-AL381)/(AO340-AL340)</f>
        <v>0.21551709933510485</v>
      </c>
      <c r="AP384" s="1007"/>
      <c r="AQ384" s="1007"/>
      <c r="AR384" s="1007">
        <f>(AR381-AO381)/(AR340-AO340)</f>
        <v>0.21783234852557112</v>
      </c>
      <c r="AS384" s="1007"/>
      <c r="AT384" s="1007"/>
      <c r="AU384" s="1007">
        <f>(AU381-AR381)/(AU340-AR340)</f>
        <v>0.22018761264552048</v>
      </c>
      <c r="AV384" s="1007"/>
      <c r="AW384" s="1007"/>
      <c r="AX384" s="1007">
        <f>(AX381-AU381)/(AX340-AU340)</f>
        <v>0.22258339929317633</v>
      </c>
      <c r="AY384" s="1007"/>
      <c r="AZ384" s="1007"/>
      <c r="BA384" s="1007">
        <f>(BA381-AX381)/(BA340-AX340)</f>
        <v>0.22502022794704249</v>
      </c>
      <c r="BB384" s="1007"/>
      <c r="BC384" s="1007"/>
      <c r="BD384" s="1007">
        <f>(BD381-BA381)/(BD340-BA340)</f>
        <v>0.22749863002814419</v>
      </c>
      <c r="BE384" s="1007"/>
      <c r="BF384" s="1007"/>
      <c r="BG384" s="1007">
        <f>(BG381-BD381)/(BG340-BD340)</f>
        <v>0.23001914896956066</v>
      </c>
      <c r="BH384" s="1007"/>
      <c r="BI384" s="1007"/>
      <c r="BJ384" s="1007">
        <f t="shared" ref="BJ384" si="910">(BJ381-BG381)/(BJ340-BG340)</f>
        <v>0.23258234029303027</v>
      </c>
      <c r="BK384" s="873"/>
      <c r="BL384" s="992"/>
    </row>
    <row r="385" spans="2:64" s="828" customFormat="1">
      <c r="B385" s="812" t="s">
        <v>426</v>
      </c>
      <c r="C385" s="947">
        <f>F385-0.087%</f>
        <v>0.19313</v>
      </c>
      <c r="D385" s="834"/>
      <c r="E385" s="1006"/>
      <c r="F385" s="947">
        <v>0.19400000000000001</v>
      </c>
      <c r="G385" s="834"/>
      <c r="H385" s="1007"/>
      <c r="I385" s="947"/>
      <c r="J385" s="834"/>
      <c r="K385" s="846"/>
      <c r="L385" s="947"/>
      <c r="M385" s="834"/>
      <c r="N385" s="845"/>
      <c r="O385" s="845"/>
      <c r="P385" s="845"/>
      <c r="Q385" s="845"/>
      <c r="R385" s="845"/>
      <c r="S385" s="845"/>
      <c r="T385" s="845"/>
      <c r="U385" s="845"/>
      <c r="V385" s="834"/>
      <c r="W385" s="845"/>
      <c r="X385" s="845"/>
      <c r="Y385" s="834"/>
      <c r="Z385" s="845"/>
      <c r="AA385" s="845"/>
      <c r="AB385" s="834"/>
      <c r="AC385" s="847"/>
      <c r="AD385" s="845"/>
      <c r="AE385" s="834"/>
      <c r="AF385" s="845"/>
      <c r="AG385" s="845"/>
      <c r="AH385" s="834"/>
      <c r="AI385" s="845"/>
      <c r="AJ385" s="845"/>
      <c r="AK385" s="845"/>
      <c r="AL385" s="845"/>
      <c r="AM385" s="845"/>
      <c r="AN385" s="845"/>
      <c r="AO385" s="845"/>
      <c r="AP385" s="845"/>
      <c r="AQ385" s="845"/>
      <c r="AR385" s="845"/>
      <c r="AS385" s="845"/>
      <c r="AT385" s="845"/>
      <c r="AU385" s="845"/>
      <c r="AV385" s="845"/>
      <c r="AW385" s="845"/>
      <c r="AX385" s="845"/>
      <c r="AY385" s="845"/>
      <c r="AZ385" s="845"/>
      <c r="BA385" s="845"/>
      <c r="BB385" s="845"/>
      <c r="BC385" s="845"/>
      <c r="BD385" s="845"/>
      <c r="BE385" s="845"/>
      <c r="BF385" s="845"/>
      <c r="BG385" s="845"/>
      <c r="BH385" s="845"/>
      <c r="BI385" s="845"/>
      <c r="BJ385" s="845"/>
      <c r="BK385" s="873"/>
      <c r="BL385" s="992"/>
    </row>
    <row r="386" spans="2:64" s="828" customFormat="1">
      <c r="B386" s="812" t="s">
        <v>425</v>
      </c>
      <c r="G386" s="834"/>
      <c r="H386" s="947">
        <v>0.16</v>
      </c>
      <c r="I386" s="947">
        <v>0.11</v>
      </c>
      <c r="J386" s="834"/>
      <c r="K386" s="846"/>
      <c r="L386" s="947"/>
      <c r="M386" s="834"/>
      <c r="N386" s="845"/>
      <c r="O386" s="845"/>
      <c r="P386" s="845"/>
      <c r="Q386" s="845"/>
      <c r="R386" s="845"/>
      <c r="S386" s="845"/>
      <c r="T386" s="1279">
        <v>0.10918045112781954</v>
      </c>
      <c r="U386" s="1151">
        <v>0.10418045112781953</v>
      </c>
      <c r="V386" s="1034">
        <v>0.10418045112781954</v>
      </c>
      <c r="W386" s="1279">
        <v>0.10418045112781954</v>
      </c>
      <c r="X386" s="1009">
        <v>0.10418045112782</v>
      </c>
      <c r="Y386" s="944">
        <v>0.10418045112781954</v>
      </c>
      <c r="Z386" s="845"/>
      <c r="AA386" s="1009">
        <v>0.10418045112781953</v>
      </c>
      <c r="AB386" s="944">
        <v>0.10418045112781954</v>
      </c>
      <c r="AC386" s="847"/>
      <c r="AD386" s="1009">
        <v>0.10418045112781953</v>
      </c>
      <c r="AE386" s="944">
        <v>0.10418045112781954</v>
      </c>
      <c r="AF386" s="845"/>
      <c r="AG386" s="1009">
        <v>0.10418045112781953</v>
      </c>
      <c r="AH386" s="944">
        <v>0.10418045112781954</v>
      </c>
      <c r="AI386" s="845"/>
      <c r="AJ386" s="845"/>
      <c r="AK386" s="845"/>
      <c r="AL386" s="845"/>
      <c r="AM386" s="845"/>
      <c r="AN386" s="845"/>
      <c r="AO386" s="845"/>
      <c r="AP386" s="845"/>
      <c r="AQ386" s="845"/>
      <c r="AR386" s="1279"/>
      <c r="AS386" s="845"/>
      <c r="AT386" s="845"/>
      <c r="AU386" s="845"/>
      <c r="AV386" s="845"/>
      <c r="AW386" s="845"/>
      <c r="AX386" s="845"/>
      <c r="AY386" s="845"/>
      <c r="AZ386" s="845"/>
      <c r="BA386" s="845"/>
      <c r="BB386" s="845"/>
      <c r="BC386" s="845"/>
      <c r="BD386" s="845"/>
      <c r="BE386" s="845"/>
      <c r="BF386" s="845"/>
      <c r="BG386" s="845"/>
      <c r="BH386" s="845"/>
      <c r="BI386" s="845"/>
      <c r="BJ386" s="845"/>
      <c r="BK386" s="873"/>
      <c r="BL386" s="992"/>
    </row>
    <row r="387" spans="2:64" s="828" customFormat="1">
      <c r="B387" s="812"/>
      <c r="G387" s="834"/>
      <c r="H387" s="947"/>
      <c r="I387" s="947"/>
      <c r="J387" s="834"/>
      <c r="K387" s="846"/>
      <c r="L387" s="947"/>
      <c r="M387" s="834"/>
      <c r="N387" s="845"/>
      <c r="O387" s="845"/>
      <c r="P387" s="845"/>
      <c r="Q387" s="845"/>
      <c r="R387" s="845"/>
      <c r="S387" s="845"/>
      <c r="T387" s="845"/>
      <c r="U387" s="845"/>
      <c r="V387" s="834"/>
      <c r="W387" s="845"/>
      <c r="X387" s="845"/>
      <c r="Y387" s="834"/>
      <c r="Z387" s="845"/>
      <c r="AA387" s="845"/>
      <c r="AB387" s="834"/>
      <c r="AC387" s="847"/>
      <c r="AD387" s="845"/>
      <c r="AE387" s="834"/>
      <c r="AF387" s="845"/>
      <c r="AG387" s="845"/>
      <c r="AH387" s="834"/>
      <c r="AI387" s="845"/>
      <c r="AJ387" s="845"/>
      <c r="AK387" s="845"/>
      <c r="AL387" s="845"/>
      <c r="AM387" s="845"/>
      <c r="AN387" s="845"/>
      <c r="AO387" s="845"/>
      <c r="AP387" s="845"/>
      <c r="AQ387" s="845"/>
      <c r="AR387" s="845"/>
      <c r="AS387" s="845"/>
      <c r="AT387" s="845"/>
      <c r="AU387" s="845"/>
      <c r="AV387" s="845"/>
      <c r="AW387" s="845"/>
      <c r="AX387" s="845"/>
      <c r="AY387" s="845"/>
      <c r="AZ387" s="845"/>
      <c r="BA387" s="845"/>
      <c r="BB387" s="845"/>
      <c r="BC387" s="845"/>
      <c r="BD387" s="845"/>
      <c r="BE387" s="845"/>
      <c r="BF387" s="845"/>
      <c r="BG387" s="845"/>
      <c r="BH387" s="845"/>
      <c r="BI387" s="845"/>
      <c r="BJ387" s="845"/>
      <c r="BK387" s="873"/>
      <c r="BL387" s="992"/>
    </row>
    <row r="388" spans="2:64" s="828" customFormat="1">
      <c r="B388" s="812" t="s">
        <v>815</v>
      </c>
      <c r="G388" s="834"/>
      <c r="H388" s="947"/>
      <c r="I388" s="947"/>
      <c r="J388" s="834"/>
      <c r="K388" s="846"/>
      <c r="L388" s="947"/>
      <c r="M388" s="834"/>
      <c r="N388" s="845"/>
      <c r="O388" s="845"/>
      <c r="P388" s="845"/>
      <c r="Q388" s="845"/>
      <c r="R388" s="845"/>
      <c r="S388" s="845"/>
      <c r="T388" s="845"/>
      <c r="U388" s="845"/>
      <c r="V388" s="834"/>
      <c r="W388" s="845"/>
      <c r="X388" s="845"/>
      <c r="Y388" s="834"/>
      <c r="Z388" s="845"/>
      <c r="AA388" s="845"/>
      <c r="AB388" s="834"/>
      <c r="AC388" s="1011">
        <f>(AC350/E350)^(1/9)-1</f>
        <v>4.0919846293197448E-2</v>
      </c>
      <c r="AD388" s="845"/>
      <c r="AE388" s="834"/>
      <c r="AF388" s="845"/>
      <c r="AG388" s="845"/>
      <c r="AH388" s="834"/>
      <c r="AI388" s="845"/>
      <c r="AJ388" s="845"/>
      <c r="AK388" s="845"/>
      <c r="AL388" s="845"/>
      <c r="AM388" s="845"/>
      <c r="AN388" s="845"/>
      <c r="AO388" s="845"/>
      <c r="AP388" s="845"/>
      <c r="AQ388" s="845"/>
      <c r="AR388" s="1279">
        <f>214/AR350</f>
        <v>0.12504819446916071</v>
      </c>
      <c r="AS388" s="845"/>
      <c r="AT388" s="845"/>
      <c r="AU388" s="845"/>
      <c r="AV388" s="845"/>
      <c r="AW388" s="845"/>
      <c r="AX388" s="845"/>
      <c r="AY388" s="845"/>
      <c r="AZ388" s="845"/>
      <c r="BA388" s="845"/>
      <c r="BB388" s="845"/>
      <c r="BC388" s="845"/>
      <c r="BD388" s="845"/>
      <c r="BE388" s="845"/>
      <c r="BF388" s="845"/>
      <c r="BG388" s="845"/>
      <c r="BH388" s="845"/>
      <c r="BI388" s="845"/>
      <c r="BJ388" s="845"/>
      <c r="BK388" s="873"/>
      <c r="BL388" s="992"/>
    </row>
    <row r="389" spans="2:64" s="828" customFormat="1">
      <c r="B389" s="812" t="s">
        <v>816</v>
      </c>
      <c r="G389" s="834"/>
      <c r="H389" s="947"/>
      <c r="I389" s="947"/>
      <c r="J389" s="834"/>
      <c r="K389" s="846"/>
      <c r="L389" s="947"/>
      <c r="M389" s="834"/>
      <c r="N389" s="845"/>
      <c r="O389" s="845"/>
      <c r="P389" s="845"/>
      <c r="Q389" s="845"/>
      <c r="R389" s="845"/>
      <c r="S389" s="845"/>
      <c r="T389" s="845"/>
      <c r="U389" s="845"/>
      <c r="V389" s="834"/>
      <c r="W389" s="845"/>
      <c r="X389" s="845"/>
      <c r="Y389" s="834"/>
      <c r="Z389" s="845"/>
      <c r="AA389" s="845"/>
      <c r="AB389" s="834"/>
      <c r="AC389" s="847"/>
      <c r="AD389" s="845"/>
      <c r="AE389" s="834"/>
      <c r="AF389" s="845"/>
      <c r="AG389" s="845"/>
      <c r="AH389" s="834"/>
      <c r="AI389" s="845"/>
      <c r="AJ389" s="845"/>
      <c r="AK389" s="845"/>
      <c r="AL389" s="845"/>
      <c r="AM389" s="845"/>
      <c r="AN389" s="845"/>
      <c r="AO389" s="845"/>
      <c r="AP389" s="845"/>
      <c r="AQ389" s="845"/>
      <c r="AR389" s="845"/>
      <c r="AS389" s="845"/>
      <c r="AT389" s="845"/>
      <c r="AU389" s="845"/>
      <c r="AV389" s="845"/>
      <c r="AW389" s="845"/>
      <c r="AX389" s="845"/>
      <c r="AY389" s="845"/>
      <c r="AZ389" s="845"/>
      <c r="BA389" s="845"/>
      <c r="BB389" s="845"/>
      <c r="BC389" s="845"/>
      <c r="BD389" s="845"/>
      <c r="BE389" s="845"/>
      <c r="BF389" s="845"/>
      <c r="BG389" s="845"/>
      <c r="BH389" s="845"/>
      <c r="BI389" s="845"/>
      <c r="BJ389" s="845"/>
      <c r="BK389" s="873"/>
      <c r="BL389" s="992"/>
    </row>
    <row r="390" spans="2:64" s="828" customFormat="1">
      <c r="B390" s="812"/>
      <c r="G390" s="834"/>
      <c r="H390" s="947"/>
      <c r="I390" s="947"/>
      <c r="J390" s="834"/>
      <c r="K390" s="846"/>
      <c r="L390" s="947"/>
      <c r="M390" s="834"/>
      <c r="N390" s="845"/>
      <c r="O390" s="845"/>
      <c r="P390" s="845"/>
      <c r="Q390" s="845"/>
      <c r="R390" s="845"/>
      <c r="S390" s="845"/>
      <c r="T390" s="845"/>
      <c r="U390" s="845"/>
      <c r="V390" s="834"/>
      <c r="W390" s="845"/>
      <c r="X390" s="845"/>
      <c r="Y390" s="834"/>
      <c r="Z390" s="845"/>
      <c r="AA390" s="845"/>
      <c r="AB390" s="834"/>
      <c r="AC390" s="847"/>
      <c r="AD390" s="845"/>
      <c r="AE390" s="834"/>
      <c r="AF390" s="845"/>
      <c r="AG390" s="845"/>
      <c r="AH390" s="834"/>
      <c r="AI390" s="845"/>
      <c r="AJ390" s="845"/>
      <c r="AK390" s="845"/>
      <c r="AL390" s="845"/>
      <c r="AM390" s="845"/>
      <c r="AN390" s="845"/>
      <c r="AO390" s="845"/>
      <c r="AP390" s="845"/>
      <c r="AQ390" s="845"/>
      <c r="AR390" s="845"/>
      <c r="AS390" s="845"/>
      <c r="AT390" s="845"/>
      <c r="AU390" s="845"/>
      <c r="AV390" s="845"/>
      <c r="AW390" s="845"/>
      <c r="AX390" s="845"/>
      <c r="AY390" s="845"/>
      <c r="AZ390" s="845"/>
      <c r="BA390" s="845"/>
      <c r="BB390" s="845"/>
      <c r="BC390" s="845"/>
      <c r="BD390" s="845"/>
      <c r="BE390" s="845"/>
      <c r="BF390" s="845"/>
      <c r="BG390" s="845"/>
      <c r="BH390" s="845"/>
      <c r="BI390" s="845"/>
      <c r="BJ390" s="845"/>
      <c r="BK390" s="873"/>
      <c r="BL390" s="992"/>
    </row>
    <row r="391" spans="2:64">
      <c r="B391" s="1098" t="s">
        <v>953</v>
      </c>
      <c r="C391" s="921"/>
      <c r="D391" s="922"/>
      <c r="E391" s="921"/>
      <c r="F391" s="921"/>
      <c r="G391" s="922"/>
      <c r="H391" s="921"/>
      <c r="I391" s="922"/>
      <c r="J391" s="922"/>
      <c r="K391" s="1059"/>
      <c r="L391" s="922"/>
      <c r="M391" s="922"/>
      <c r="N391" s="922"/>
      <c r="O391" s="922"/>
      <c r="P391" s="922"/>
      <c r="Q391" s="922"/>
      <c r="R391" s="922"/>
      <c r="S391" s="922"/>
      <c r="T391" s="922"/>
      <c r="U391" s="922"/>
      <c r="V391" s="922"/>
      <c r="W391" s="922"/>
      <c r="X391" s="922"/>
      <c r="Y391" s="922"/>
      <c r="Z391" s="922"/>
      <c r="AA391" s="922"/>
      <c r="AB391" s="922"/>
      <c r="AC391" s="1244"/>
      <c r="AD391" s="922"/>
      <c r="AE391" s="922"/>
      <c r="AF391" s="922"/>
      <c r="AG391" s="922"/>
      <c r="AH391" s="922"/>
      <c r="AI391" s="922"/>
      <c r="AJ391" s="922"/>
      <c r="AK391" s="922"/>
      <c r="AL391" s="922"/>
      <c r="AM391" s="922"/>
      <c r="AN391" s="922"/>
      <c r="AO391" s="922"/>
      <c r="AP391" s="922"/>
      <c r="AQ391" s="922"/>
      <c r="AR391" s="922"/>
      <c r="AS391" s="922"/>
      <c r="AT391" s="922"/>
      <c r="AU391" s="922"/>
      <c r="AV391" s="922"/>
      <c r="AW391" s="922"/>
      <c r="AX391" s="922"/>
      <c r="AY391" s="922"/>
      <c r="AZ391" s="922"/>
      <c r="BA391" s="922"/>
      <c r="BB391" s="922"/>
      <c r="BC391" s="922"/>
      <c r="BD391" s="922"/>
      <c r="BE391" s="922"/>
      <c r="BF391" s="922"/>
      <c r="BG391" s="922"/>
      <c r="BH391" s="922"/>
      <c r="BI391" s="922"/>
      <c r="BJ391" s="922"/>
    </row>
    <row r="392" spans="2:64">
      <c r="B392" s="812" t="s">
        <v>941</v>
      </c>
      <c r="C392" s="899"/>
      <c r="D392" s="899"/>
      <c r="E392" s="899"/>
      <c r="F392" s="899"/>
      <c r="G392" s="899"/>
      <c r="H392" s="899"/>
      <c r="I392" s="899"/>
      <c r="J392" s="899"/>
      <c r="K392" s="900"/>
      <c r="L392" s="899"/>
      <c r="M392" s="899"/>
      <c r="N392" s="899"/>
      <c r="O392" s="899"/>
      <c r="P392" s="899"/>
      <c r="Q392" s="1007">
        <v>0.06</v>
      </c>
      <c r="R392" s="1007"/>
      <c r="S392" s="1007"/>
      <c r="T392" s="1007">
        <v>0.12</v>
      </c>
      <c r="U392" s="1007"/>
      <c r="V392" s="1280"/>
      <c r="W392" s="1007">
        <v>0.18</v>
      </c>
      <c r="X392" s="1007"/>
      <c r="Y392" s="931"/>
      <c r="Z392" s="931"/>
      <c r="AA392" s="1007"/>
      <c r="AB392" s="931"/>
      <c r="AC392" s="935"/>
      <c r="AD392" s="931"/>
      <c r="AE392" s="931"/>
      <c r="AF392" s="1280">
        <f>(AF395*AF398)/AF340</f>
        <v>0.29616263995768111</v>
      </c>
      <c r="AG392" s="931"/>
      <c r="AH392" s="931"/>
      <c r="AI392" s="931"/>
      <c r="AJ392" s="931"/>
      <c r="AK392" s="931"/>
      <c r="AL392" s="931"/>
      <c r="AM392" s="931"/>
      <c r="AN392" s="931"/>
      <c r="AO392" s="931"/>
      <c r="AP392" s="931"/>
      <c r="AQ392" s="931"/>
      <c r="AR392" s="931"/>
      <c r="AS392" s="931"/>
      <c r="AT392" s="931"/>
      <c r="AU392" s="931"/>
      <c r="AV392" s="931"/>
      <c r="AW392" s="931"/>
      <c r="AX392" s="931"/>
      <c r="AY392" s="931"/>
      <c r="AZ392" s="931"/>
      <c r="BA392" s="931"/>
      <c r="BB392" s="931"/>
      <c r="BC392" s="931"/>
      <c r="BD392" s="931"/>
      <c r="BE392" s="931"/>
      <c r="BF392" s="931"/>
      <c r="BG392" s="931"/>
      <c r="BH392" s="931"/>
      <c r="BI392" s="931"/>
      <c r="BJ392" s="931"/>
    </row>
    <row r="393" spans="2:64">
      <c r="B393" s="812" t="s">
        <v>940</v>
      </c>
      <c r="C393" s="899"/>
      <c r="D393" s="899"/>
      <c r="E393" s="899"/>
      <c r="F393" s="899"/>
      <c r="G393" s="899"/>
      <c r="H393" s="899"/>
      <c r="I393" s="899"/>
      <c r="J393" s="899"/>
      <c r="K393" s="900"/>
      <c r="L393" s="899"/>
      <c r="M393" s="899"/>
      <c r="N393" s="899"/>
      <c r="O393" s="899"/>
      <c r="P393" s="899"/>
      <c r="Q393" s="1034" t="s">
        <v>1004</v>
      </c>
      <c r="R393" s="1034"/>
      <c r="S393" s="1034"/>
      <c r="T393" s="1034">
        <f>1-T392</f>
        <v>0.88</v>
      </c>
      <c r="U393" s="1034"/>
      <c r="V393" s="1034"/>
      <c r="W393" s="1034">
        <f>1-W392</f>
        <v>0.82000000000000006</v>
      </c>
      <c r="X393" s="1034"/>
      <c r="Y393" s="899"/>
      <c r="Z393" s="899"/>
      <c r="AA393" s="1034"/>
      <c r="AB393" s="899"/>
      <c r="AC393" s="901"/>
      <c r="AD393" s="899"/>
      <c r="AE393" s="899"/>
      <c r="AF393" s="862">
        <f>1-AF392</f>
        <v>0.70383736004231889</v>
      </c>
      <c r="AG393" s="899"/>
      <c r="AH393" s="899"/>
      <c r="AI393" s="899"/>
      <c r="AJ393" s="899"/>
      <c r="AK393" s="899"/>
      <c r="AL393" s="899"/>
      <c r="AM393" s="899"/>
      <c r="AN393" s="899"/>
      <c r="AO393" s="899"/>
      <c r="AP393" s="899"/>
      <c r="AQ393" s="899"/>
      <c r="AR393" s="899"/>
      <c r="AS393" s="899"/>
      <c r="AT393" s="899"/>
      <c r="AU393" s="899"/>
      <c r="AV393" s="899"/>
      <c r="AW393" s="899"/>
      <c r="AX393" s="899"/>
      <c r="AY393" s="899"/>
      <c r="AZ393" s="899"/>
      <c r="BA393" s="899"/>
      <c r="BB393" s="899"/>
      <c r="BC393" s="899"/>
      <c r="BD393" s="899"/>
      <c r="BE393" s="899"/>
      <c r="BF393" s="899"/>
      <c r="BG393" s="899"/>
      <c r="BH393" s="899"/>
      <c r="BI393" s="899"/>
      <c r="BJ393" s="899"/>
    </row>
    <row r="394" spans="2:64">
      <c r="C394" s="899"/>
      <c r="D394" s="899"/>
      <c r="E394" s="899"/>
      <c r="F394" s="899"/>
      <c r="G394" s="899"/>
      <c r="H394" s="899"/>
      <c r="I394" s="899"/>
      <c r="J394" s="899"/>
      <c r="K394" s="900"/>
      <c r="L394" s="899"/>
      <c r="M394" s="899"/>
      <c r="N394" s="899"/>
      <c r="O394" s="899"/>
      <c r="P394" s="899"/>
      <c r="Q394" s="1034"/>
      <c r="R394" s="1034"/>
      <c r="S394" s="1034"/>
      <c r="T394" s="1034"/>
      <c r="U394" s="1034"/>
      <c r="V394" s="1034"/>
      <c r="W394" s="1034"/>
      <c r="X394" s="1034"/>
      <c r="Y394" s="899"/>
      <c r="Z394" s="899"/>
      <c r="AA394" s="1034"/>
      <c r="AB394" s="899"/>
      <c r="AC394" s="901"/>
      <c r="AD394" s="899"/>
      <c r="AE394" s="899"/>
      <c r="AF394" s="899"/>
      <c r="AG394" s="899"/>
      <c r="AH394" s="899"/>
      <c r="AI394" s="899"/>
      <c r="AJ394" s="899"/>
      <c r="AK394" s="899"/>
      <c r="AL394" s="899"/>
      <c r="AM394" s="899"/>
      <c r="AN394" s="899"/>
      <c r="AO394" s="899"/>
      <c r="AP394" s="899"/>
      <c r="AQ394" s="899"/>
      <c r="AR394" s="899"/>
      <c r="AS394" s="899"/>
      <c r="AT394" s="899"/>
      <c r="AU394" s="899"/>
      <c r="AV394" s="899"/>
      <c r="AW394" s="899"/>
      <c r="AX394" s="899"/>
      <c r="AY394" s="899"/>
      <c r="AZ394" s="899"/>
      <c r="BA394" s="899"/>
      <c r="BB394" s="899"/>
      <c r="BC394" s="899"/>
      <c r="BD394" s="899"/>
      <c r="BE394" s="899"/>
      <c r="BF394" s="899"/>
      <c r="BG394" s="899"/>
      <c r="BH394" s="899"/>
      <c r="BI394" s="899"/>
      <c r="BJ394" s="899"/>
    </row>
    <row r="395" spans="2:64">
      <c r="B395" s="812" t="s">
        <v>935</v>
      </c>
      <c r="C395" s="899"/>
      <c r="D395" s="899"/>
      <c r="E395" s="899"/>
      <c r="F395" s="899"/>
      <c r="G395" s="899"/>
      <c r="H395" s="899"/>
      <c r="I395" s="899"/>
      <c r="J395" s="899"/>
      <c r="K395" s="900"/>
      <c r="L395" s="899"/>
      <c r="M395" s="899"/>
      <c r="N395" s="899"/>
      <c r="O395" s="899"/>
      <c r="P395" s="899"/>
      <c r="Q395" s="931">
        <v>5</v>
      </c>
      <c r="R395" s="931"/>
      <c r="S395" s="931"/>
      <c r="T395" s="931">
        <v>11</v>
      </c>
      <c r="U395" s="931"/>
      <c r="V395" s="931"/>
      <c r="W395" s="931">
        <v>15</v>
      </c>
      <c r="X395" s="931"/>
      <c r="Y395" s="931"/>
      <c r="Z395" s="931"/>
      <c r="AA395" s="931"/>
      <c r="AB395" s="931"/>
      <c r="AC395" s="935"/>
      <c r="AD395" s="931"/>
      <c r="AE395" s="931"/>
      <c r="AF395" s="931">
        <v>27</v>
      </c>
      <c r="AG395" s="931"/>
      <c r="AH395" s="931"/>
      <c r="AI395" s="931"/>
      <c r="AJ395" s="931"/>
      <c r="AK395" s="931"/>
      <c r="AL395" s="931"/>
      <c r="AM395" s="931"/>
      <c r="AN395" s="931"/>
      <c r="AO395" s="931"/>
      <c r="AP395" s="931"/>
      <c r="AQ395" s="931"/>
      <c r="AR395" s="931"/>
      <c r="AS395" s="931"/>
      <c r="AT395" s="931"/>
      <c r="AU395" s="931"/>
      <c r="AV395" s="931"/>
      <c r="AW395" s="931"/>
      <c r="AX395" s="931"/>
      <c r="AY395" s="931"/>
      <c r="AZ395" s="931"/>
      <c r="BA395" s="931"/>
      <c r="BB395" s="931"/>
      <c r="BC395" s="931"/>
      <c r="BD395" s="931"/>
      <c r="BE395" s="931"/>
      <c r="BF395" s="931"/>
      <c r="BG395" s="931"/>
      <c r="BH395" s="931"/>
      <c r="BI395" s="931"/>
      <c r="BJ395" s="931"/>
    </row>
    <row r="396" spans="2:64">
      <c r="B396" s="812" t="s">
        <v>939</v>
      </c>
      <c r="C396" s="899"/>
      <c r="D396" s="899"/>
      <c r="E396" s="899"/>
      <c r="F396" s="899"/>
      <c r="G396" s="899"/>
      <c r="H396" s="899"/>
      <c r="I396" s="899"/>
      <c r="J396" s="899"/>
      <c r="K396" s="900"/>
      <c r="L396" s="899"/>
      <c r="M396" s="899"/>
      <c r="N396" s="899"/>
      <c r="O396" s="899"/>
      <c r="P396" s="899"/>
      <c r="Q396" s="931"/>
      <c r="R396" s="931"/>
      <c r="S396" s="931"/>
      <c r="T396" s="931"/>
      <c r="U396" s="931"/>
      <c r="V396" s="931"/>
      <c r="W396" s="1282">
        <f>50%</f>
        <v>0.5</v>
      </c>
      <c r="X396" s="931"/>
      <c r="Y396" s="931"/>
      <c r="Z396" s="931"/>
      <c r="AA396" s="931"/>
      <c r="AB396" s="931"/>
      <c r="AC396" s="935"/>
      <c r="AD396" s="931"/>
      <c r="AE396" s="931"/>
      <c r="AF396" s="931"/>
      <c r="AG396" s="931"/>
      <c r="AH396" s="931"/>
      <c r="AI396" s="931"/>
      <c r="AJ396" s="931"/>
      <c r="AK396" s="931"/>
      <c r="AL396" s="931"/>
      <c r="AM396" s="931"/>
      <c r="AN396" s="931"/>
      <c r="AO396" s="931"/>
      <c r="AP396" s="931"/>
      <c r="AQ396" s="931"/>
      <c r="AR396" s="931"/>
      <c r="AS396" s="931"/>
      <c r="AT396" s="931"/>
      <c r="AU396" s="931"/>
      <c r="AV396" s="931"/>
      <c r="AW396" s="931"/>
      <c r="AX396" s="931"/>
      <c r="AY396" s="931"/>
      <c r="AZ396" s="931"/>
      <c r="BA396" s="931"/>
      <c r="BB396" s="931"/>
      <c r="BC396" s="931"/>
      <c r="BD396" s="931"/>
      <c r="BE396" s="931"/>
      <c r="BF396" s="931"/>
      <c r="BG396" s="931"/>
      <c r="BH396" s="931"/>
      <c r="BI396" s="931"/>
      <c r="BJ396" s="931"/>
    </row>
    <row r="397" spans="2:64">
      <c r="C397" s="899"/>
      <c r="D397" s="899"/>
      <c r="E397" s="899"/>
      <c r="F397" s="899"/>
      <c r="G397" s="899"/>
      <c r="H397" s="899"/>
      <c r="I397" s="899"/>
      <c r="J397" s="899"/>
      <c r="K397" s="900"/>
      <c r="L397" s="899"/>
      <c r="M397" s="899"/>
      <c r="N397" s="899"/>
      <c r="O397" s="899"/>
      <c r="P397" s="899"/>
      <c r="Q397" s="931"/>
      <c r="R397" s="931"/>
      <c r="S397" s="931"/>
      <c r="T397" s="931"/>
      <c r="U397" s="931"/>
      <c r="V397" s="931"/>
      <c r="W397" s="1282"/>
      <c r="X397" s="931"/>
      <c r="Y397" s="931"/>
      <c r="Z397" s="931"/>
      <c r="AA397" s="931"/>
      <c r="AB397" s="931"/>
      <c r="AC397" s="935"/>
      <c r="AD397" s="931"/>
      <c r="AE397" s="931"/>
      <c r="AF397" s="931"/>
      <c r="AG397" s="931"/>
      <c r="AH397" s="931"/>
      <c r="AI397" s="931"/>
      <c r="AJ397" s="931"/>
      <c r="AK397" s="931"/>
      <c r="AL397" s="931"/>
      <c r="AM397" s="931"/>
      <c r="AN397" s="931"/>
      <c r="AO397" s="931"/>
      <c r="AP397" s="931"/>
      <c r="AQ397" s="931"/>
      <c r="AR397" s="931"/>
      <c r="AS397" s="931"/>
      <c r="AT397" s="931"/>
      <c r="AU397" s="931"/>
      <c r="AV397" s="931"/>
      <c r="AW397" s="931"/>
      <c r="AX397" s="931"/>
      <c r="AY397" s="931"/>
      <c r="AZ397" s="931"/>
      <c r="BA397" s="931"/>
      <c r="BB397" s="931"/>
      <c r="BC397" s="931"/>
      <c r="BD397" s="931"/>
      <c r="BE397" s="931"/>
      <c r="BF397" s="931"/>
      <c r="BG397" s="931"/>
      <c r="BH397" s="931"/>
      <c r="BI397" s="931"/>
      <c r="BJ397" s="931"/>
    </row>
    <row r="398" spans="2:64">
      <c r="B398" s="812" t="s">
        <v>937</v>
      </c>
      <c r="C398" s="899"/>
      <c r="D398" s="899"/>
      <c r="E398" s="899"/>
      <c r="F398" s="899"/>
      <c r="G398" s="899"/>
      <c r="H398" s="899"/>
      <c r="I398" s="899"/>
      <c r="J398" s="899"/>
      <c r="K398" s="900"/>
      <c r="L398" s="899"/>
      <c r="M398" s="899"/>
      <c r="N398" s="899"/>
      <c r="O398" s="899"/>
      <c r="P398" s="899"/>
      <c r="Q398" s="840">
        <f>Q392*Q340/Q395</f>
        <v>14.363999999999999</v>
      </c>
      <c r="R398" s="840"/>
      <c r="S398" s="840"/>
      <c r="T398" s="840">
        <f>T392*T340/T395</f>
        <v>13.222909090909088</v>
      </c>
      <c r="U398" s="840"/>
      <c r="V398" s="840"/>
      <c r="W398" s="840">
        <f>W392*W340/W395</f>
        <v>15.711599999999999</v>
      </c>
      <c r="X398" s="840"/>
      <c r="Y398" s="931"/>
      <c r="Z398" s="931"/>
      <c r="AA398" s="840"/>
      <c r="AB398" s="931"/>
      <c r="AC398" s="935"/>
      <c r="AD398" s="931"/>
      <c r="AE398" s="931"/>
      <c r="AF398" s="840">
        <f>W398</f>
        <v>15.711599999999999</v>
      </c>
      <c r="AG398" s="931"/>
      <c r="AH398" s="931"/>
      <c r="AI398" s="931"/>
      <c r="AJ398" s="931"/>
      <c r="AK398" s="931"/>
      <c r="AL398" s="931"/>
      <c r="AM398" s="931"/>
      <c r="AN398" s="931"/>
      <c r="AO398" s="931"/>
      <c r="AP398" s="931"/>
      <c r="AQ398" s="931"/>
      <c r="AR398" s="931"/>
      <c r="AS398" s="931"/>
      <c r="AT398" s="931"/>
      <c r="AU398" s="931"/>
      <c r="AV398" s="931"/>
      <c r="AW398" s="931"/>
      <c r="AX398" s="931"/>
      <c r="AY398" s="931"/>
      <c r="AZ398" s="931"/>
      <c r="BA398" s="931"/>
      <c r="BB398" s="931"/>
      <c r="BC398" s="931"/>
      <c r="BD398" s="931"/>
      <c r="BE398" s="931"/>
      <c r="BF398" s="931"/>
      <c r="BG398" s="931"/>
      <c r="BH398" s="931"/>
      <c r="BI398" s="931"/>
      <c r="BJ398" s="931"/>
    </row>
    <row r="399" spans="2:64">
      <c r="B399" s="812" t="s">
        <v>806</v>
      </c>
      <c r="C399" s="899"/>
      <c r="D399" s="899"/>
      <c r="E399" s="899"/>
      <c r="F399" s="899"/>
      <c r="G399" s="899"/>
      <c r="H399" s="899"/>
      <c r="I399" s="899"/>
      <c r="J399" s="899"/>
      <c r="K399" s="900"/>
      <c r="L399" s="899"/>
      <c r="M399" s="899"/>
      <c r="N399" s="899"/>
      <c r="O399" s="899"/>
      <c r="P399" s="899"/>
      <c r="Q399" s="840"/>
      <c r="R399" s="840"/>
      <c r="S399" s="840"/>
      <c r="T399" s="1281">
        <f>T398/Q398-1</f>
        <v>-7.9441026809447979E-2</v>
      </c>
      <c r="U399" s="1007"/>
      <c r="V399" s="1007"/>
      <c r="W399" s="1007">
        <f>W398/T398-1</f>
        <v>0.18821054368451473</v>
      </c>
      <c r="X399" s="1007"/>
      <c r="Y399" s="931"/>
      <c r="Z399" s="931"/>
      <c r="AA399" s="1007"/>
      <c r="AB399" s="931"/>
      <c r="AC399" s="935"/>
      <c r="AD399" s="931"/>
      <c r="AE399" s="931"/>
      <c r="AF399" s="931"/>
      <c r="AG399" s="931"/>
      <c r="AH399" s="931"/>
      <c r="AI399" s="931"/>
      <c r="AJ399" s="931"/>
      <c r="AK399" s="931"/>
      <c r="AL399" s="931"/>
      <c r="AM399" s="931"/>
      <c r="AN399" s="931"/>
      <c r="AO399" s="931"/>
      <c r="AP399" s="931"/>
      <c r="AQ399" s="931"/>
      <c r="AR399" s="931"/>
      <c r="AS399" s="931"/>
      <c r="AT399" s="931"/>
      <c r="AU399" s="931"/>
      <c r="AV399" s="931"/>
      <c r="AW399" s="931"/>
      <c r="AX399" s="931"/>
      <c r="AY399" s="931"/>
      <c r="AZ399" s="931"/>
      <c r="BA399" s="931"/>
      <c r="BB399" s="931"/>
      <c r="BC399" s="931"/>
      <c r="BD399" s="931"/>
      <c r="BE399" s="931"/>
      <c r="BF399" s="931"/>
      <c r="BG399" s="931"/>
      <c r="BH399" s="931"/>
      <c r="BI399" s="931"/>
      <c r="BJ399" s="931"/>
    </row>
    <row r="400" spans="2:64">
      <c r="B400" s="812" t="s">
        <v>938</v>
      </c>
      <c r="C400" s="899"/>
      <c r="D400" s="899"/>
      <c r="E400" s="899"/>
      <c r="F400" s="899"/>
      <c r="G400" s="899"/>
      <c r="H400" s="899"/>
      <c r="I400" s="899"/>
      <c r="J400" s="899"/>
      <c r="K400" s="900"/>
      <c r="L400" s="899"/>
      <c r="M400" s="899"/>
      <c r="N400" s="899"/>
      <c r="O400" s="899"/>
      <c r="P400" s="899"/>
      <c r="Q400" s="840"/>
      <c r="R400" s="840"/>
      <c r="S400" s="840"/>
      <c r="T400" s="840">
        <f>T393*T340/(T332-T395)</f>
        <v>7.459076923076922</v>
      </c>
      <c r="U400" s="840"/>
      <c r="V400" s="840"/>
      <c r="W400" s="840">
        <f>W393*W340/(W332-W395)</f>
        <v>7.5607464788732397</v>
      </c>
      <c r="X400" s="840"/>
      <c r="Y400" s="931"/>
      <c r="Z400" s="931"/>
      <c r="AA400" s="840"/>
      <c r="AB400" s="931"/>
      <c r="AC400" s="935"/>
      <c r="AD400" s="931"/>
      <c r="AE400" s="931"/>
      <c r="AF400" s="841">
        <f>AF393*AF340/(AF332-AF395)</f>
        <v>7.305452724908573</v>
      </c>
      <c r="AG400" s="931"/>
      <c r="AH400" s="931"/>
      <c r="AI400" s="931"/>
      <c r="AJ400" s="931"/>
      <c r="AK400" s="931"/>
      <c r="AL400" s="931"/>
      <c r="AM400" s="931"/>
      <c r="AN400" s="931"/>
      <c r="AO400" s="931"/>
      <c r="AP400" s="931"/>
      <c r="AQ400" s="931"/>
      <c r="AR400" s="931"/>
      <c r="AS400" s="931"/>
      <c r="AT400" s="931"/>
      <c r="AU400" s="931"/>
      <c r="AV400" s="931"/>
      <c r="AW400" s="931"/>
      <c r="AX400" s="931"/>
      <c r="AY400" s="931"/>
      <c r="AZ400" s="931"/>
      <c r="BA400" s="931"/>
      <c r="BB400" s="931"/>
      <c r="BC400" s="931"/>
      <c r="BD400" s="931"/>
      <c r="BE400" s="931"/>
      <c r="BF400" s="931"/>
      <c r="BG400" s="931"/>
      <c r="BH400" s="931"/>
      <c r="BI400" s="931"/>
      <c r="BJ400" s="931"/>
    </row>
    <row r="401" spans="2:64" hidden="1">
      <c r="B401" s="812" t="s">
        <v>806</v>
      </c>
      <c r="T401" s="1281"/>
      <c r="U401" s="1007"/>
      <c r="V401" s="1007"/>
      <c r="W401" s="1007">
        <f>W400/T400-1</f>
        <v>1.3630313354427548E-2</v>
      </c>
      <c r="X401" s="1007"/>
      <c r="AA401" s="1007"/>
    </row>
    <row r="402" spans="2:64" s="828" customFormat="1" hidden="1">
      <c r="B402" s="812"/>
      <c r="G402" s="834"/>
      <c r="H402" s="947"/>
      <c r="I402" s="947"/>
      <c r="J402" s="834"/>
      <c r="K402" s="846"/>
      <c r="L402" s="947"/>
      <c r="M402" s="834"/>
      <c r="N402" s="845"/>
      <c r="O402" s="845"/>
      <c r="P402" s="845"/>
      <c r="Q402" s="845"/>
      <c r="R402" s="845"/>
      <c r="S402" s="845"/>
      <c r="T402" s="845"/>
      <c r="U402" s="845"/>
      <c r="V402" s="834"/>
      <c r="W402" s="845"/>
      <c r="X402" s="845"/>
      <c r="Y402" s="834"/>
      <c r="Z402" s="834"/>
      <c r="AA402" s="845"/>
      <c r="AB402" s="834"/>
      <c r="AC402" s="836"/>
      <c r="AD402" s="834"/>
      <c r="AE402" s="834"/>
      <c r="AF402" s="834"/>
      <c r="AG402" s="834"/>
      <c r="AH402" s="834"/>
      <c r="AI402" s="834"/>
      <c r="AJ402" s="834"/>
      <c r="AK402" s="834"/>
      <c r="AL402" s="834"/>
      <c r="AM402" s="834"/>
      <c r="AN402" s="834"/>
      <c r="AO402" s="834"/>
      <c r="AP402" s="834"/>
      <c r="AQ402" s="834"/>
      <c r="AR402" s="834"/>
      <c r="AS402" s="834"/>
      <c r="AT402" s="834"/>
      <c r="AU402" s="834"/>
      <c r="AV402" s="834"/>
      <c r="AW402" s="834"/>
      <c r="AX402" s="834"/>
      <c r="AY402" s="834"/>
      <c r="AZ402" s="834"/>
      <c r="BA402" s="834"/>
      <c r="BB402" s="834"/>
      <c r="BC402" s="834"/>
      <c r="BD402" s="834"/>
      <c r="BE402" s="834"/>
      <c r="BF402" s="834"/>
      <c r="BG402" s="834"/>
      <c r="BH402" s="834"/>
      <c r="BI402" s="834"/>
      <c r="BJ402" s="834"/>
      <c r="BK402" s="873"/>
      <c r="BL402" s="992"/>
    </row>
    <row r="403" spans="2:64" s="828" customFormat="1" hidden="1">
      <c r="B403" s="812" t="s">
        <v>494</v>
      </c>
      <c r="G403" s="834"/>
      <c r="H403" s="834">
        <f t="shared" ref="H403:AI403" si="911">SUM(H7:H10)-H205</f>
        <v>2483.9</v>
      </c>
      <c r="I403" s="834">
        <f t="shared" si="911"/>
        <v>1336.1</v>
      </c>
      <c r="J403" s="834">
        <f t="shared" si="911"/>
        <v>1235.5</v>
      </c>
      <c r="K403" s="835">
        <f t="shared" si="911"/>
        <v>2571.5999999999995</v>
      </c>
      <c r="L403" s="834">
        <f t="shared" si="911"/>
        <v>1377</v>
      </c>
      <c r="M403" s="834">
        <f t="shared" si="911"/>
        <v>1316.2999999999997</v>
      </c>
      <c r="N403" s="834">
        <f t="shared" si="911"/>
        <v>2693.2999999999997</v>
      </c>
      <c r="O403" s="834">
        <f t="shared" si="911"/>
        <v>1713.3</v>
      </c>
      <c r="P403" s="834">
        <f t="shared" si="911"/>
        <v>1590.2</v>
      </c>
      <c r="Q403" s="834">
        <f t="shared" si="911"/>
        <v>3303.5</v>
      </c>
      <c r="R403" s="834">
        <f t="shared" si="911"/>
        <v>1640.1999999999998</v>
      </c>
      <c r="S403" s="834">
        <f t="shared" si="911"/>
        <v>1741.3999999999999</v>
      </c>
      <c r="T403" s="834">
        <f t="shared" si="911"/>
        <v>3381.6</v>
      </c>
      <c r="U403" s="834">
        <f t="shared" si="911"/>
        <v>1858.1</v>
      </c>
      <c r="V403" s="834">
        <f t="shared" si="911"/>
        <v>1739.3</v>
      </c>
      <c r="W403" s="834">
        <f t="shared" si="911"/>
        <v>3597.4</v>
      </c>
      <c r="X403" s="834">
        <f t="shared" si="911"/>
        <v>1916.6</v>
      </c>
      <c r="Y403" s="834">
        <f t="shared" si="911"/>
        <v>1752.5000000000002</v>
      </c>
      <c r="Z403" s="834">
        <f t="shared" si="911"/>
        <v>3669.1</v>
      </c>
      <c r="AA403" s="834">
        <f t="shared" si="911"/>
        <v>1998.6999999999998</v>
      </c>
      <c r="AB403" s="834">
        <f t="shared" si="911"/>
        <v>1849.7</v>
      </c>
      <c r="AC403" s="836">
        <f t="shared" si="911"/>
        <v>3848.4</v>
      </c>
      <c r="AD403" s="834">
        <f t="shared" si="911"/>
        <v>2078.8559746028427</v>
      </c>
      <c r="AE403" s="834">
        <f t="shared" si="911"/>
        <v>1953.6827818692768</v>
      </c>
      <c r="AF403" s="834">
        <f t="shared" si="911"/>
        <v>4032.53875647212</v>
      </c>
      <c r="AG403" s="834">
        <f t="shared" si="911"/>
        <v>2177.6852553892204</v>
      </c>
      <c r="AH403" s="834">
        <f t="shared" si="911"/>
        <v>2061.687487686931</v>
      </c>
      <c r="AI403" s="834">
        <f t="shared" si="911"/>
        <v>4239.3727430761519</v>
      </c>
      <c r="AJ403" s="834"/>
      <c r="AK403" s="834"/>
      <c r="AL403" s="834">
        <f>SUM(AL7:AL10)-AL205</f>
        <v>4439.505963479719</v>
      </c>
      <c r="AM403" s="834"/>
      <c r="AN403" s="834"/>
      <c r="AO403" s="834">
        <f>SUM(AO7:AO10)-AO205</f>
        <v>4636.3720298573771</v>
      </c>
      <c r="AP403" s="834"/>
      <c r="AQ403" s="834"/>
      <c r="AR403" s="834">
        <f>SUM(AR7:AR10)-AR205</f>
        <v>4824.1754759952973</v>
      </c>
      <c r="AS403" s="834"/>
      <c r="AT403" s="834"/>
      <c r="AU403" s="834">
        <f>SUM(AU7:AU10)-AU205</f>
        <v>4999.1467427466469</v>
      </c>
      <c r="AV403" s="834"/>
      <c r="AW403" s="834"/>
      <c r="AX403" s="834">
        <f>SUM(AX7:AX10)-AX205</f>
        <v>5162.0723280756392</v>
      </c>
      <c r="AY403" s="834"/>
      <c r="AZ403" s="834"/>
      <c r="BA403" s="834">
        <f>SUM(BA7:BA10)-BA205</f>
        <v>5330.4118838496115</v>
      </c>
      <c r="BB403" s="834"/>
      <c r="BC403" s="834"/>
      <c r="BD403" s="834">
        <f>SUM(BD7:BD10)-BD205</f>
        <v>5504.3475185897041</v>
      </c>
      <c r="BE403" s="834"/>
      <c r="BF403" s="834"/>
      <c r="BG403" s="834">
        <f>SUM(BG7:BG10)-BG205</f>
        <v>5684.0675048526145</v>
      </c>
      <c r="BH403" s="834"/>
      <c r="BI403" s="834"/>
      <c r="BJ403" s="834">
        <f>SUM(BJ7:BJ10)-BJ205</f>
        <v>5869.766488331461</v>
      </c>
      <c r="BK403" s="873"/>
      <c r="BL403" s="992"/>
    </row>
    <row r="404" spans="2:64" s="828" customFormat="1" hidden="1">
      <c r="B404" s="812" t="s">
        <v>495</v>
      </c>
      <c r="G404" s="834"/>
      <c r="H404" s="1283">
        <f t="shared" ref="H404:AI404" si="912">SUM(H33:H36)-H227</f>
        <v>235.20000000000002</v>
      </c>
      <c r="I404" s="1283">
        <f t="shared" si="912"/>
        <v>126.9</v>
      </c>
      <c r="J404" s="1283">
        <f t="shared" si="912"/>
        <v>108.29999999999998</v>
      </c>
      <c r="K404" s="1284">
        <f t="shared" si="912"/>
        <v>235.2</v>
      </c>
      <c r="L404" s="1283">
        <f t="shared" si="912"/>
        <v>135.69999999999999</v>
      </c>
      <c r="M404" s="1283">
        <f t="shared" si="912"/>
        <v>139.89999999999998</v>
      </c>
      <c r="N404" s="1283">
        <f t="shared" si="912"/>
        <v>275.59999999999997</v>
      </c>
      <c r="O404" s="1283">
        <f t="shared" si="912"/>
        <v>280.60000000000002</v>
      </c>
      <c r="P404" s="1283">
        <f t="shared" si="912"/>
        <v>208.79999999999993</v>
      </c>
      <c r="Q404" s="1283">
        <f t="shared" si="912"/>
        <v>489.4</v>
      </c>
      <c r="R404" s="1283">
        <f t="shared" si="912"/>
        <v>193.3</v>
      </c>
      <c r="S404" s="1283">
        <f t="shared" si="912"/>
        <v>221.8</v>
      </c>
      <c r="T404" s="1283">
        <f t="shared" si="912"/>
        <v>415.1</v>
      </c>
      <c r="U404" s="1283">
        <f t="shared" si="912"/>
        <v>243</v>
      </c>
      <c r="V404" s="1283">
        <f t="shared" si="912"/>
        <v>199.20000000000002</v>
      </c>
      <c r="W404" s="1283">
        <f t="shared" si="912"/>
        <v>442.2</v>
      </c>
      <c r="X404" s="1283">
        <f t="shared" si="912"/>
        <v>237.2</v>
      </c>
      <c r="Y404" s="1283">
        <f t="shared" si="912"/>
        <v>172.8</v>
      </c>
      <c r="Z404" s="1283">
        <f t="shared" si="912"/>
        <v>410</v>
      </c>
      <c r="AA404" s="1283">
        <f t="shared" si="912"/>
        <v>229.4</v>
      </c>
      <c r="AB404" s="1283">
        <f t="shared" ref="AB404" si="913">SUM(AB33:AB36)-AB227</f>
        <v>188.10000000000005</v>
      </c>
      <c r="AC404" s="1285">
        <f t="shared" si="912"/>
        <v>417.50000000000006</v>
      </c>
      <c r="AD404" s="1283">
        <f t="shared" si="912"/>
        <v>241.2198760720068</v>
      </c>
      <c r="AE404" s="1283">
        <f t="shared" si="912"/>
        <v>202.57770084904203</v>
      </c>
      <c r="AF404" s="1283">
        <f t="shared" si="912"/>
        <v>443.7975769210488</v>
      </c>
      <c r="AG404" s="1283">
        <f t="shared" si="912"/>
        <v>253.26185019169327</v>
      </c>
      <c r="AH404" s="1283">
        <f t="shared" si="912"/>
        <v>219.66074715430199</v>
      </c>
      <c r="AI404" s="1283">
        <f t="shared" si="912"/>
        <v>472.92259734599531</v>
      </c>
      <c r="AJ404" s="1283"/>
      <c r="AK404" s="1283"/>
      <c r="AL404" s="1283">
        <f>SUM(AL33:AL36)-AL227</f>
        <v>499.43137145416966</v>
      </c>
      <c r="AM404" s="1283"/>
      <c r="AN404" s="1283"/>
      <c r="AO404" s="1283">
        <f>SUM(AO33:AO36)-AO227</f>
        <v>524.8183353323559</v>
      </c>
      <c r="AP404" s="1283"/>
      <c r="AQ404" s="1283"/>
      <c r="AR404" s="1283">
        <f>SUM(AR33:AR36)-AR227</f>
        <v>548.35037885409292</v>
      </c>
      <c r="AS404" s="1283"/>
      <c r="AT404" s="1283"/>
      <c r="AU404" s="1283">
        <f>SUM(AU33:AU36)-AU227</f>
        <v>570.39310983015514</v>
      </c>
      <c r="AV404" s="1283"/>
      <c r="AW404" s="1283"/>
      <c r="AX404" s="1283">
        <f>SUM(AX33:AX36)-AX227</f>
        <v>590.41670575944056</v>
      </c>
      <c r="AY404" s="1283"/>
      <c r="AZ404" s="1283"/>
      <c r="BA404" s="1283">
        <f>SUM(BA33:BA36)-BA227</f>
        <v>611.16275631094175</v>
      </c>
      <c r="BB404" s="1283"/>
      <c r="BC404" s="1283"/>
      <c r="BD404" s="1283">
        <f>SUM(BD33:BD36)-BD227</f>
        <v>632.65774885850055</v>
      </c>
      <c r="BE404" s="1283"/>
      <c r="BF404" s="1283"/>
      <c r="BG404" s="1283">
        <f>SUM(BG33:BG36)-BG227</f>
        <v>654.92914767460434</v>
      </c>
      <c r="BH404" s="1283"/>
      <c r="BI404" s="1283"/>
      <c r="BJ404" s="1283">
        <f>SUM(BJ33:BJ36)-BJ227</f>
        <v>678.00542991414636</v>
      </c>
      <c r="BK404" s="873"/>
      <c r="BL404" s="992"/>
    </row>
    <row r="405" spans="2:64" s="828" customFormat="1" hidden="1">
      <c r="B405" s="812" t="s">
        <v>285</v>
      </c>
      <c r="G405" s="834"/>
      <c r="H405" s="947">
        <f t="shared" ref="H405:AU405" si="914">H404/H403</f>
        <v>9.4689802326985789E-2</v>
      </c>
      <c r="I405" s="947">
        <f t="shared" si="914"/>
        <v>9.4977920814310321E-2</v>
      </c>
      <c r="J405" s="947">
        <f t="shared" si="914"/>
        <v>8.7656819101578298E-2</v>
      </c>
      <c r="K405" s="945">
        <f t="shared" si="914"/>
        <v>9.1460569295380323E-2</v>
      </c>
      <c r="L405" s="947">
        <f t="shared" si="914"/>
        <v>9.8547567175018141E-2</v>
      </c>
      <c r="M405" s="947">
        <f t="shared" si="914"/>
        <v>0.10628276228823218</v>
      </c>
      <c r="N405" s="947">
        <f t="shared" si="914"/>
        <v>0.10232799910889986</v>
      </c>
      <c r="O405" s="947">
        <f t="shared" si="914"/>
        <v>0.16377750539893773</v>
      </c>
      <c r="P405" s="947">
        <f t="shared" si="914"/>
        <v>0.13130423846057096</v>
      </c>
      <c r="Q405" s="947">
        <f t="shared" si="914"/>
        <v>0.14814590585742393</v>
      </c>
      <c r="R405" s="947">
        <f t="shared" si="914"/>
        <v>0.11785148152664311</v>
      </c>
      <c r="S405" s="947">
        <f t="shared" si="914"/>
        <v>0.12736878373722293</v>
      </c>
      <c r="T405" s="947">
        <f t="shared" si="914"/>
        <v>0.12275254317482849</v>
      </c>
      <c r="U405" s="947">
        <f t="shared" si="914"/>
        <v>0.13077875248910178</v>
      </c>
      <c r="V405" s="947">
        <f t="shared" si="914"/>
        <v>0.11452883343873974</v>
      </c>
      <c r="W405" s="947">
        <f t="shared" si="914"/>
        <v>0.1229221104130761</v>
      </c>
      <c r="X405" s="947">
        <f t="shared" ref="X405:Y405" si="915">X404/X403</f>
        <v>0.12376082646352916</v>
      </c>
      <c r="Y405" s="947">
        <f t="shared" si="915"/>
        <v>9.8601997146932949E-2</v>
      </c>
      <c r="Z405" s="947">
        <f t="shared" si="914"/>
        <v>0.11174402442015753</v>
      </c>
      <c r="AA405" s="947">
        <f t="shared" si="914"/>
        <v>0.11477460349226999</v>
      </c>
      <c r="AB405" s="947">
        <f t="shared" si="914"/>
        <v>0.10169216629723742</v>
      </c>
      <c r="AC405" s="1090">
        <f t="shared" si="914"/>
        <v>0.10848664380002079</v>
      </c>
      <c r="AD405" s="947">
        <f t="shared" ref="AD405:AE405" si="916">AD404/AD403</f>
        <v>0.11603491488538109</v>
      </c>
      <c r="AE405" s="947">
        <f t="shared" si="916"/>
        <v>0.10369017054816668</v>
      </c>
      <c r="AF405" s="947">
        <f t="shared" si="914"/>
        <v>0.11005413803122542</v>
      </c>
      <c r="AG405" s="947">
        <f t="shared" si="914"/>
        <v>0.11629864764200162</v>
      </c>
      <c r="AH405" s="947">
        <f t="shared" si="914"/>
        <v>0.1065441530135811</v>
      </c>
      <c r="AI405" s="947">
        <f t="shared" si="914"/>
        <v>0.1115548516271385</v>
      </c>
      <c r="AJ405" s="947"/>
      <c r="AK405" s="947"/>
      <c r="AL405" s="947">
        <f t="shared" si="914"/>
        <v>0.11249706061048097</v>
      </c>
      <c r="AM405" s="947"/>
      <c r="AN405" s="947"/>
      <c r="AO405" s="947">
        <f t="shared" si="914"/>
        <v>0.11319590661677342</v>
      </c>
      <c r="AP405" s="947"/>
      <c r="AQ405" s="947"/>
      <c r="AR405" s="947">
        <f t="shared" si="914"/>
        <v>0.11366717101868279</v>
      </c>
      <c r="AS405" s="947"/>
      <c r="AT405" s="947"/>
      <c r="AU405" s="947">
        <f t="shared" si="914"/>
        <v>0.1140980929711153</v>
      </c>
      <c r="AV405" s="947"/>
      <c r="AW405" s="947"/>
      <c r="AX405" s="947">
        <f t="shared" ref="AX405:BA405" si="917">AX404/AX403</f>
        <v>0.11437590723947509</v>
      </c>
      <c r="AY405" s="947"/>
      <c r="AZ405" s="947"/>
      <c r="BA405" s="947">
        <f t="shared" si="917"/>
        <v>0.11465582203181668</v>
      </c>
      <c r="BB405" s="947"/>
      <c r="BC405" s="947"/>
      <c r="BD405" s="947">
        <f t="shared" ref="BD405:BG405" si="918">BD404/BD403</f>
        <v>0.11493782809349161</v>
      </c>
      <c r="BE405" s="947"/>
      <c r="BF405" s="947"/>
      <c r="BG405" s="947">
        <f t="shared" si="918"/>
        <v>0.11522191584028106</v>
      </c>
      <c r="BH405" s="947"/>
      <c r="BI405" s="947"/>
      <c r="BJ405" s="947">
        <f t="shared" ref="BJ405" si="919">BJ404/BJ403</f>
        <v>0.1155080753658526</v>
      </c>
      <c r="BK405" s="873"/>
      <c r="BL405" s="992"/>
    </row>
    <row r="406" spans="2:64" hidden="1">
      <c r="B406" s="1000"/>
      <c r="C406" s="987"/>
      <c r="D406" s="987"/>
      <c r="E406" s="1286"/>
      <c r="F406" s="987"/>
      <c r="G406" s="987"/>
      <c r="H406" s="1286"/>
      <c r="I406" s="987"/>
      <c r="J406" s="987"/>
      <c r="K406" s="1001"/>
      <c r="L406" s="987"/>
      <c r="M406" s="987"/>
      <c r="N406" s="987"/>
      <c r="O406" s="987"/>
      <c r="P406" s="987"/>
      <c r="Q406" s="987"/>
      <c r="R406" s="987"/>
      <c r="S406" s="987"/>
      <c r="T406" s="987"/>
      <c r="U406" s="987"/>
      <c r="V406" s="987"/>
      <c r="W406" s="987"/>
      <c r="X406" s="987"/>
      <c r="Y406" s="987"/>
      <c r="Z406" s="987"/>
      <c r="AA406" s="987"/>
      <c r="AB406" s="987"/>
      <c r="AC406" s="1002"/>
      <c r="AD406" s="987"/>
      <c r="AE406" s="987"/>
      <c r="AF406" s="987"/>
      <c r="AG406" s="987"/>
      <c r="AH406" s="987"/>
      <c r="AI406" s="987"/>
      <c r="AJ406" s="987"/>
      <c r="AK406" s="987"/>
      <c r="AL406" s="987"/>
      <c r="AM406" s="987"/>
      <c r="AN406" s="987"/>
      <c r="AO406" s="987"/>
      <c r="AP406" s="987"/>
      <c r="AQ406" s="987"/>
      <c r="AR406" s="987"/>
      <c r="AS406" s="987"/>
      <c r="AT406" s="987"/>
      <c r="AU406" s="987"/>
      <c r="AV406" s="987"/>
      <c r="AW406" s="987"/>
      <c r="AX406" s="987"/>
      <c r="AY406" s="987"/>
      <c r="AZ406" s="987"/>
      <c r="BA406" s="987"/>
      <c r="BB406" s="987"/>
      <c r="BC406" s="987"/>
      <c r="BD406" s="987"/>
      <c r="BE406" s="987"/>
      <c r="BF406" s="987"/>
      <c r="BG406" s="987"/>
      <c r="BH406" s="987"/>
      <c r="BI406" s="987"/>
      <c r="BJ406" s="987"/>
      <c r="BK406" s="1218"/>
    </row>
    <row r="407" spans="2:64" s="828" customFormat="1" hidden="1">
      <c r="B407" s="828" t="s">
        <v>83</v>
      </c>
      <c r="C407" s="1195">
        <f>C357-C410</f>
        <v>171.69759999999997</v>
      </c>
      <c r="D407" s="1195">
        <f>E407-C407</f>
        <v>112.81030000000038</v>
      </c>
      <c r="E407" s="845">
        <f>E357-E410</f>
        <v>284.50790000000035</v>
      </c>
      <c r="F407" s="1195">
        <f>F357-F410</f>
        <v>175.42197590214067</v>
      </c>
      <c r="G407" s="1195">
        <f>H407-F407</f>
        <v>119.29474419899708</v>
      </c>
      <c r="H407" s="845">
        <f>H357-H410</f>
        <v>294.71672010113775</v>
      </c>
      <c r="I407" s="1195">
        <f>I357-I410</f>
        <v>183.87901241590211</v>
      </c>
      <c r="J407" s="1195">
        <f>K407-I407</f>
        <v>123.6029966106465</v>
      </c>
      <c r="K407" s="846">
        <f>K357-K410</f>
        <v>307.48200902654861</v>
      </c>
      <c r="L407" s="1195">
        <f>L357-L410</f>
        <v>189.43719999999999</v>
      </c>
      <c r="M407" s="1195">
        <f>N407-L407</f>
        <v>164.82925999999995</v>
      </c>
      <c r="N407" s="845">
        <f>N357-N410</f>
        <v>354.26645999999994</v>
      </c>
      <c r="O407" s="845">
        <f>O357-O410</f>
        <v>242.61929999999998</v>
      </c>
      <c r="P407" s="845">
        <f>Q407-O407</f>
        <v>213.55739999999994</v>
      </c>
      <c r="Q407" s="845">
        <f>Q357-Q410</f>
        <v>456.17669999999993</v>
      </c>
      <c r="R407" s="845">
        <f>R357-R410</f>
        <v>229.52239999999998</v>
      </c>
      <c r="S407" s="845">
        <f>T407-R407</f>
        <v>222.71210999999991</v>
      </c>
      <c r="T407" s="845">
        <f>T357-T410</f>
        <v>452.23450999999989</v>
      </c>
      <c r="U407" s="1195">
        <f>U357-U410</f>
        <v>258.44009999999997</v>
      </c>
      <c r="V407" s="1195">
        <f>W407-U407</f>
        <v>222.20392999999996</v>
      </c>
      <c r="W407" s="845">
        <f>W357-W410</f>
        <v>480.64402999999993</v>
      </c>
      <c r="X407" s="1195">
        <f>X357-X410</f>
        <v>250.31880000000001</v>
      </c>
      <c r="Y407" s="1195">
        <f>Z407-X407</f>
        <v>208.32835999999992</v>
      </c>
      <c r="Z407" s="845">
        <f>Z357-Z410</f>
        <v>458.64715999999993</v>
      </c>
      <c r="AA407" s="1195">
        <f>AA357-AA410</f>
        <v>252.22049999999999</v>
      </c>
      <c r="AB407" s="1195">
        <f>AC407-AA407</f>
        <v>215.01307999999997</v>
      </c>
      <c r="AC407" s="847">
        <f t="shared" ref="AC407:BD407" si="920">AC357-AC410</f>
        <v>467.23357999999996</v>
      </c>
      <c r="AD407" s="1195">
        <f>AD357-AD410</f>
        <v>263.31432700108689</v>
      </c>
      <c r="AE407" s="1195">
        <f>AF407-AD407</f>
        <v>229.56270212337654</v>
      </c>
      <c r="AF407" s="845">
        <f t="shared" si="920"/>
        <v>492.87702912446343</v>
      </c>
      <c r="AG407" s="1195">
        <f>AG357-AG410</f>
        <v>279.56881300976181</v>
      </c>
      <c r="AH407" s="1195">
        <f>AI407-AG407</f>
        <v>241.27081903989949</v>
      </c>
      <c r="AI407" s="845">
        <f t="shared" si="920"/>
        <v>520.8396320496613</v>
      </c>
      <c r="AJ407" s="845"/>
      <c r="AK407" s="845"/>
      <c r="AL407" s="845">
        <f t="shared" si="920"/>
        <v>544.50763581379624</v>
      </c>
      <c r="AM407" s="845"/>
      <c r="AN407" s="845"/>
      <c r="AO407" s="845">
        <f t="shared" si="920"/>
        <v>568.18323692574666</v>
      </c>
      <c r="AP407" s="845"/>
      <c r="AQ407" s="845"/>
      <c r="AR407" s="845">
        <f t="shared" si="920"/>
        <v>592.80823937271475</v>
      </c>
      <c r="AS407" s="845"/>
      <c r="AT407" s="845"/>
      <c r="AU407" s="845">
        <f t="shared" si="920"/>
        <v>618.41887852184527</v>
      </c>
      <c r="AV407" s="845"/>
      <c r="AW407" s="845"/>
      <c r="AX407" s="845">
        <f t="shared" si="920"/>
        <v>645.05272713594889</v>
      </c>
      <c r="AY407" s="845"/>
      <c r="AZ407" s="845"/>
      <c r="BA407" s="845">
        <f t="shared" si="920"/>
        <v>672.74874354826147</v>
      </c>
      <c r="BB407" s="845"/>
      <c r="BC407" s="845"/>
      <c r="BD407" s="845">
        <f t="shared" si="920"/>
        <v>701.54732154064698</v>
      </c>
      <c r="BE407" s="845"/>
      <c r="BF407" s="845"/>
      <c r="BG407" s="845">
        <f t="shared" ref="BG407:BJ407" si="921">BG357-BG410</f>
        <v>731.4903419846014</v>
      </c>
      <c r="BH407" s="845"/>
      <c r="BI407" s="845"/>
      <c r="BJ407" s="845">
        <f t="shared" si="921"/>
        <v>762.6212263064607</v>
      </c>
      <c r="BK407" s="810"/>
      <c r="BL407" s="811"/>
    </row>
    <row r="408" spans="2:64" hidden="1">
      <c r="B408" s="812" t="s">
        <v>87</v>
      </c>
      <c r="C408" s="902">
        <f t="shared" ref="C408:BD408" si="922">C407/C350</f>
        <v>0.35004607543323135</v>
      </c>
      <c r="D408" s="902">
        <f t="shared" si="922"/>
        <v>0.24593481578373746</v>
      </c>
      <c r="E408" s="902">
        <f t="shared" si="922"/>
        <v>0.29973440792246137</v>
      </c>
      <c r="F408" s="902">
        <f t="shared" si="922"/>
        <v>0.34819764966681355</v>
      </c>
      <c r="G408" s="902">
        <f t="shared" si="922"/>
        <v>0.2509355157740788</v>
      </c>
      <c r="H408" s="1288">
        <f t="shared" si="922"/>
        <v>0.30097704258694624</v>
      </c>
      <c r="I408" s="902">
        <f t="shared" si="922"/>
        <v>0.35098112696297407</v>
      </c>
      <c r="J408" s="902">
        <f t="shared" si="922"/>
        <v>0.25097055149369846</v>
      </c>
      <c r="K408" s="1289">
        <f t="shared" si="922"/>
        <v>0.3025206700379266</v>
      </c>
      <c r="L408" s="902">
        <f t="shared" si="922"/>
        <v>0.34900000000000003</v>
      </c>
      <c r="M408" s="902">
        <f t="shared" si="922"/>
        <v>0.33245110931827343</v>
      </c>
      <c r="N408" s="1288">
        <f t="shared" si="922"/>
        <v>0.34109999999999996</v>
      </c>
      <c r="O408" s="1288">
        <f t="shared" si="922"/>
        <v>0.38899999999999996</v>
      </c>
      <c r="P408" s="1288">
        <f t="shared" si="922"/>
        <v>0.37250549450549442</v>
      </c>
      <c r="Q408" s="1288">
        <f t="shared" si="922"/>
        <v>0.38109999999999994</v>
      </c>
      <c r="R408" s="1288">
        <f t="shared" si="922"/>
        <v>0.37899999999999995</v>
      </c>
      <c r="S408" s="1288">
        <f t="shared" si="922"/>
        <v>0.36720875515251433</v>
      </c>
      <c r="T408" s="1288">
        <f t="shared" si="922"/>
        <v>0.37309999999999993</v>
      </c>
      <c r="U408" s="902">
        <f t="shared" si="922"/>
        <v>0.37899999999999995</v>
      </c>
      <c r="V408" s="902">
        <f t="shared" si="922"/>
        <v>0.35416628944851763</v>
      </c>
      <c r="W408" s="1288">
        <f t="shared" si="922"/>
        <v>0.36709999999999998</v>
      </c>
      <c r="X408" s="902">
        <f t="shared" si="922"/>
        <v>0.37200000000000005</v>
      </c>
      <c r="Y408" s="902">
        <f t="shared" si="922"/>
        <v>0.33671950864716332</v>
      </c>
      <c r="Z408" s="1288">
        <f t="shared" si="922"/>
        <v>0.35509999999999997</v>
      </c>
      <c r="AA408" s="902">
        <f>AA407/AA350</f>
        <v>0.35699999999999998</v>
      </c>
      <c r="AB408" s="902">
        <f t="shared" ref="AB408" si="923">AB407/AB350</f>
        <v>0.32811396307034946</v>
      </c>
      <c r="AC408" s="1370">
        <f t="shared" si="922"/>
        <v>0.34309999999999996</v>
      </c>
      <c r="AD408" s="902">
        <f t="shared" ref="AD408:AE408" si="924">AD407/AD350</f>
        <v>0.35799999999999993</v>
      </c>
      <c r="AE408" s="902">
        <f t="shared" si="924"/>
        <v>0.32942877211731558</v>
      </c>
      <c r="AF408" s="1288">
        <f t="shared" si="922"/>
        <v>0.34409999999999996</v>
      </c>
      <c r="AG408" s="902">
        <f t="shared" si="922"/>
        <v>0.35799999999999998</v>
      </c>
      <c r="AH408" s="902">
        <f t="shared" si="922"/>
        <v>0.33027541835470986</v>
      </c>
      <c r="AI408" s="1288">
        <f t="shared" si="922"/>
        <v>0.34459999999999991</v>
      </c>
      <c r="AJ408" s="1288"/>
      <c r="AK408" s="1288"/>
      <c r="AL408" s="1288">
        <f t="shared" si="922"/>
        <v>0.34559999999999991</v>
      </c>
      <c r="AM408" s="1288"/>
      <c r="AN408" s="1288"/>
      <c r="AO408" s="1288">
        <f t="shared" si="922"/>
        <v>0.34599999999999997</v>
      </c>
      <c r="AP408" s="1288"/>
      <c r="AQ408" s="1288"/>
      <c r="AR408" s="1288">
        <f t="shared" si="922"/>
        <v>0.34639999999999999</v>
      </c>
      <c r="AS408" s="1288"/>
      <c r="AT408" s="1288"/>
      <c r="AU408" s="1288">
        <f t="shared" si="922"/>
        <v>0.3468</v>
      </c>
      <c r="AV408" s="1288"/>
      <c r="AW408" s="1288"/>
      <c r="AX408" s="1288">
        <f t="shared" si="922"/>
        <v>0.34719999999999995</v>
      </c>
      <c r="AY408" s="1288"/>
      <c r="AZ408" s="1288"/>
      <c r="BA408" s="1288">
        <f t="shared" si="922"/>
        <v>0.34759999999999996</v>
      </c>
      <c r="BB408" s="1288"/>
      <c r="BC408" s="1288"/>
      <c r="BD408" s="1288">
        <f t="shared" si="922"/>
        <v>0.34800000000000003</v>
      </c>
      <c r="BE408" s="1288"/>
      <c r="BF408" s="1288"/>
      <c r="BG408" s="1288">
        <f t="shared" ref="BG408:BJ408" si="925">BG407/BG350</f>
        <v>0.34840000000000004</v>
      </c>
      <c r="BH408" s="1288"/>
      <c r="BI408" s="1288"/>
      <c r="BJ408" s="1288">
        <f t="shared" si="925"/>
        <v>0.34880000000000005</v>
      </c>
    </row>
    <row r="409" spans="2:64" hidden="1">
      <c r="B409" s="812" t="s">
        <v>194</v>
      </c>
      <c r="C409" s="852"/>
      <c r="D409" s="852"/>
      <c r="E409" s="1288"/>
      <c r="F409" s="852">
        <f t="shared" ref="F409:W409" si="926">F407/C407-1</f>
        <v>2.1691484925477678E-2</v>
      </c>
      <c r="G409" s="852">
        <f t="shared" si="926"/>
        <v>5.7480958733348686E-2</v>
      </c>
      <c r="H409" s="1288">
        <f t="shared" si="926"/>
        <v>3.5882378314055163E-2</v>
      </c>
      <c r="I409" s="852">
        <f t="shared" si="926"/>
        <v>4.8209675385706641E-2</v>
      </c>
      <c r="J409" s="852">
        <f t="shared" si="926"/>
        <v>3.611435223384829E-2</v>
      </c>
      <c r="K409" s="1289">
        <f t="shared" si="926"/>
        <v>4.3313758788541712E-2</v>
      </c>
      <c r="L409" s="852">
        <f t="shared" si="926"/>
        <v>3.0227416990505906E-2</v>
      </c>
      <c r="M409" s="852">
        <f t="shared" si="926"/>
        <v>0.33353773387240393</v>
      </c>
      <c r="N409" s="1288">
        <f t="shared" si="926"/>
        <v>0.15215345808870362</v>
      </c>
      <c r="O409" s="1288">
        <f t="shared" si="926"/>
        <v>0.28073736309447139</v>
      </c>
      <c r="P409" s="1288">
        <f t="shared" si="926"/>
        <v>0.29562797284899545</v>
      </c>
      <c r="Q409" s="1288">
        <f t="shared" si="926"/>
        <v>0.28766550465996699</v>
      </c>
      <c r="R409" s="1288">
        <f t="shared" si="926"/>
        <v>-5.3981278488562157E-2</v>
      </c>
      <c r="S409" s="1288">
        <f t="shared" si="926"/>
        <v>4.2867678666250741E-2</v>
      </c>
      <c r="T409" s="1288">
        <f t="shared" si="926"/>
        <v>-8.6418048094083488E-3</v>
      </c>
      <c r="U409" s="852">
        <f t="shared" si="926"/>
        <v>0.12599075297225881</v>
      </c>
      <c r="V409" s="852">
        <f t="shared" si="926"/>
        <v>-2.2817798277783297E-3</v>
      </c>
      <c r="W409" s="1288">
        <f t="shared" si="926"/>
        <v>6.2820327444714552E-2</v>
      </c>
      <c r="X409" s="852">
        <f t="shared" ref="X409" si="927">X407/U407-1</f>
        <v>-3.1424302962272388E-2</v>
      </c>
      <c r="Y409" s="852">
        <f t="shared" ref="Y409" si="928">Y407/V407-1</f>
        <v>-6.2445205177064311E-2</v>
      </c>
      <c r="Z409" s="1288">
        <f>Z407/W407-1</f>
        <v>-4.5765407717640816E-2</v>
      </c>
      <c r="AA409" s="852">
        <f t="shared" ref="AA409:AB409" si="929">AA407/X407-1</f>
        <v>7.5971121625701965E-3</v>
      </c>
      <c r="AB409" s="852">
        <f t="shared" si="929"/>
        <v>3.2087421990937948E-2</v>
      </c>
      <c r="AC409" s="1370">
        <f>AC407/Z407-1</f>
        <v>1.8721188636598107E-2</v>
      </c>
      <c r="AD409" s="852">
        <f t="shared" ref="AD409" si="930">AD407/AA407-1</f>
        <v>4.3984636463280768E-2</v>
      </c>
      <c r="AE409" s="852">
        <f t="shared" ref="AE409" si="931">AE407/AB407-1</f>
        <v>6.7668544273569609E-2</v>
      </c>
      <c r="AF409" s="1288">
        <f>AF407/AC407-1</f>
        <v>5.4883574773164856E-2</v>
      </c>
      <c r="AG409" s="852">
        <f t="shared" ref="AG409" si="932">AG407/AD407-1</f>
        <v>6.1730351681956952E-2</v>
      </c>
      <c r="AH409" s="852">
        <f t="shared" ref="AH409" si="933">AH407/AE407-1</f>
        <v>5.1001825680857094E-2</v>
      </c>
      <c r="AI409" s="1288">
        <f>AI407/AF407-1</f>
        <v>5.6733426946007359E-2</v>
      </c>
      <c r="AJ409" s="1288"/>
      <c r="AK409" s="1288"/>
      <c r="AL409" s="1288">
        <f>AL407/AI407-1</f>
        <v>4.5442017672491897E-2</v>
      </c>
      <c r="AM409" s="1288"/>
      <c r="AN409" s="1288"/>
      <c r="AO409" s="1288">
        <f>AO407/AL407-1</f>
        <v>4.3480751333387468E-2</v>
      </c>
      <c r="AP409" s="1288"/>
      <c r="AQ409" s="1288"/>
      <c r="AR409" s="1288">
        <f>AR407/AO407-1</f>
        <v>4.3339896087406515E-2</v>
      </c>
      <c r="AS409" s="1288"/>
      <c r="AT409" s="1288"/>
      <c r="AU409" s="1288">
        <f>AU407/AR407-1</f>
        <v>4.3202232101616334E-2</v>
      </c>
      <c r="AV409" s="1288"/>
      <c r="AW409" s="1288"/>
      <c r="AX409" s="1288">
        <f>AX407/AU407-1</f>
        <v>4.3067651294482312E-2</v>
      </c>
      <c r="AY409" s="1288"/>
      <c r="AZ409" s="1288"/>
      <c r="BA409" s="1288">
        <f>BA407/AX407-1</f>
        <v>4.2936050414488891E-2</v>
      </c>
      <c r="BB409" s="1288"/>
      <c r="BC409" s="1288"/>
      <c r="BD409" s="1288">
        <f>BD407/BA407-1</f>
        <v>4.2807330773289687E-2</v>
      </c>
      <c r="BE409" s="1288"/>
      <c r="BF409" s="1288"/>
      <c r="BG409" s="1288">
        <f>BG407/BD407-1</f>
        <v>4.2681397996356729E-2</v>
      </c>
      <c r="BH409" s="1288"/>
      <c r="BI409" s="1288"/>
      <c r="BJ409" s="1288">
        <f t="shared" ref="BJ409" si="934">BJ407/BG407-1</f>
        <v>4.2558161789803428E-2</v>
      </c>
    </row>
    <row r="410" spans="2:64" s="828" customFormat="1" hidden="1">
      <c r="B410" s="828" t="s">
        <v>70</v>
      </c>
      <c r="C410" s="1045">
        <f t="shared" ref="C410:I410" si="935">C372</f>
        <v>50.9</v>
      </c>
      <c r="D410" s="1045">
        <f t="shared" si="935"/>
        <v>40.4</v>
      </c>
      <c r="E410" s="1045">
        <f t="shared" si="935"/>
        <v>91.3</v>
      </c>
      <c r="F410" s="1045">
        <f t="shared" si="935"/>
        <v>51.7</v>
      </c>
      <c r="G410" s="1045">
        <f t="shared" si="935"/>
        <v>39.799999999999997</v>
      </c>
      <c r="H410" s="1045">
        <f t="shared" si="935"/>
        <v>91.5</v>
      </c>
      <c r="I410" s="1195">
        <f t="shared" si="935"/>
        <v>54.4</v>
      </c>
      <c r="J410" s="1195">
        <f>K410-I410</f>
        <v>41.039960000000001</v>
      </c>
      <c r="K410" s="1046">
        <f>+K412*K350</f>
        <v>95.439959999999999</v>
      </c>
      <c r="L410" s="1195">
        <f>+L412*L350</f>
        <v>54.822800000000001</v>
      </c>
      <c r="M410" s="1195">
        <f>N410-L410</f>
        <v>42.701739999999987</v>
      </c>
      <c r="N410" s="1045">
        <f>+N412*N350</f>
        <v>97.524539999999988</v>
      </c>
      <c r="O410" s="1045">
        <f>+O412*O350</f>
        <v>62.993700000000011</v>
      </c>
      <c r="P410" s="1045">
        <f>Q410-O410</f>
        <v>49.404599999999981</v>
      </c>
      <c r="Q410" s="1045">
        <f>+Q412*Q350</f>
        <v>112.39829999999999</v>
      </c>
      <c r="R410" s="1045">
        <f>+R412*R350</f>
        <v>61.165600000000005</v>
      </c>
      <c r="S410" s="1045">
        <f>T410-R410</f>
        <v>52.650589999999987</v>
      </c>
      <c r="T410" s="1045">
        <f>+T412*T350</f>
        <v>113.81618999999999</v>
      </c>
      <c r="U410" s="1195">
        <f>+U412*U350</f>
        <v>68.871899999999997</v>
      </c>
      <c r="V410" s="1195">
        <f>W410-U410</f>
        <v>54.071370000000002</v>
      </c>
      <c r="W410" s="1045">
        <f>+W412*W350</f>
        <v>122.94327</v>
      </c>
      <c r="X410" s="1195">
        <f>+X412*X350</f>
        <v>67.962900000000005</v>
      </c>
      <c r="Y410" s="1195">
        <f>Z410-X410</f>
        <v>53.318339999999978</v>
      </c>
      <c r="Z410" s="1045">
        <f>+Z412*Z350</f>
        <v>121.28123999999998</v>
      </c>
      <c r="AA410" s="1195">
        <f>+AA412*AA350</f>
        <v>71.356500000000011</v>
      </c>
      <c r="AB410" s="1195">
        <f>AC410-AA410</f>
        <v>56.516519999999986</v>
      </c>
      <c r="AC410" s="1222">
        <f t="shared" ref="AC410:BD410" si="936">+AC412*AC350</f>
        <v>127.87302</v>
      </c>
      <c r="AD410" s="1195">
        <f>+AD412*AD350</f>
        <v>74.287002869021734</v>
      </c>
      <c r="AE410" s="1195">
        <f>AF410-AD410</f>
        <v>60.212134110888542</v>
      </c>
      <c r="AF410" s="1045">
        <f t="shared" si="936"/>
        <v>134.49913697991028</v>
      </c>
      <c r="AG410" s="1195">
        <f>+AG412*AG350</f>
        <v>78.872765681524996</v>
      </c>
      <c r="AH410" s="1195">
        <f>AI410-AG410</f>
        <v>63.050744038333406</v>
      </c>
      <c r="AI410" s="1045">
        <f t="shared" si="936"/>
        <v>141.9235097198584</v>
      </c>
      <c r="AJ410" s="1045"/>
      <c r="AK410" s="1045"/>
      <c r="AL410" s="1045">
        <f t="shared" si="936"/>
        <v>147.94348091121375</v>
      </c>
      <c r="AM410" s="1045"/>
      <c r="AN410" s="1045"/>
      <c r="AO410" s="1045">
        <f t="shared" si="936"/>
        <v>154.1977050500798</v>
      </c>
      <c r="AP410" s="1045"/>
      <c r="AQ410" s="1045"/>
      <c r="AR410" s="1045">
        <f t="shared" si="936"/>
        <v>160.69484317868913</v>
      </c>
      <c r="AS410" s="1045"/>
      <c r="AT410" s="1045"/>
      <c r="AU410" s="1045">
        <f t="shared" si="936"/>
        <v>167.44386589735083</v>
      </c>
      <c r="AV410" s="1045"/>
      <c r="AW410" s="1045"/>
      <c r="AX410" s="1045">
        <f t="shared" si="936"/>
        <v>174.45406416493549</v>
      </c>
      <c r="AY410" s="1045"/>
      <c r="AZ410" s="1045"/>
      <c r="BA410" s="1045">
        <f t="shared" si="936"/>
        <v>181.73506046945269</v>
      </c>
      <c r="BB410" s="1045"/>
      <c r="BC410" s="1045"/>
      <c r="BD410" s="1045">
        <f t="shared" si="936"/>
        <v>189.2968203812263</v>
      </c>
      <c r="BE410" s="1045"/>
      <c r="BF410" s="1045"/>
      <c r="BG410" s="1045">
        <f t="shared" ref="BG410:BJ410" si="937">+BG412*BG350</f>
        <v>197.14966450159028</v>
      </c>
      <c r="BH410" s="1045"/>
      <c r="BI410" s="1045"/>
      <c r="BJ410" s="1045">
        <f t="shared" si="937"/>
        <v>205.30428082046058</v>
      </c>
      <c r="BK410" s="810"/>
      <c r="BL410" s="992"/>
    </row>
    <row r="411" spans="2:64" s="828" customFormat="1" hidden="1">
      <c r="B411" s="812" t="s">
        <v>34</v>
      </c>
      <c r="C411" s="1034">
        <v>0.19483568075117375</v>
      </c>
      <c r="D411" s="1034">
        <v>0.14772727272727293</v>
      </c>
      <c r="E411" s="944">
        <v>0.17352185089974292</v>
      </c>
      <c r="F411" s="1034">
        <f t="shared" ref="F411:W411" si="938">F410/C410-1</f>
        <v>1.5717092337917515E-2</v>
      </c>
      <c r="G411" s="1034">
        <f t="shared" si="938"/>
        <v>-1.4851485148514865E-2</v>
      </c>
      <c r="H411" s="944">
        <f t="shared" si="938"/>
        <v>2.1905805038335835E-3</v>
      </c>
      <c r="I411" s="862">
        <f t="shared" si="938"/>
        <v>5.2224371373307488E-2</v>
      </c>
      <c r="J411" s="1034">
        <f t="shared" si="938"/>
        <v>3.115477386934673E-2</v>
      </c>
      <c r="K411" s="1089">
        <f t="shared" si="938"/>
        <v>4.3059672131147586E-2</v>
      </c>
      <c r="L411" s="862">
        <f t="shared" si="938"/>
        <v>7.772058823529493E-3</v>
      </c>
      <c r="M411" s="1034">
        <f t="shared" si="938"/>
        <v>4.0491754865257912E-2</v>
      </c>
      <c r="N411" s="944">
        <f t="shared" si="938"/>
        <v>2.1841794569067208E-2</v>
      </c>
      <c r="O411" s="944">
        <f t="shared" si="938"/>
        <v>0.14904200442151816</v>
      </c>
      <c r="P411" s="944">
        <f t="shared" si="938"/>
        <v>0.15696924762316478</v>
      </c>
      <c r="Q411" s="944">
        <f t="shared" si="938"/>
        <v>0.15251299826689779</v>
      </c>
      <c r="R411" s="944">
        <f t="shared" si="938"/>
        <v>-2.9020362353695761E-2</v>
      </c>
      <c r="S411" s="944">
        <f t="shared" si="938"/>
        <v>6.5702181578233709E-2</v>
      </c>
      <c r="T411" s="944">
        <f t="shared" si="938"/>
        <v>1.2614870509607412E-2</v>
      </c>
      <c r="U411" s="862">
        <f t="shared" si="938"/>
        <v>0.12599075297225881</v>
      </c>
      <c r="V411" s="1034">
        <f t="shared" si="938"/>
        <v>2.6985072721882331E-2</v>
      </c>
      <c r="W411" s="944">
        <f t="shared" si="938"/>
        <v>8.0191403349558765E-2</v>
      </c>
      <c r="X411" s="862">
        <f t="shared" ref="X411" si="939">X410/U410-1</f>
        <v>-1.3198416190057127E-2</v>
      </c>
      <c r="Y411" s="1034">
        <f t="shared" ref="Y411" si="940">Y410/V410-1</f>
        <v>-1.3926593685346322E-2</v>
      </c>
      <c r="Z411" s="944">
        <f>Z410/W410-1</f>
        <v>-1.3518674100664652E-2</v>
      </c>
      <c r="AA411" s="862">
        <f t="shared" ref="AA411:AB411" si="941">AA410/X410-1</f>
        <v>4.9933125278644797E-2</v>
      </c>
      <c r="AB411" s="1034">
        <f t="shared" si="941"/>
        <v>5.9982737647121143E-2</v>
      </c>
      <c r="AC411" s="989">
        <f>AC410/Z410-1</f>
        <v>5.4351192319603614E-2</v>
      </c>
      <c r="AD411" s="862">
        <f t="shared" ref="AD411" si="942">AD410/AA410-1</f>
        <v>4.1068478260869234E-2</v>
      </c>
      <c r="AE411" s="1034">
        <f t="shared" ref="AE411" si="943">AE410/AB410-1</f>
        <v>6.5389979972025225E-2</v>
      </c>
      <c r="AF411" s="944">
        <f>AF410/AC410-1</f>
        <v>5.1817943925233534E-2</v>
      </c>
      <c r="AG411" s="862">
        <f t="shared" ref="AG411" si="944">AG410/AD410-1</f>
        <v>6.1730351681956952E-2</v>
      </c>
      <c r="AH411" s="1034">
        <f t="shared" ref="AH411" si="945">AH410/AE410-1</f>
        <v>4.7143486431110215E-2</v>
      </c>
      <c r="AI411" s="944">
        <f>AI410/AF410-1</f>
        <v>5.520015151515123E-2</v>
      </c>
      <c r="AJ411" s="944"/>
      <c r="AK411" s="944"/>
      <c r="AL411" s="944">
        <f>AL410/AI410-1</f>
        <v>4.2417011834319229E-2</v>
      </c>
      <c r="AM411" s="944"/>
      <c r="AN411" s="944"/>
      <c r="AO411" s="944">
        <f>AO410/AL410-1</f>
        <v>4.2274415204678339E-2</v>
      </c>
      <c r="AP411" s="944"/>
      <c r="AQ411" s="944"/>
      <c r="AR411" s="944">
        <f>AR410/AO410-1</f>
        <v>4.2135115606935836E-2</v>
      </c>
      <c r="AS411" s="944"/>
      <c r="AT411" s="944"/>
      <c r="AU411" s="944">
        <f>AU410/AR410-1</f>
        <v>4.1998999999999675E-2</v>
      </c>
      <c r="AV411" s="944"/>
      <c r="AW411" s="944"/>
      <c r="AX411" s="944">
        <f>AX410/AU410-1</f>
        <v>4.1865960451977102E-2</v>
      </c>
      <c r="AY411" s="944"/>
      <c r="AZ411" s="944"/>
      <c r="BA411" s="944">
        <f>BA410/AX410-1</f>
        <v>4.1735893854748296E-2</v>
      </c>
      <c r="BB411" s="944"/>
      <c r="BC411" s="944"/>
      <c r="BD411" s="944">
        <f>BD410/BA410-1</f>
        <v>4.1608701657458225E-2</v>
      </c>
      <c r="BE411" s="944"/>
      <c r="BF411" s="944"/>
      <c r="BG411" s="944">
        <f>BG410/BD410-1</f>
        <v>4.1484289617485848E-2</v>
      </c>
      <c r="BH411" s="944"/>
      <c r="BI411" s="944"/>
      <c r="BJ411" s="944">
        <f t="shared" ref="BJ411" si="946">BJ410/BG410-1</f>
        <v>4.136256756756751E-2</v>
      </c>
      <c r="BK411" s="810"/>
      <c r="BL411" s="992"/>
    </row>
    <row r="412" spans="2:64" hidden="1">
      <c r="B412" s="828" t="s">
        <v>152</v>
      </c>
      <c r="C412" s="1288">
        <f>C410/C350</f>
        <v>0.1037716615698267</v>
      </c>
      <c r="D412" s="1288">
        <f>D410/D350</f>
        <v>8.8074994549814684E-2</v>
      </c>
      <c r="E412" s="1288">
        <f>E410/E350</f>
        <v>9.6186262115465646E-2</v>
      </c>
      <c r="F412" s="1288">
        <f>F410/F350</f>
        <v>0.10262008733624454</v>
      </c>
      <c r="G412" s="1288">
        <f>G410/G350</f>
        <v>8.3718973496003352E-2</v>
      </c>
      <c r="H412" s="907">
        <v>9.2999999999999999E-2</v>
      </c>
      <c r="I412" s="1288">
        <f>I410/I350</f>
        <v>0.10383661004008399</v>
      </c>
      <c r="J412" s="1288">
        <f>J410/J350</f>
        <v>8.3329868020304565E-2</v>
      </c>
      <c r="K412" s="1110">
        <v>9.3899999999999997E-2</v>
      </c>
      <c r="L412" s="907">
        <v>0.10100000000000001</v>
      </c>
      <c r="M412" s="1288">
        <f>M410/M350</f>
        <v>8.6126946349334391E-2</v>
      </c>
      <c r="N412" s="907">
        <f>K412</f>
        <v>9.3899999999999997E-2</v>
      </c>
      <c r="O412" s="907">
        <v>0.10100000000000001</v>
      </c>
      <c r="P412" s="907">
        <f>P410/P350</f>
        <v>8.6175824175824145E-2</v>
      </c>
      <c r="Q412" s="907">
        <f>N412</f>
        <v>9.3899999999999997E-2</v>
      </c>
      <c r="R412" s="907">
        <v>0.10100000000000001</v>
      </c>
      <c r="S412" s="907">
        <f>S410/S350</f>
        <v>8.6810535861500407E-2</v>
      </c>
      <c r="T412" s="907">
        <f>Q412</f>
        <v>9.3899999999999997E-2</v>
      </c>
      <c r="U412" s="907">
        <v>0.10100000000000001</v>
      </c>
      <c r="V412" s="1288">
        <f>V410/V350</f>
        <v>8.6183248326426529E-2</v>
      </c>
      <c r="W412" s="907">
        <f>T412</f>
        <v>9.3899999999999997E-2</v>
      </c>
      <c r="X412" s="907">
        <v>0.10100000000000001</v>
      </c>
      <c r="Y412" s="1288">
        <f>Y410/Y350</f>
        <v>8.6178018425731348E-2</v>
      </c>
      <c r="Z412" s="907">
        <f>W412</f>
        <v>9.3899999999999997E-2</v>
      </c>
      <c r="AA412" s="907">
        <v>0.10100000000000001</v>
      </c>
      <c r="AB412" s="1288">
        <f>AB410/AB350</f>
        <v>8.6245261712192878E-2</v>
      </c>
      <c r="AC412" s="909">
        <f>Z412</f>
        <v>9.3899999999999997E-2</v>
      </c>
      <c r="AD412" s="907">
        <v>0.10100000000000001</v>
      </c>
      <c r="AE412" s="1288">
        <f>AE410/AE350</f>
        <v>8.6406063455607293E-2</v>
      </c>
      <c r="AF412" s="907">
        <f>AC412</f>
        <v>9.3899999999999997E-2</v>
      </c>
      <c r="AG412" s="907">
        <v>0.10100000000000001</v>
      </c>
      <c r="AH412" s="1288">
        <f>AH410/AH350</f>
        <v>8.6310109725256767E-2</v>
      </c>
      <c r="AI412" s="907">
        <f>AF412</f>
        <v>9.3899999999999997E-2</v>
      </c>
      <c r="AJ412" s="907"/>
      <c r="AK412" s="907"/>
      <c r="AL412" s="907">
        <f>AI412</f>
        <v>9.3899999999999997E-2</v>
      </c>
      <c r="AM412" s="907"/>
      <c r="AN412" s="907"/>
      <c r="AO412" s="907">
        <f>AL412</f>
        <v>9.3899999999999997E-2</v>
      </c>
      <c r="AP412" s="907"/>
      <c r="AQ412" s="907"/>
      <c r="AR412" s="907">
        <f>AO412</f>
        <v>9.3899999999999997E-2</v>
      </c>
      <c r="AS412" s="907"/>
      <c r="AT412" s="907"/>
      <c r="AU412" s="907">
        <f>AR412</f>
        <v>9.3899999999999997E-2</v>
      </c>
      <c r="AV412" s="907"/>
      <c r="AW412" s="907"/>
      <c r="AX412" s="907">
        <f>AU412</f>
        <v>9.3899999999999997E-2</v>
      </c>
      <c r="AY412" s="907"/>
      <c r="AZ412" s="907"/>
      <c r="BA412" s="907">
        <f>AX412</f>
        <v>9.3899999999999997E-2</v>
      </c>
      <c r="BB412" s="907"/>
      <c r="BC412" s="907"/>
      <c r="BD412" s="907">
        <f>BA412</f>
        <v>9.3899999999999997E-2</v>
      </c>
      <c r="BE412" s="907"/>
      <c r="BF412" s="907"/>
      <c r="BG412" s="907">
        <f>BD412</f>
        <v>9.3899999999999997E-2</v>
      </c>
      <c r="BH412" s="907"/>
      <c r="BI412" s="907"/>
      <c r="BJ412" s="907">
        <f t="shared" ref="BJ412" si="947">BG412</f>
        <v>9.3899999999999997E-2</v>
      </c>
      <c r="BK412" s="873"/>
    </row>
    <row r="413" spans="2:64" hidden="1">
      <c r="B413" s="812" t="s">
        <v>173</v>
      </c>
      <c r="C413" s="902"/>
      <c r="D413" s="902"/>
      <c r="F413" s="902">
        <f>+F410-C410</f>
        <v>0.80000000000000426</v>
      </c>
      <c r="G413" s="902"/>
      <c r="I413" s="902">
        <f>+I410-F410</f>
        <v>2.6999999999999957</v>
      </c>
      <c r="J413" s="902"/>
      <c r="L413" s="902">
        <f>+L410-I410</f>
        <v>0.42280000000000229</v>
      </c>
      <c r="M413" s="902"/>
      <c r="O413" s="831">
        <f>+O410-L410</f>
        <v>8.1709000000000103</v>
      </c>
      <c r="R413" s="831">
        <f>+R410-O410</f>
        <v>-1.8281000000000063</v>
      </c>
      <c r="U413" s="902">
        <f>+U410-R410</f>
        <v>7.7062999999999917</v>
      </c>
      <c r="V413" s="902"/>
      <c r="X413" s="902">
        <f>+X410-U410</f>
        <v>-0.90899999999999181</v>
      </c>
      <c r="Y413" s="902"/>
      <c r="AA413" s="902">
        <f>+AA410-X410</f>
        <v>3.3936000000000064</v>
      </c>
      <c r="AB413" s="902"/>
      <c r="AD413" s="902">
        <f>+AD410-AA410</f>
        <v>2.9305028690217227</v>
      </c>
      <c r="AE413" s="902"/>
      <c r="AG413" s="902">
        <f>+AG410-AD410</f>
        <v>4.5857628125032619</v>
      </c>
      <c r="AH413" s="902"/>
    </row>
    <row r="414" spans="2:64" hidden="1">
      <c r="C414" s="834"/>
      <c r="D414" s="834"/>
      <c r="F414" s="834"/>
      <c r="G414" s="834"/>
      <c r="I414" s="834"/>
      <c r="J414" s="834"/>
      <c r="L414" s="834">
        <f>0.094*L340</f>
        <v>51.023199999999996</v>
      </c>
      <c r="M414" s="834"/>
      <c r="O414" s="831">
        <f>0.094*O340</f>
        <v>58.627800000000008</v>
      </c>
      <c r="R414" s="831">
        <f>0.094*R340</f>
        <v>56.926400000000001</v>
      </c>
      <c r="U414" s="834">
        <f>0.094*U340</f>
        <v>64.098600000000005</v>
      </c>
      <c r="V414" s="834"/>
      <c r="X414" s="834">
        <f>0.094*X340</f>
        <v>63.252600000000001</v>
      </c>
      <c r="Y414" s="834"/>
      <c r="AA414" s="834">
        <f>0.094*AA340</f>
        <v>66.411000000000001</v>
      </c>
      <c r="AB414" s="834"/>
      <c r="AD414" s="834">
        <f>0.094*AD340</f>
        <v>69.138398709782606</v>
      </c>
      <c r="AE414" s="834"/>
      <c r="AG414" s="834">
        <f>0.094*AG340</f>
        <v>73.406336376864843</v>
      </c>
      <c r="AH414" s="834"/>
    </row>
    <row r="415" spans="2:64" hidden="1" outlineLevel="1">
      <c r="B415" s="812" t="s">
        <v>200</v>
      </c>
      <c r="C415" s="834"/>
      <c r="D415" s="834"/>
      <c r="F415" s="834"/>
      <c r="G415" s="834"/>
      <c r="I415" s="834"/>
      <c r="J415" s="834"/>
      <c r="L415" s="834"/>
      <c r="M415" s="834"/>
      <c r="U415" s="834"/>
      <c r="V415" s="834"/>
      <c r="X415" s="834"/>
      <c r="Y415" s="834"/>
      <c r="AA415" s="834"/>
      <c r="AB415" s="834"/>
      <c r="AD415" s="834"/>
      <c r="AE415" s="834"/>
      <c r="AG415" s="834"/>
      <c r="AH415" s="834"/>
    </row>
    <row r="416" spans="2:64" hidden="1" outlineLevel="1">
      <c r="C416" s="834"/>
      <c r="D416" s="834"/>
      <c r="F416" s="834"/>
      <c r="G416" s="834"/>
      <c r="I416" s="834"/>
      <c r="J416" s="834"/>
      <c r="L416" s="834"/>
      <c r="M416" s="834"/>
      <c r="U416" s="834"/>
      <c r="V416" s="834"/>
      <c r="X416" s="834"/>
      <c r="Y416" s="834"/>
      <c r="AA416" s="834"/>
      <c r="AB416" s="834"/>
      <c r="AD416" s="834"/>
      <c r="AE416" s="834"/>
      <c r="AG416" s="834"/>
      <c r="AH416" s="834"/>
    </row>
    <row r="417" spans="2:62" hidden="1" outlineLevel="1">
      <c r="B417" s="812" t="s">
        <v>188</v>
      </c>
      <c r="C417" s="834"/>
      <c r="D417" s="834"/>
      <c r="F417" s="834"/>
      <c r="G417" s="834"/>
      <c r="I417" s="834"/>
      <c r="J417" s="834"/>
      <c r="L417" s="834"/>
      <c r="M417" s="834"/>
      <c r="U417" s="834"/>
      <c r="V417" s="834"/>
      <c r="X417" s="834"/>
      <c r="Y417" s="834"/>
      <c r="AA417" s="834"/>
      <c r="AB417" s="834"/>
      <c r="AD417" s="834"/>
      <c r="AE417" s="834"/>
      <c r="AG417" s="834"/>
      <c r="AH417" s="834"/>
    </row>
    <row r="418" spans="2:62" hidden="1" outlineLevel="1">
      <c r="B418" s="812" t="s">
        <v>195</v>
      </c>
      <c r="C418" s="834"/>
      <c r="D418" s="834"/>
      <c r="F418" s="834"/>
      <c r="G418" s="834"/>
      <c r="I418" s="834"/>
      <c r="J418" s="834"/>
      <c r="L418" s="834"/>
      <c r="M418" s="834"/>
      <c r="U418" s="834"/>
      <c r="V418" s="834"/>
      <c r="X418" s="834"/>
      <c r="Y418" s="834"/>
      <c r="AA418" s="834"/>
      <c r="AB418" s="834"/>
      <c r="AD418" s="834"/>
      <c r="AE418" s="834"/>
      <c r="AG418" s="834"/>
      <c r="AH418" s="834"/>
    </row>
    <row r="419" spans="2:62" hidden="1" outlineLevel="1">
      <c r="B419" s="812" t="s">
        <v>187</v>
      </c>
      <c r="C419" s="834"/>
      <c r="D419" s="834"/>
      <c r="F419" s="834"/>
      <c r="G419" s="834"/>
      <c r="I419" s="834"/>
      <c r="J419" s="834"/>
      <c r="L419" s="834"/>
      <c r="M419" s="834"/>
      <c r="U419" s="834"/>
      <c r="V419" s="834"/>
      <c r="X419" s="834"/>
      <c r="Y419" s="834"/>
      <c r="AA419" s="834"/>
      <c r="AB419" s="834"/>
      <c r="AD419" s="834"/>
      <c r="AE419" s="834"/>
      <c r="AG419" s="834"/>
      <c r="AH419" s="834"/>
    </row>
    <row r="420" spans="2:62" hidden="1" outlineLevel="1">
      <c r="C420" s="944"/>
      <c r="D420" s="944"/>
      <c r="E420" s="944"/>
      <c r="F420" s="944"/>
      <c r="G420" s="944"/>
      <c r="I420" s="852"/>
      <c r="J420" s="944"/>
      <c r="L420" s="852"/>
      <c r="M420" s="944"/>
      <c r="U420" s="852"/>
      <c r="V420" s="944"/>
      <c r="X420" s="852"/>
      <c r="Y420" s="944"/>
      <c r="AA420" s="852"/>
      <c r="AB420" s="944"/>
      <c r="AD420" s="852"/>
      <c r="AE420" s="944"/>
      <c r="AG420" s="852"/>
      <c r="AH420" s="944"/>
    </row>
    <row r="421" spans="2:62" hidden="1" outlineLevel="1">
      <c r="B421" s="812" t="s">
        <v>193</v>
      </c>
      <c r="C421" s="1290"/>
      <c r="D421" s="1290"/>
      <c r="E421" s="944"/>
      <c r="F421" s="1290"/>
      <c r="G421" s="1290"/>
      <c r="I421" s="1291"/>
      <c r="J421" s="1290"/>
      <c r="L421" s="1291"/>
      <c r="M421" s="1290"/>
      <c r="U421" s="1291"/>
      <c r="V421" s="1290"/>
      <c r="X421" s="1291"/>
      <c r="Y421" s="1290"/>
      <c r="AA421" s="1291"/>
      <c r="AB421" s="1290"/>
      <c r="AD421" s="1291"/>
      <c r="AE421" s="1290"/>
      <c r="AG421" s="1291"/>
      <c r="AH421" s="1290"/>
    </row>
    <row r="422" spans="2:62" hidden="1" outlineLevel="1">
      <c r="C422" s="1290"/>
      <c r="D422" s="1290"/>
      <c r="E422" s="944"/>
      <c r="F422" s="1290"/>
      <c r="G422" s="1290"/>
      <c r="I422" s="1291"/>
      <c r="J422" s="1290"/>
      <c r="L422" s="1291"/>
      <c r="M422" s="1290"/>
      <c r="U422" s="1291"/>
      <c r="V422" s="1290"/>
      <c r="X422" s="1291"/>
      <c r="Y422" s="1290"/>
      <c r="AA422" s="1291"/>
      <c r="AB422" s="1290"/>
      <c r="AD422" s="1291"/>
      <c r="AE422" s="1290"/>
      <c r="AG422" s="1291"/>
      <c r="AH422" s="1290"/>
    </row>
    <row r="423" spans="2:62" hidden="1" collapsed="1">
      <c r="B423" s="812" t="s">
        <v>39</v>
      </c>
      <c r="C423" s="1283">
        <f t="shared" ref="C423:BD423" si="948">-C368</f>
        <v>12.1</v>
      </c>
      <c r="D423" s="1283">
        <f t="shared" si="948"/>
        <v>11.700000000000001</v>
      </c>
      <c r="E423" s="1283">
        <f t="shared" si="948"/>
        <v>23.8</v>
      </c>
      <c r="F423" s="1283">
        <f t="shared" si="948"/>
        <v>11.3</v>
      </c>
      <c r="G423" s="1283">
        <f t="shared" si="948"/>
        <v>12.899999999999999</v>
      </c>
      <c r="H423" s="1283">
        <f t="shared" si="948"/>
        <v>24.2</v>
      </c>
      <c r="I423" s="1283">
        <f t="shared" si="948"/>
        <v>13.800000000000004</v>
      </c>
      <c r="J423" s="1283">
        <f t="shared" si="948"/>
        <v>14.999999999999993</v>
      </c>
      <c r="K423" s="1284">
        <f t="shared" si="948"/>
        <v>28.799999999999997</v>
      </c>
      <c r="L423" s="1283">
        <f t="shared" si="948"/>
        <v>46.699999999999996</v>
      </c>
      <c r="M423" s="1283">
        <f t="shared" si="948"/>
        <v>47.800000000000004</v>
      </c>
      <c r="N423" s="1283">
        <f t="shared" si="948"/>
        <v>94.5</v>
      </c>
      <c r="O423" s="1283">
        <f t="shared" si="948"/>
        <v>52.8</v>
      </c>
      <c r="P423" s="1283">
        <f t="shared" si="948"/>
        <v>53.100000000000009</v>
      </c>
      <c r="Q423" s="1283">
        <f t="shared" si="948"/>
        <v>105.9</v>
      </c>
      <c r="R423" s="1283">
        <f t="shared" si="948"/>
        <v>50.9</v>
      </c>
      <c r="S423" s="1283">
        <f t="shared" si="948"/>
        <v>58.1</v>
      </c>
      <c r="T423" s="1283">
        <f t="shared" si="948"/>
        <v>109</v>
      </c>
      <c r="U423" s="1283">
        <f t="shared" si="948"/>
        <v>58.8</v>
      </c>
      <c r="V423" s="1283">
        <f t="shared" si="948"/>
        <v>62.2</v>
      </c>
      <c r="W423" s="1283">
        <f t="shared" si="948"/>
        <v>121</v>
      </c>
      <c r="X423" s="1283">
        <f t="shared" si="948"/>
        <v>62</v>
      </c>
      <c r="Y423" s="1283">
        <f t="shared" si="948"/>
        <v>63.900000000000006</v>
      </c>
      <c r="Z423" s="1283">
        <f t="shared" si="948"/>
        <v>125.9</v>
      </c>
      <c r="AA423" s="1283">
        <f t="shared" si="948"/>
        <v>64.599999999999994</v>
      </c>
      <c r="AB423" s="1283">
        <f t="shared" ref="AB423" si="949">-AB368</f>
        <v>67</v>
      </c>
      <c r="AC423" s="1285">
        <f t="shared" si="948"/>
        <v>131.6</v>
      </c>
      <c r="AD423" s="1283">
        <f t="shared" ref="AD423:AE423" si="950">-AD368</f>
        <v>67.667368949999997</v>
      </c>
      <c r="AE423" s="1283">
        <f t="shared" si="950"/>
        <v>70.751872470560755</v>
      </c>
      <c r="AF423" s="1283">
        <f t="shared" si="948"/>
        <v>138.41924142056075</v>
      </c>
      <c r="AG423" s="1283">
        <f t="shared" si="948"/>
        <v>71.84449943267623</v>
      </c>
      <c r="AH423" s="1283">
        <f t="shared" si="948"/>
        <v>74.064361839073797</v>
      </c>
      <c r="AI423" s="1283">
        <f t="shared" si="948"/>
        <v>145.90886127175003</v>
      </c>
      <c r="AJ423" s="1283"/>
      <c r="AK423" s="1283"/>
      <c r="AL423" s="1283">
        <f t="shared" si="948"/>
        <v>151.94032487427569</v>
      </c>
      <c r="AM423" s="1283"/>
      <c r="AN423" s="1283"/>
      <c r="AO423" s="1283">
        <f t="shared" si="948"/>
        <v>158.19929844598448</v>
      </c>
      <c r="AP423" s="1283"/>
      <c r="AQ423" s="1283"/>
      <c r="AR423" s="1283">
        <f t="shared" si="948"/>
        <v>164.69391015664752</v>
      </c>
      <c r="AS423" s="1283"/>
      <c r="AT423" s="1283"/>
      <c r="AU423" s="1283">
        <f t="shared" si="948"/>
        <v>171.43256821338747</v>
      </c>
      <c r="AV423" s="1283"/>
      <c r="AW423" s="1283"/>
      <c r="AX423" s="1283">
        <f t="shared" si="948"/>
        <v>178.60975733439003</v>
      </c>
      <c r="AY423" s="1283"/>
      <c r="AZ423" s="1283"/>
      <c r="BA423" s="1283">
        <f t="shared" si="948"/>
        <v>186.06419520792048</v>
      </c>
      <c r="BB423" s="1283"/>
      <c r="BC423" s="1283"/>
      <c r="BD423" s="1283">
        <f t="shared" si="948"/>
        <v>193.80608479546194</v>
      </c>
      <c r="BE423" s="1283"/>
      <c r="BF423" s="1283"/>
      <c r="BG423" s="1283">
        <f t="shared" ref="BG423:BJ423" si="951">-BG368</f>
        <v>201.84599254674791</v>
      </c>
      <c r="BH423" s="1283"/>
      <c r="BI423" s="1283"/>
      <c r="BJ423" s="1283">
        <f t="shared" si="951"/>
        <v>210.19486105170549</v>
      </c>
    </row>
    <row r="424" spans="2:62" hidden="1">
      <c r="B424" s="812" t="s">
        <v>198</v>
      </c>
      <c r="C424" s="944">
        <f>C423/C350</f>
        <v>2.4668705402650357E-2</v>
      </c>
      <c r="D424" s="944">
        <f>D423/D350</f>
        <v>2.5506867233485938E-2</v>
      </c>
      <c r="E424" s="944">
        <f>E423/E350</f>
        <v>2.5073746312684365E-2</v>
      </c>
      <c r="F424" s="944">
        <f>C424</f>
        <v>2.4668705402650357E-2</v>
      </c>
      <c r="G424" s="944">
        <f>G423/G350</f>
        <v>2.7135044173327721E-2</v>
      </c>
      <c r="H424" s="947">
        <f>E424</f>
        <v>2.5073746312684365E-2</v>
      </c>
      <c r="I424" s="852">
        <f>F424</f>
        <v>2.4668705402650357E-2</v>
      </c>
      <c r="J424" s="944">
        <f>J423/J350</f>
        <v>3.045685279187816E-2</v>
      </c>
      <c r="K424" s="945">
        <f>H424</f>
        <v>2.5073746312684365E-2</v>
      </c>
      <c r="L424" s="852">
        <f>I424</f>
        <v>2.4668705402650357E-2</v>
      </c>
      <c r="M424" s="944">
        <f>M423/M350</f>
        <v>9.6409842678499419E-2</v>
      </c>
      <c r="N424" s="947">
        <f>K424</f>
        <v>2.5073746312684365E-2</v>
      </c>
      <c r="O424" s="947">
        <f>L424</f>
        <v>2.4668705402650357E-2</v>
      </c>
      <c r="P424" s="947">
        <f>P423/P350</f>
        <v>9.2621664050235503E-2</v>
      </c>
      <c r="Q424" s="947">
        <f>N424</f>
        <v>2.5073746312684365E-2</v>
      </c>
      <c r="R424" s="947">
        <f>O424</f>
        <v>2.4668705402650357E-2</v>
      </c>
      <c r="S424" s="947">
        <f>S423/S350</f>
        <v>9.5795548227535054E-2</v>
      </c>
      <c r="T424" s="947">
        <f>Q424</f>
        <v>2.5073746312684365E-2</v>
      </c>
      <c r="U424" s="852">
        <f>R424</f>
        <v>2.4668705402650357E-2</v>
      </c>
      <c r="V424" s="944">
        <f>V423/V350</f>
        <v>9.9139305068536826E-2</v>
      </c>
      <c r="W424" s="947">
        <f>T424</f>
        <v>2.5073746312684365E-2</v>
      </c>
      <c r="X424" s="852">
        <f>U424</f>
        <v>2.4668705402650357E-2</v>
      </c>
      <c r="Y424" s="944">
        <f>Y423/Y350</f>
        <v>0.10328107321803784</v>
      </c>
      <c r="Z424" s="947">
        <f>W424</f>
        <v>2.5073746312684365E-2</v>
      </c>
      <c r="AA424" s="852">
        <f>X424</f>
        <v>2.4668705402650357E-2</v>
      </c>
      <c r="AB424" s="944">
        <f>AB423/AB350</f>
        <v>0.10224324736761789</v>
      </c>
      <c r="AC424" s="1090">
        <f>Z424</f>
        <v>2.5073746312684365E-2</v>
      </c>
      <c r="AD424" s="852">
        <f>AA424</f>
        <v>2.4668705402650357E-2</v>
      </c>
      <c r="AE424" s="944">
        <f>AE423/AE350</f>
        <v>0.10153087699957115</v>
      </c>
      <c r="AF424" s="947">
        <f>AC424</f>
        <v>2.5073746312684365E-2</v>
      </c>
      <c r="AG424" s="852">
        <f>AD424</f>
        <v>2.4668705402650357E-2</v>
      </c>
      <c r="AH424" s="944">
        <f>AH423/AH350</f>
        <v>0.1013866417369331</v>
      </c>
      <c r="AI424" s="947">
        <f>AF424</f>
        <v>2.5073746312684365E-2</v>
      </c>
      <c r="AJ424" s="947"/>
      <c r="AK424" s="947"/>
      <c r="AL424" s="947">
        <f>AI424</f>
        <v>2.5073746312684365E-2</v>
      </c>
      <c r="AM424" s="947"/>
      <c r="AN424" s="947"/>
      <c r="AO424" s="947">
        <f>AL424</f>
        <v>2.5073746312684365E-2</v>
      </c>
      <c r="AP424" s="947"/>
      <c r="AQ424" s="947"/>
      <c r="AR424" s="947">
        <f>AO424</f>
        <v>2.5073746312684365E-2</v>
      </c>
      <c r="AS424" s="947"/>
      <c r="AT424" s="947"/>
      <c r="AU424" s="947">
        <f>AR424</f>
        <v>2.5073746312684365E-2</v>
      </c>
      <c r="AV424" s="947"/>
      <c r="AW424" s="947"/>
      <c r="AX424" s="947">
        <f>AU424</f>
        <v>2.5073746312684365E-2</v>
      </c>
      <c r="AY424" s="947"/>
      <c r="AZ424" s="947"/>
      <c r="BA424" s="947">
        <f>AX424</f>
        <v>2.5073746312684365E-2</v>
      </c>
      <c r="BB424" s="947"/>
      <c r="BC424" s="947"/>
      <c r="BD424" s="947">
        <f>BA424</f>
        <v>2.5073746312684365E-2</v>
      </c>
      <c r="BE424" s="947"/>
      <c r="BF424" s="947"/>
      <c r="BG424" s="947">
        <f>BD424</f>
        <v>2.5073746312684365E-2</v>
      </c>
      <c r="BH424" s="947"/>
      <c r="BI424" s="947"/>
      <c r="BJ424" s="947">
        <f t="shared" ref="BJ424" si="952">BG424</f>
        <v>2.5073746312684365E-2</v>
      </c>
    </row>
    <row r="425" spans="2:62" hidden="1">
      <c r="B425" s="828" t="s">
        <v>66</v>
      </c>
      <c r="C425" s="1283">
        <f>C423+C410</f>
        <v>63</v>
      </c>
      <c r="D425" s="1283">
        <f>E425-C425</f>
        <v>52.099999999999994</v>
      </c>
      <c r="E425" s="1283">
        <f>E423+E410</f>
        <v>115.1</v>
      </c>
      <c r="F425" s="1283">
        <f>F423+F410</f>
        <v>63</v>
      </c>
      <c r="G425" s="1283">
        <f>H425-F425</f>
        <v>52.7</v>
      </c>
      <c r="H425" s="1283">
        <f>H423+H410</f>
        <v>115.7</v>
      </c>
      <c r="I425" s="1223">
        <f>I423+I410</f>
        <v>68.2</v>
      </c>
      <c r="J425" s="1283">
        <f>K425-I425</f>
        <v>56.039959999999994</v>
      </c>
      <c r="K425" s="1284">
        <f>K423+K410</f>
        <v>124.23996</v>
      </c>
      <c r="L425" s="1223">
        <f>L423+L410</f>
        <v>101.52279999999999</v>
      </c>
      <c r="M425" s="1283">
        <f>N425-L425</f>
        <v>90.501740000000012</v>
      </c>
      <c r="N425" s="1283">
        <f>N423+N410</f>
        <v>192.02454</v>
      </c>
      <c r="O425" s="1283">
        <f>O423+O410</f>
        <v>115.7937</v>
      </c>
      <c r="P425" s="1283">
        <f>Q425-O425</f>
        <v>102.50459999999998</v>
      </c>
      <c r="Q425" s="1283">
        <f>Q423+Q410</f>
        <v>218.29829999999998</v>
      </c>
      <c r="R425" s="1283">
        <f>R423+R410</f>
        <v>112.0656</v>
      </c>
      <c r="S425" s="1283">
        <f>T425-R425</f>
        <v>110.75059</v>
      </c>
      <c r="T425" s="1283">
        <f>T423+T410</f>
        <v>222.81619000000001</v>
      </c>
      <c r="U425" s="1223">
        <f>U423+U410</f>
        <v>127.67189999999999</v>
      </c>
      <c r="V425" s="1283">
        <f>W425-U425</f>
        <v>116.27136999999999</v>
      </c>
      <c r="W425" s="1283">
        <f t="shared" ref="W425:AU425" si="953">W423+W410</f>
        <v>243.94326999999998</v>
      </c>
      <c r="X425" s="1223">
        <f>X423+X410</f>
        <v>129.96289999999999</v>
      </c>
      <c r="Y425" s="1283">
        <f>Z425-X425</f>
        <v>117.21834000000001</v>
      </c>
      <c r="Z425" s="1283">
        <f t="shared" si="953"/>
        <v>247.18124</v>
      </c>
      <c r="AA425" s="1223">
        <f>AA423+AA410</f>
        <v>135.95650000000001</v>
      </c>
      <c r="AB425" s="1283">
        <f>AC425-AA425</f>
        <v>123.51652000000001</v>
      </c>
      <c r="AC425" s="1285">
        <f t="shared" si="953"/>
        <v>259.47302000000002</v>
      </c>
      <c r="AD425" s="1223">
        <f>AD423+AD410</f>
        <v>141.95437181902173</v>
      </c>
      <c r="AE425" s="1283">
        <f>AF425-AD425</f>
        <v>130.96400658144933</v>
      </c>
      <c r="AF425" s="1283">
        <f t="shared" si="953"/>
        <v>272.91837840047106</v>
      </c>
      <c r="AG425" s="1223">
        <f>AG423+AG410</f>
        <v>150.71726511420121</v>
      </c>
      <c r="AH425" s="1283">
        <f>AI425-AG425</f>
        <v>137.11510587740719</v>
      </c>
      <c r="AI425" s="1283">
        <f t="shared" si="953"/>
        <v>287.8323709916084</v>
      </c>
      <c r="AJ425" s="1283"/>
      <c r="AK425" s="1283"/>
      <c r="AL425" s="1283">
        <f t="shared" si="953"/>
        <v>299.88380578548947</v>
      </c>
      <c r="AM425" s="1283"/>
      <c r="AN425" s="1283"/>
      <c r="AO425" s="1283">
        <f t="shared" si="953"/>
        <v>312.39700349606426</v>
      </c>
      <c r="AP425" s="1283"/>
      <c r="AQ425" s="1283"/>
      <c r="AR425" s="1283">
        <f t="shared" si="953"/>
        <v>325.38875333533667</v>
      </c>
      <c r="AS425" s="1283"/>
      <c r="AT425" s="1283"/>
      <c r="AU425" s="1283">
        <f t="shared" si="953"/>
        <v>338.87643411073827</v>
      </c>
      <c r="AV425" s="1283"/>
      <c r="AW425" s="1283"/>
      <c r="AX425" s="1283">
        <f t="shared" ref="AX425:BA425" si="954">AX423+AX410</f>
        <v>353.06382149932551</v>
      </c>
      <c r="AY425" s="1283"/>
      <c r="AZ425" s="1283"/>
      <c r="BA425" s="1283">
        <f t="shared" si="954"/>
        <v>367.79925567737314</v>
      </c>
      <c r="BB425" s="1283"/>
      <c r="BC425" s="1283"/>
      <c r="BD425" s="1283">
        <f t="shared" ref="BD425:BG425" si="955">BD423+BD410</f>
        <v>383.10290517668824</v>
      </c>
      <c r="BE425" s="1283"/>
      <c r="BF425" s="1283"/>
      <c r="BG425" s="1283">
        <f t="shared" si="955"/>
        <v>398.99565704833822</v>
      </c>
      <c r="BH425" s="1283"/>
      <c r="BI425" s="1283"/>
      <c r="BJ425" s="1283">
        <f t="shared" ref="BJ425" si="956">BJ423+BJ410</f>
        <v>415.49914187216609</v>
      </c>
    </row>
    <row r="426" spans="2:62" hidden="1">
      <c r="B426" s="812" t="s">
        <v>59</v>
      </c>
      <c r="C426" s="944">
        <f t="shared" ref="C426:BD426" si="957">C425/C350</f>
        <v>0.12844036697247707</v>
      </c>
      <c r="D426" s="944">
        <f t="shared" si="957"/>
        <v>0.11358186178330061</v>
      </c>
      <c r="E426" s="944">
        <f t="shared" si="957"/>
        <v>0.12126000842815</v>
      </c>
      <c r="F426" s="944">
        <f t="shared" si="957"/>
        <v>0.12504962286621674</v>
      </c>
      <c r="G426" s="944">
        <f t="shared" si="957"/>
        <v>0.11085401766933109</v>
      </c>
      <c r="H426" s="944">
        <f t="shared" si="957"/>
        <v>0.11815767973856209</v>
      </c>
      <c r="I426" s="852">
        <f t="shared" si="957"/>
        <v>0.13017751479289941</v>
      </c>
      <c r="J426" s="944">
        <f t="shared" si="957"/>
        <v>0.11378672081218273</v>
      </c>
      <c r="K426" s="1089">
        <f t="shared" si="957"/>
        <v>0.12223530106257378</v>
      </c>
      <c r="L426" s="852">
        <f t="shared" si="957"/>
        <v>0.18703537214443625</v>
      </c>
      <c r="M426" s="944">
        <f t="shared" si="957"/>
        <v>0.18253678902783385</v>
      </c>
      <c r="N426" s="944">
        <f t="shared" si="957"/>
        <v>0.18488786828422879</v>
      </c>
      <c r="O426" s="944">
        <f t="shared" si="957"/>
        <v>0.18565608465608466</v>
      </c>
      <c r="P426" s="944">
        <f t="shared" si="957"/>
        <v>0.17879748822605965</v>
      </c>
      <c r="Q426" s="944">
        <f t="shared" si="957"/>
        <v>0.18237117794486213</v>
      </c>
      <c r="R426" s="944">
        <f t="shared" si="957"/>
        <v>0.18504887714663143</v>
      </c>
      <c r="S426" s="944">
        <f t="shared" si="957"/>
        <v>0.18260608408903548</v>
      </c>
      <c r="T426" s="944">
        <f t="shared" si="957"/>
        <v>0.18382657371504002</v>
      </c>
      <c r="U426" s="852">
        <f t="shared" si="957"/>
        <v>0.187229652441707</v>
      </c>
      <c r="V426" s="944">
        <f t="shared" si="957"/>
        <v>0.18532255339496334</v>
      </c>
      <c r="W426" s="944">
        <f t="shared" si="957"/>
        <v>0.18631579469945772</v>
      </c>
      <c r="X426" s="852">
        <f t="shared" si="957"/>
        <v>0.19313850497845148</v>
      </c>
      <c r="Y426" s="944">
        <f t="shared" si="957"/>
        <v>0.18945909164376923</v>
      </c>
      <c r="Z426" s="944">
        <f t="shared" si="957"/>
        <v>0.19137599876122641</v>
      </c>
      <c r="AA426" s="852">
        <f t="shared" si="957"/>
        <v>0.19243665958952583</v>
      </c>
      <c r="AB426" s="944">
        <f t="shared" ref="AB426" si="958">AB425/AB350</f>
        <v>0.1884885090798108</v>
      </c>
      <c r="AC426" s="989">
        <f t="shared" si="957"/>
        <v>0.19053680422969602</v>
      </c>
      <c r="AD426" s="852">
        <f t="shared" ref="AD426:AE426" si="959">AD425/AD350</f>
        <v>0.193</v>
      </c>
      <c r="AE426" s="944">
        <f t="shared" si="959"/>
        <v>0.18793694045517848</v>
      </c>
      <c r="AF426" s="944">
        <f t="shared" si="957"/>
        <v>0.19053680422969602</v>
      </c>
      <c r="AG426" s="852">
        <f t="shared" si="957"/>
        <v>0.193</v>
      </c>
      <c r="AH426" s="944">
        <f t="shared" si="957"/>
        <v>0.18769675146218984</v>
      </c>
      <c r="AI426" s="944">
        <f t="shared" si="957"/>
        <v>0.19043680422969597</v>
      </c>
      <c r="AJ426" s="944"/>
      <c r="AK426" s="944"/>
      <c r="AL426" s="944">
        <f t="shared" si="957"/>
        <v>0.19033680422969598</v>
      </c>
      <c r="AM426" s="944"/>
      <c r="AN426" s="944"/>
      <c r="AO426" s="944">
        <f t="shared" si="957"/>
        <v>0.19023680422969597</v>
      </c>
      <c r="AP426" s="944"/>
      <c r="AQ426" s="944"/>
      <c r="AR426" s="944">
        <f t="shared" si="957"/>
        <v>0.190136804229696</v>
      </c>
      <c r="AS426" s="944"/>
      <c r="AT426" s="944"/>
      <c r="AU426" s="944">
        <f t="shared" si="957"/>
        <v>0.19003680422969596</v>
      </c>
      <c r="AV426" s="944"/>
      <c r="AW426" s="944"/>
      <c r="AX426" s="944">
        <f t="shared" si="957"/>
        <v>0.19003680422969596</v>
      </c>
      <c r="AY426" s="944"/>
      <c r="AZ426" s="944"/>
      <c r="BA426" s="944">
        <f t="shared" si="957"/>
        <v>0.19003680422969596</v>
      </c>
      <c r="BB426" s="944"/>
      <c r="BC426" s="944"/>
      <c r="BD426" s="944">
        <f t="shared" si="957"/>
        <v>0.19003680422969599</v>
      </c>
      <c r="BE426" s="944"/>
      <c r="BF426" s="944"/>
      <c r="BG426" s="944">
        <f t="shared" ref="BG426:BJ426" si="960">BG425/BG350</f>
        <v>0.19003680422969599</v>
      </c>
      <c r="BH426" s="944"/>
      <c r="BI426" s="944"/>
      <c r="BJ426" s="944">
        <f t="shared" si="960"/>
        <v>0.19003680422969599</v>
      </c>
    </row>
    <row r="427" spans="2:62" hidden="1" outlineLevel="1">
      <c r="C427" s="944"/>
      <c r="D427" s="944"/>
      <c r="E427" s="1293"/>
      <c r="F427" s="944"/>
      <c r="G427" s="944"/>
      <c r="I427" s="852"/>
      <c r="J427" s="944"/>
      <c r="L427" s="852"/>
      <c r="M427" s="944"/>
      <c r="U427" s="852"/>
      <c r="V427" s="944"/>
      <c r="X427" s="852"/>
      <c r="Y427" s="944"/>
      <c r="AA427" s="852"/>
      <c r="AB427" s="944"/>
      <c r="AD427" s="852"/>
      <c r="AE427" s="944"/>
      <c r="AG427" s="852"/>
      <c r="AH427" s="944"/>
    </row>
    <row r="428" spans="2:62" hidden="1" outlineLevel="1">
      <c r="B428" s="828" t="s">
        <v>75</v>
      </c>
      <c r="C428" s="834"/>
      <c r="D428" s="834"/>
      <c r="E428" s="1294"/>
      <c r="F428" s="834"/>
      <c r="G428" s="834"/>
      <c r="I428" s="834"/>
      <c r="J428" s="834"/>
      <c r="L428" s="834"/>
      <c r="M428" s="834"/>
      <c r="U428" s="834"/>
      <c r="V428" s="834"/>
      <c r="X428" s="834"/>
      <c r="Y428" s="834"/>
      <c r="AA428" s="834"/>
      <c r="AB428" s="834"/>
      <c r="AD428" s="834"/>
      <c r="AE428" s="834"/>
      <c r="AG428" s="834"/>
      <c r="AH428" s="834"/>
    </row>
    <row r="429" spans="2:62" hidden="1" outlineLevel="1">
      <c r="B429" s="812" t="s">
        <v>62</v>
      </c>
      <c r="C429" s="834"/>
      <c r="D429" s="834"/>
      <c r="F429" s="834"/>
      <c r="G429" s="834"/>
      <c r="I429" s="834"/>
      <c r="J429" s="834"/>
      <c r="L429" s="834"/>
      <c r="M429" s="834"/>
      <c r="U429" s="834"/>
      <c r="V429" s="834"/>
      <c r="X429" s="834"/>
      <c r="Y429" s="834"/>
      <c r="AA429" s="834"/>
      <c r="AB429" s="834"/>
      <c r="AD429" s="834"/>
      <c r="AE429" s="834"/>
      <c r="AG429" s="834"/>
      <c r="AH429" s="834"/>
    </row>
    <row r="430" spans="2:62" hidden="1" outlineLevel="1">
      <c r="B430" s="812" t="s">
        <v>79</v>
      </c>
      <c r="C430" s="834"/>
      <c r="D430" s="834"/>
      <c r="F430" s="834"/>
      <c r="G430" s="834"/>
      <c r="I430" s="834"/>
      <c r="J430" s="834"/>
      <c r="L430" s="834"/>
      <c r="M430" s="834"/>
      <c r="U430" s="834"/>
      <c r="V430" s="834"/>
      <c r="X430" s="834"/>
      <c r="Y430" s="834"/>
      <c r="AA430" s="834"/>
      <c r="AB430" s="834"/>
      <c r="AD430" s="834"/>
      <c r="AE430" s="834"/>
      <c r="AG430" s="834"/>
      <c r="AH430" s="834"/>
    </row>
    <row r="431" spans="2:62" hidden="1" outlineLevel="1">
      <c r="B431" s="812" t="s">
        <v>170</v>
      </c>
      <c r="C431" s="834"/>
      <c r="D431" s="834"/>
      <c r="F431" s="834"/>
      <c r="G431" s="834"/>
      <c r="I431" s="834"/>
      <c r="J431" s="834"/>
      <c r="L431" s="834"/>
      <c r="M431" s="834"/>
      <c r="U431" s="834"/>
      <c r="V431" s="834"/>
      <c r="X431" s="834"/>
      <c r="Y431" s="834"/>
      <c r="AA431" s="834"/>
      <c r="AB431" s="834"/>
      <c r="AD431" s="834"/>
      <c r="AE431" s="834"/>
      <c r="AG431" s="834"/>
      <c r="AH431" s="834"/>
    </row>
    <row r="432" spans="2:62" hidden="1" outlineLevel="1">
      <c r="B432" s="812" t="s">
        <v>154</v>
      </c>
      <c r="C432" s="834"/>
      <c r="D432" s="834"/>
      <c r="F432" s="834"/>
      <c r="G432" s="834"/>
      <c r="I432" s="834"/>
      <c r="J432" s="834"/>
      <c r="L432" s="834"/>
      <c r="M432" s="834"/>
      <c r="U432" s="834"/>
      <c r="V432" s="834"/>
      <c r="X432" s="834"/>
      <c r="Y432" s="834"/>
      <c r="AA432" s="834"/>
      <c r="AB432" s="834"/>
      <c r="AD432" s="834"/>
      <c r="AE432" s="834"/>
      <c r="AG432" s="834"/>
      <c r="AH432" s="834"/>
    </row>
    <row r="433" spans="2:62" hidden="1" outlineLevel="1">
      <c r="B433" s="828" t="s">
        <v>144</v>
      </c>
      <c r="C433" s="834"/>
      <c r="D433" s="834"/>
      <c r="F433" s="834"/>
      <c r="G433" s="834"/>
      <c r="I433" s="834"/>
      <c r="J433" s="834"/>
      <c r="L433" s="834"/>
      <c r="M433" s="834"/>
      <c r="U433" s="834"/>
      <c r="V433" s="834"/>
      <c r="X433" s="834"/>
      <c r="Y433" s="834"/>
      <c r="AA433" s="834"/>
      <c r="AB433" s="834"/>
      <c r="AD433" s="834"/>
      <c r="AE433" s="834"/>
      <c r="AG433" s="834"/>
      <c r="AH433" s="834"/>
    </row>
    <row r="434" spans="2:62" hidden="1" collapsed="1">
      <c r="C434" s="834"/>
      <c r="D434" s="834"/>
      <c r="F434" s="834"/>
      <c r="G434" s="834"/>
      <c r="I434" s="834"/>
      <c r="J434" s="834"/>
      <c r="L434" s="834"/>
      <c r="M434" s="834"/>
      <c r="U434" s="834"/>
      <c r="V434" s="834"/>
      <c r="X434" s="834"/>
      <c r="Y434" s="834"/>
      <c r="AA434" s="834"/>
      <c r="AB434" s="834"/>
      <c r="AD434" s="834"/>
      <c r="AE434" s="834"/>
      <c r="AG434" s="834"/>
      <c r="AH434" s="834"/>
    </row>
    <row r="435" spans="2:62" hidden="1">
      <c r="B435" s="828"/>
      <c r="C435" s="834"/>
      <c r="D435" s="834"/>
      <c r="F435" s="834"/>
      <c r="G435" s="834"/>
      <c r="I435" s="834"/>
      <c r="J435" s="834"/>
      <c r="L435" s="834"/>
      <c r="M435" s="834"/>
      <c r="U435" s="834"/>
      <c r="V435" s="834"/>
      <c r="X435" s="834"/>
      <c r="Y435" s="834"/>
      <c r="AA435" s="834"/>
      <c r="AB435" s="834"/>
      <c r="AD435" s="834"/>
      <c r="AE435" s="834"/>
      <c r="AG435" s="834"/>
      <c r="AH435" s="834"/>
    </row>
    <row r="436" spans="2:62">
      <c r="B436" s="1295" t="s">
        <v>906</v>
      </c>
      <c r="C436" s="1296"/>
      <c r="D436" s="1296"/>
      <c r="E436" s="1296"/>
      <c r="F436" s="1296"/>
      <c r="G436" s="1296"/>
      <c r="H436" s="1296"/>
      <c r="I436" s="1296"/>
      <c r="J436" s="1296"/>
      <c r="K436" s="1297"/>
      <c r="L436" s="1298"/>
      <c r="M436" s="1298"/>
      <c r="N436" s="1298"/>
      <c r="O436" s="1298"/>
      <c r="P436" s="1298"/>
      <c r="Q436" s="1298"/>
      <c r="R436" s="1298"/>
      <c r="S436" s="1298"/>
      <c r="T436" s="1298"/>
      <c r="U436" s="1298"/>
      <c r="V436" s="1298"/>
      <c r="W436" s="1298"/>
      <c r="X436" s="1298"/>
      <c r="Y436" s="1298"/>
      <c r="Z436" s="1296"/>
      <c r="AA436" s="1298"/>
      <c r="AB436" s="1298"/>
      <c r="AC436" s="1371"/>
      <c r="AD436" s="1298"/>
      <c r="AE436" s="1298"/>
      <c r="AF436" s="1296"/>
      <c r="AG436" s="1298"/>
      <c r="AH436" s="1298"/>
      <c r="AI436" s="1296"/>
      <c r="AJ436" s="1296"/>
      <c r="AK436" s="1296"/>
      <c r="AL436" s="1296"/>
      <c r="AM436" s="1296"/>
      <c r="AN436" s="1296"/>
      <c r="AO436" s="1296"/>
      <c r="AP436" s="1296"/>
      <c r="AQ436" s="1296"/>
      <c r="AR436" s="1296"/>
      <c r="AS436" s="1296"/>
      <c r="AT436" s="1296"/>
      <c r="AU436" s="1296"/>
      <c r="AV436" s="1296"/>
      <c r="AW436" s="1296"/>
      <c r="AX436" s="1296"/>
      <c r="AY436" s="1296"/>
      <c r="AZ436" s="1296"/>
      <c r="BA436" s="1296"/>
      <c r="BB436" s="1296"/>
      <c r="BC436" s="1296"/>
      <c r="BD436" s="1296"/>
      <c r="BE436" s="1296"/>
      <c r="BF436" s="1296"/>
      <c r="BG436" s="1296"/>
      <c r="BH436" s="1296"/>
      <c r="BI436" s="1296"/>
      <c r="BJ436" s="1296"/>
    </row>
    <row r="437" spans="2:62">
      <c r="B437" s="1299" t="s">
        <v>65</v>
      </c>
      <c r="C437" s="840">
        <v>4.8</v>
      </c>
      <c r="D437" s="831">
        <f t="shared" ref="D437:D442" si="961">E437-C437</f>
        <v>2.4000000000000004</v>
      </c>
      <c r="E437" s="840">
        <v>7.2</v>
      </c>
      <c r="F437" s="840">
        <v>4.0999999999999996</v>
      </c>
      <c r="G437" s="831">
        <f t="shared" ref="G437:G442" si="962">H437-F437</f>
        <v>0.90000000000000036</v>
      </c>
      <c r="H437" s="840">
        <f>5.7-0.7</f>
        <v>5</v>
      </c>
      <c r="I437" s="840">
        <v>0</v>
      </c>
      <c r="J437" s="834">
        <f t="shared" ref="J437:J442" si="963">K437-I437</f>
        <v>2.8</v>
      </c>
      <c r="K437" s="1003">
        <f t="shared" ref="K437:R437" si="964">K11</f>
        <v>2.8</v>
      </c>
      <c r="L437" s="840">
        <f t="shared" si="964"/>
        <v>0.1</v>
      </c>
      <c r="M437" s="834">
        <f t="shared" si="964"/>
        <v>0.1</v>
      </c>
      <c r="N437" s="834">
        <f t="shared" si="964"/>
        <v>0.2</v>
      </c>
      <c r="O437" s="834">
        <f t="shared" si="964"/>
        <v>0.4</v>
      </c>
      <c r="P437" s="834">
        <f t="shared" si="964"/>
        <v>-4.2</v>
      </c>
      <c r="Q437" s="834">
        <f t="shared" si="964"/>
        <v>-3.8</v>
      </c>
      <c r="R437" s="834">
        <f t="shared" si="964"/>
        <v>-0.6</v>
      </c>
      <c r="S437" s="834">
        <f>T437-R437</f>
        <v>-6.8000000000000007</v>
      </c>
      <c r="T437" s="834">
        <v>-7.4</v>
      </c>
      <c r="U437" s="834"/>
      <c r="V437" s="834"/>
      <c r="W437" s="834"/>
      <c r="X437" s="834"/>
      <c r="Y437" s="834"/>
      <c r="Z437" s="834"/>
      <c r="AA437" s="834"/>
      <c r="AB437" s="834"/>
      <c r="AC437" s="836"/>
      <c r="AD437" s="834"/>
      <c r="AE437" s="834"/>
      <c r="AF437" s="834"/>
      <c r="AG437" s="834"/>
      <c r="AH437" s="834"/>
      <c r="AI437" s="834"/>
      <c r="AJ437" s="834"/>
      <c r="AK437" s="834"/>
      <c r="AL437" s="834"/>
      <c r="AM437" s="834"/>
      <c r="AN437" s="834"/>
      <c r="AO437" s="834"/>
      <c r="AP437" s="834"/>
      <c r="AQ437" s="834"/>
      <c r="AR437" s="834"/>
      <c r="AS437" s="834"/>
      <c r="AT437" s="834"/>
      <c r="AU437" s="834"/>
      <c r="AV437" s="834"/>
      <c r="AW437" s="834"/>
      <c r="AX437" s="834"/>
      <c r="AY437" s="834"/>
      <c r="AZ437" s="834"/>
      <c r="BA437" s="834"/>
      <c r="BB437" s="834"/>
      <c r="BC437" s="834"/>
      <c r="BD437" s="834"/>
      <c r="BE437" s="834"/>
      <c r="BF437" s="834"/>
      <c r="BG437" s="834"/>
      <c r="BH437" s="834"/>
      <c r="BI437" s="834"/>
      <c r="BJ437" s="834"/>
    </row>
    <row r="438" spans="2:62">
      <c r="B438" s="828" t="s">
        <v>70</v>
      </c>
      <c r="C438" s="840">
        <v>-9.9</v>
      </c>
      <c r="D438" s="831">
        <f t="shared" si="961"/>
        <v>-10.499999999999998</v>
      </c>
      <c r="E438" s="840">
        <v>-20.399999999999999</v>
      </c>
      <c r="F438" s="840">
        <v>-10.199999999999999</v>
      </c>
      <c r="G438" s="831">
        <f t="shared" si="962"/>
        <v>-7.6999999999999993</v>
      </c>
      <c r="H438" s="840">
        <v>-17.899999999999999</v>
      </c>
      <c r="I438" s="840">
        <v>-9.9</v>
      </c>
      <c r="J438" s="834">
        <f t="shared" si="963"/>
        <v>-10.200000000000001</v>
      </c>
      <c r="K438" s="1003">
        <v>-20.100000000000001</v>
      </c>
      <c r="L438" s="840">
        <v>-10</v>
      </c>
      <c r="M438" s="834">
        <f t="shared" ref="M438:M442" si="965">N438-L438</f>
        <v>-8.3000000000000007</v>
      </c>
      <c r="N438" s="840">
        <v>-18.3</v>
      </c>
      <c r="O438" s="840">
        <v>-13.2</v>
      </c>
      <c r="P438" s="840">
        <f t="shared" ref="P438:P443" si="966">Q438-O438</f>
        <v>-17.5</v>
      </c>
      <c r="Q438" s="840">
        <v>-30.7</v>
      </c>
      <c r="R438" s="840">
        <v>-9.6999999999999993</v>
      </c>
      <c r="S438" s="840">
        <f>T438-R438</f>
        <v>-28.8</v>
      </c>
      <c r="T438" s="840">
        <f>T37</f>
        <v>-38.5</v>
      </c>
      <c r="U438" s="840">
        <f>U37</f>
        <v>-18.599999999999994</v>
      </c>
      <c r="V438" s="840">
        <f>V37</f>
        <v>-20.200000000000017</v>
      </c>
      <c r="W438" s="840">
        <f>W37</f>
        <v>-38.799999999999955</v>
      </c>
      <c r="X438" s="840">
        <v>-9.5</v>
      </c>
      <c r="Y438" s="834">
        <v>-14.8</v>
      </c>
      <c r="Z438" s="840">
        <f>Z37</f>
        <v>-39.800000000000011</v>
      </c>
      <c r="AA438" s="840">
        <f>-18.3-2+3.1</f>
        <v>-17.2</v>
      </c>
      <c r="AB438" s="834">
        <v>-14.8</v>
      </c>
      <c r="AC438" s="840">
        <f>AC37</f>
        <v>-35.400000000000091</v>
      </c>
      <c r="AD438" s="991">
        <f>AF438/2</f>
        <v>-30</v>
      </c>
      <c r="AE438" s="991">
        <f>AF438-AD438</f>
        <v>-30</v>
      </c>
      <c r="AF438" s="843">
        <f>SUM(AF439:AF441)</f>
        <v>-60</v>
      </c>
      <c r="AG438" s="991">
        <f>AI438/2</f>
        <v>-17.775000000000002</v>
      </c>
      <c r="AH438" s="991">
        <f>AI438-AG438</f>
        <v>-17.775000000000002</v>
      </c>
      <c r="AI438" s="843">
        <f>SUM(AI439:AI441)</f>
        <v>-35.550000000000004</v>
      </c>
      <c r="AJ438" s="843"/>
      <c r="AK438" s="843"/>
      <c r="AL438" s="843">
        <f t="shared" ref="AL438:AX438" si="967">SUM(AL439:AL441)</f>
        <v>-34.177500000000009</v>
      </c>
      <c r="AM438" s="843"/>
      <c r="AN438" s="843"/>
      <c r="AO438" s="843">
        <f t="shared" si="967"/>
        <v>-35.886375000000008</v>
      </c>
      <c r="AP438" s="843"/>
      <c r="AQ438" s="843"/>
      <c r="AR438" s="843">
        <f t="shared" si="967"/>
        <v>-37.68069375000001</v>
      </c>
      <c r="AS438" s="843"/>
      <c r="AT438" s="843"/>
      <c r="AU438" s="843">
        <f t="shared" si="967"/>
        <v>-39.564728437500015</v>
      </c>
      <c r="AV438" s="843"/>
      <c r="AW438" s="843"/>
      <c r="AX438" s="843">
        <f t="shared" si="967"/>
        <v>-41.542964859375019</v>
      </c>
      <c r="AY438" s="843"/>
      <c r="AZ438" s="843"/>
      <c r="BA438" s="843">
        <f t="shared" ref="BA438:BD438" si="968">SUM(BA439:BA441)</f>
        <v>-43.620113102343772</v>
      </c>
      <c r="BB438" s="843"/>
      <c r="BC438" s="843"/>
      <c r="BD438" s="843">
        <f t="shared" si="968"/>
        <v>-45.801118757460962</v>
      </c>
      <c r="BE438" s="843"/>
      <c r="BF438" s="843"/>
      <c r="BG438" s="843">
        <f t="shared" ref="BG438:BJ438" si="969">SUM(BG439:BG441)</f>
        <v>-48.091174695334011</v>
      </c>
      <c r="BH438" s="843"/>
      <c r="BI438" s="843"/>
      <c r="BJ438" s="843">
        <f t="shared" si="969"/>
        <v>-50.495733430100714</v>
      </c>
    </row>
    <row r="439" spans="2:62">
      <c r="B439" s="812" t="s">
        <v>287</v>
      </c>
      <c r="C439" s="840">
        <f>F439+0.7</f>
        <v>-4.8</v>
      </c>
      <c r="D439" s="834">
        <f t="shared" si="961"/>
        <v>-5.8</v>
      </c>
      <c r="E439" s="840">
        <f>H439-0.2</f>
        <v>-10.6</v>
      </c>
      <c r="F439" s="840">
        <v>-5.5</v>
      </c>
      <c r="G439" s="834">
        <f t="shared" si="962"/>
        <v>-4.9000000000000004</v>
      </c>
      <c r="H439" s="840">
        <v>-10.4</v>
      </c>
      <c r="I439" s="840">
        <v>-5.8</v>
      </c>
      <c r="J439" s="834">
        <f t="shared" si="963"/>
        <v>-6.3999999999999995</v>
      </c>
      <c r="K439" s="1003">
        <v>-12.2</v>
      </c>
      <c r="L439" s="840">
        <v>-5.4</v>
      </c>
      <c r="M439" s="834">
        <f t="shared" si="965"/>
        <v>-6.6999999999999993</v>
      </c>
      <c r="N439" s="840">
        <v>-12.1</v>
      </c>
      <c r="O439" s="840">
        <v>-11.4</v>
      </c>
      <c r="P439" s="840">
        <f t="shared" si="966"/>
        <v>-13.9</v>
      </c>
      <c r="Q439" s="840">
        <v>-25.3</v>
      </c>
      <c r="R439" s="840"/>
      <c r="S439" s="840"/>
      <c r="T439" s="840">
        <v>-25.4</v>
      </c>
      <c r="U439" s="840">
        <v>-10.4</v>
      </c>
      <c r="V439" s="834"/>
      <c r="W439" s="840">
        <v>-22</v>
      </c>
      <c r="X439" s="840"/>
      <c r="Y439" s="834"/>
      <c r="Z439" s="840">
        <f>-38.9</f>
        <v>-38.9</v>
      </c>
      <c r="AA439" s="840"/>
      <c r="AB439" s="834"/>
      <c r="AC439" s="841">
        <v>-26.9</v>
      </c>
      <c r="AD439" s="991"/>
      <c r="AE439" s="991"/>
      <c r="AF439" s="843">
        <v>-31</v>
      </c>
      <c r="AG439" s="991"/>
      <c r="AH439" s="991"/>
      <c r="AI439" s="843">
        <f>AF439*1.05</f>
        <v>-32.550000000000004</v>
      </c>
      <c r="AJ439" s="843">
        <f t="shared" ref="AJ439:BJ439" si="970">AG439*1.05</f>
        <v>0</v>
      </c>
      <c r="AK439" s="843">
        <f t="shared" si="970"/>
        <v>0</v>
      </c>
      <c r="AL439" s="843">
        <f t="shared" si="970"/>
        <v>-34.177500000000009</v>
      </c>
      <c r="AM439" s="843">
        <f t="shared" si="970"/>
        <v>0</v>
      </c>
      <c r="AN439" s="843">
        <f t="shared" si="970"/>
        <v>0</v>
      </c>
      <c r="AO439" s="843">
        <f t="shared" si="970"/>
        <v>-35.886375000000008</v>
      </c>
      <c r="AP439" s="843">
        <f t="shared" si="970"/>
        <v>0</v>
      </c>
      <c r="AQ439" s="843">
        <f t="shared" si="970"/>
        <v>0</v>
      </c>
      <c r="AR439" s="843">
        <f t="shared" si="970"/>
        <v>-37.68069375000001</v>
      </c>
      <c r="AS439" s="843">
        <f t="shared" si="970"/>
        <v>0</v>
      </c>
      <c r="AT439" s="843">
        <f t="shared" si="970"/>
        <v>0</v>
      </c>
      <c r="AU439" s="843">
        <f t="shared" si="970"/>
        <v>-39.564728437500015</v>
      </c>
      <c r="AV439" s="843">
        <f t="shared" si="970"/>
        <v>0</v>
      </c>
      <c r="AW439" s="843">
        <f t="shared" si="970"/>
        <v>0</v>
      </c>
      <c r="AX439" s="843">
        <f t="shared" si="970"/>
        <v>-41.542964859375019</v>
      </c>
      <c r="AY439" s="843">
        <f t="shared" si="970"/>
        <v>0</v>
      </c>
      <c r="AZ439" s="843">
        <f t="shared" si="970"/>
        <v>0</v>
      </c>
      <c r="BA439" s="843">
        <f t="shared" si="970"/>
        <v>-43.620113102343772</v>
      </c>
      <c r="BB439" s="843">
        <f t="shared" si="970"/>
        <v>0</v>
      </c>
      <c r="BC439" s="843">
        <f t="shared" si="970"/>
        <v>0</v>
      </c>
      <c r="BD439" s="843">
        <f t="shared" si="970"/>
        <v>-45.801118757460962</v>
      </c>
      <c r="BE439" s="843">
        <f t="shared" si="970"/>
        <v>0</v>
      </c>
      <c r="BF439" s="843">
        <f t="shared" si="970"/>
        <v>0</v>
      </c>
      <c r="BG439" s="843">
        <f t="shared" si="970"/>
        <v>-48.091174695334011</v>
      </c>
      <c r="BH439" s="843">
        <f t="shared" si="970"/>
        <v>0</v>
      </c>
      <c r="BI439" s="843">
        <f t="shared" si="970"/>
        <v>0</v>
      </c>
      <c r="BJ439" s="843">
        <f t="shared" si="970"/>
        <v>-50.495733430100714</v>
      </c>
    </row>
    <row r="440" spans="2:62">
      <c r="B440" s="812" t="s">
        <v>288</v>
      </c>
      <c r="C440" s="840">
        <f>F440-0.4</f>
        <v>-2.1</v>
      </c>
      <c r="D440" s="834">
        <f t="shared" si="961"/>
        <v>-1.9999999999999996</v>
      </c>
      <c r="E440" s="840">
        <f>H440-1</f>
        <v>-4.0999999999999996</v>
      </c>
      <c r="F440" s="840">
        <v>-1.7</v>
      </c>
      <c r="G440" s="834">
        <f t="shared" si="962"/>
        <v>-1.4000000000000001</v>
      </c>
      <c r="H440" s="840">
        <v>-3.1</v>
      </c>
      <c r="I440" s="840">
        <v>-1.8</v>
      </c>
      <c r="J440" s="834">
        <f t="shared" si="963"/>
        <v>-1.4999999999999998</v>
      </c>
      <c r="K440" s="1003">
        <v>-3.3</v>
      </c>
      <c r="L440" s="840">
        <v>-1.9</v>
      </c>
      <c r="M440" s="834">
        <f t="shared" si="965"/>
        <v>-1.5</v>
      </c>
      <c r="N440" s="840">
        <v>-3.4</v>
      </c>
      <c r="O440" s="840">
        <v>0</v>
      </c>
      <c r="P440" s="840">
        <f t="shared" si="966"/>
        <v>0</v>
      </c>
      <c r="Q440" s="840"/>
      <c r="R440" s="840"/>
      <c r="S440" s="840"/>
      <c r="T440" s="840"/>
      <c r="U440" s="834"/>
      <c r="V440" s="834"/>
      <c r="W440" s="840"/>
      <c r="X440" s="834"/>
      <c r="Y440" s="834"/>
      <c r="Z440" s="834"/>
      <c r="AA440" s="834"/>
      <c r="AB440" s="834"/>
      <c r="AC440" s="836">
        <v>-10</v>
      </c>
      <c r="AD440" s="834"/>
      <c r="AE440" s="834"/>
      <c r="AF440" s="834">
        <v>-12</v>
      </c>
      <c r="AG440" s="834"/>
      <c r="AH440" s="834"/>
      <c r="AI440" s="834"/>
      <c r="AJ440" s="834"/>
      <c r="AK440" s="834"/>
      <c r="AL440" s="834"/>
      <c r="AM440" s="834"/>
      <c r="AN440" s="834"/>
      <c r="AO440" s="834"/>
      <c r="AP440" s="834"/>
      <c r="AQ440" s="834"/>
      <c r="AR440" s="834"/>
      <c r="AS440" s="834"/>
      <c r="AT440" s="834"/>
      <c r="AU440" s="834"/>
      <c r="AV440" s="834"/>
      <c r="AW440" s="834"/>
      <c r="AX440" s="834"/>
      <c r="AY440" s="834"/>
      <c r="AZ440" s="834"/>
      <c r="BA440" s="834"/>
      <c r="BB440" s="834"/>
      <c r="BC440" s="834"/>
      <c r="BD440" s="834"/>
      <c r="BE440" s="834"/>
      <c r="BF440" s="834"/>
      <c r="BG440" s="834"/>
      <c r="BH440" s="834"/>
      <c r="BI440" s="834"/>
      <c r="BJ440" s="834"/>
    </row>
    <row r="441" spans="2:62">
      <c r="B441" s="812" t="s">
        <v>289</v>
      </c>
      <c r="C441" s="840">
        <f>F441-0.8</f>
        <v>-1.8</v>
      </c>
      <c r="D441" s="834">
        <f t="shared" si="961"/>
        <v>-3</v>
      </c>
      <c r="E441" s="840">
        <f>H441-4.5</f>
        <v>-4.8</v>
      </c>
      <c r="F441" s="840">
        <v>-1</v>
      </c>
      <c r="G441" s="834">
        <f t="shared" si="962"/>
        <v>0.7</v>
      </c>
      <c r="H441" s="840">
        <v>-0.3</v>
      </c>
      <c r="I441" s="840">
        <v>-0.5</v>
      </c>
      <c r="J441" s="834">
        <f t="shared" si="963"/>
        <v>-1</v>
      </c>
      <c r="K441" s="1003">
        <v>-1.5</v>
      </c>
      <c r="L441" s="991">
        <v>-0.5</v>
      </c>
      <c r="M441" s="834">
        <f t="shared" si="965"/>
        <v>0</v>
      </c>
      <c r="N441" s="991">
        <v>-0.5</v>
      </c>
      <c r="O441" s="991">
        <v>-0.5</v>
      </c>
      <c r="P441" s="991">
        <f t="shared" si="966"/>
        <v>0.5</v>
      </c>
      <c r="Q441" s="991"/>
      <c r="R441" s="991"/>
      <c r="S441" s="991"/>
      <c r="T441" s="991">
        <v>-7.2</v>
      </c>
      <c r="U441" s="840">
        <v>-10</v>
      </c>
      <c r="V441" s="834"/>
      <c r="W441" s="840">
        <v>-18.100000000000001</v>
      </c>
      <c r="X441" s="840"/>
      <c r="Y441" s="834"/>
      <c r="Z441" s="834"/>
      <c r="AA441" s="840"/>
      <c r="AB441" s="834"/>
      <c r="AC441" s="836"/>
      <c r="AD441" s="834"/>
      <c r="AE441" s="834"/>
      <c r="AF441" s="834">
        <v>-17</v>
      </c>
      <c r="AG441" s="834"/>
      <c r="AH441" s="834"/>
      <c r="AI441" s="834">
        <v>-3</v>
      </c>
      <c r="AJ441" s="834"/>
      <c r="AK441" s="834"/>
      <c r="AL441" s="834"/>
      <c r="AM441" s="834"/>
      <c r="AN441" s="834"/>
      <c r="AO441" s="834"/>
      <c r="AP441" s="834"/>
      <c r="AQ441" s="834"/>
      <c r="AR441" s="834"/>
      <c r="AS441" s="834"/>
      <c r="AT441" s="834"/>
      <c r="AU441" s="834"/>
      <c r="AV441" s="834"/>
      <c r="AW441" s="834"/>
      <c r="AX441" s="834"/>
      <c r="AY441" s="834"/>
      <c r="AZ441" s="834"/>
      <c r="BA441" s="834"/>
      <c r="BB441" s="834"/>
      <c r="BC441" s="834"/>
      <c r="BD441" s="834"/>
      <c r="BE441" s="834"/>
      <c r="BF441" s="834"/>
      <c r="BG441" s="834"/>
      <c r="BH441" s="834"/>
      <c r="BI441" s="834"/>
      <c r="BJ441" s="834"/>
    </row>
    <row r="442" spans="2:62">
      <c r="B442" s="812" t="s">
        <v>290</v>
      </c>
      <c r="C442" s="840">
        <f>F442+1.1-0.3</f>
        <v>-1.2</v>
      </c>
      <c r="D442" s="834">
        <f t="shared" si="961"/>
        <v>0.30000000000000049</v>
      </c>
      <c r="E442" s="840">
        <f>H442+3.2</f>
        <v>-0.89999999999999947</v>
      </c>
      <c r="F442" s="840">
        <v>-2</v>
      </c>
      <c r="G442" s="834">
        <f t="shared" si="962"/>
        <v>-2.0999999999999996</v>
      </c>
      <c r="H442" s="840">
        <v>-4.0999999999999996</v>
      </c>
      <c r="I442" s="840">
        <v>-1.8</v>
      </c>
      <c r="J442" s="834">
        <f t="shared" si="963"/>
        <v>-1.3</v>
      </c>
      <c r="K442" s="1003">
        <v>-3.1</v>
      </c>
      <c r="L442" s="840">
        <f>-2.7-L441</f>
        <v>-2.2000000000000002</v>
      </c>
      <c r="M442" s="834">
        <f t="shared" si="965"/>
        <v>-9.9999999999999645E-2</v>
      </c>
      <c r="N442" s="840">
        <f>-2.8-N441</f>
        <v>-2.2999999999999998</v>
      </c>
      <c r="O442" s="840">
        <f>-1.8-O441</f>
        <v>-1.3</v>
      </c>
      <c r="P442" s="840">
        <f t="shared" si="966"/>
        <v>1.3</v>
      </c>
      <c r="Q442" s="840"/>
      <c r="R442" s="840"/>
      <c r="S442" s="840"/>
      <c r="T442" s="840"/>
      <c r="U442" s="834"/>
      <c r="V442" s="834"/>
      <c r="W442" s="840"/>
      <c r="X442" s="834"/>
      <c r="Y442" s="834"/>
      <c r="Z442" s="834"/>
      <c r="AA442" s="834"/>
      <c r="AB442" s="834"/>
      <c r="AC442" s="836"/>
      <c r="AD442" s="834"/>
      <c r="AE442" s="834"/>
      <c r="AF442" s="834"/>
      <c r="AG442" s="834"/>
      <c r="AH442" s="834"/>
      <c r="AI442" s="834"/>
      <c r="AJ442" s="834"/>
      <c r="AK442" s="834"/>
      <c r="AL442" s="834"/>
      <c r="AM442" s="834"/>
      <c r="AN442" s="834"/>
      <c r="AO442" s="834"/>
      <c r="AP442" s="834"/>
      <c r="AQ442" s="834"/>
      <c r="AR442" s="834"/>
      <c r="AS442" s="834"/>
      <c r="AT442" s="834"/>
      <c r="AU442" s="834"/>
      <c r="AV442" s="834"/>
      <c r="AW442" s="834"/>
      <c r="AX442" s="834"/>
      <c r="AY442" s="834"/>
      <c r="AZ442" s="834"/>
      <c r="BA442" s="834"/>
      <c r="BB442" s="834"/>
      <c r="BC442" s="834"/>
      <c r="BD442" s="834"/>
      <c r="BE442" s="834"/>
      <c r="BF442" s="834"/>
      <c r="BG442" s="834"/>
      <c r="BH442" s="834"/>
      <c r="BI442" s="834"/>
      <c r="BJ442" s="834"/>
    </row>
    <row r="443" spans="2:62">
      <c r="B443" s="1300" t="s">
        <v>760</v>
      </c>
      <c r="C443" s="840"/>
      <c r="D443" s="834"/>
      <c r="E443" s="840"/>
      <c r="F443" s="840"/>
      <c r="G443" s="834"/>
      <c r="H443" s="840"/>
      <c r="I443" s="840"/>
      <c r="J443" s="834"/>
      <c r="K443" s="1003"/>
      <c r="L443" s="840"/>
      <c r="M443" s="834"/>
      <c r="N443" s="840"/>
      <c r="O443" s="840"/>
      <c r="P443" s="840">
        <f t="shared" si="966"/>
        <v>-5.4</v>
      </c>
      <c r="Q443" s="840">
        <v>-5.4</v>
      </c>
      <c r="R443" s="840"/>
      <c r="S443" s="840"/>
      <c r="T443" s="840"/>
      <c r="U443" s="834"/>
      <c r="V443" s="834"/>
      <c r="W443" s="840"/>
      <c r="X443" s="834"/>
      <c r="Y443" s="834"/>
      <c r="Z443" s="834"/>
      <c r="AA443" s="834"/>
      <c r="AB443" s="834"/>
      <c r="AC443" s="836"/>
      <c r="AD443" s="834"/>
      <c r="AE443" s="834"/>
      <c r="AF443" s="834"/>
      <c r="AG443" s="834"/>
      <c r="AH443" s="834"/>
      <c r="AI443" s="834"/>
      <c r="AJ443" s="834"/>
      <c r="AK443" s="834"/>
      <c r="AL443" s="834"/>
      <c r="AM443" s="834"/>
      <c r="AN443" s="834"/>
      <c r="AO443" s="834"/>
      <c r="AP443" s="834"/>
      <c r="AQ443" s="834"/>
      <c r="AR443" s="834"/>
      <c r="AS443" s="834"/>
      <c r="AT443" s="834"/>
      <c r="AU443" s="834"/>
      <c r="AV443" s="834"/>
      <c r="AW443" s="834"/>
      <c r="AX443" s="834"/>
      <c r="AY443" s="834"/>
      <c r="AZ443" s="834"/>
      <c r="BA443" s="834"/>
      <c r="BB443" s="834"/>
      <c r="BC443" s="834"/>
      <c r="BD443" s="834"/>
      <c r="BE443" s="834"/>
      <c r="BF443" s="834"/>
      <c r="BG443" s="834"/>
      <c r="BH443" s="834"/>
      <c r="BI443" s="834"/>
      <c r="BJ443" s="834"/>
    </row>
    <row r="444" spans="2:62">
      <c r="B444" s="1300" t="s">
        <v>907</v>
      </c>
      <c r="C444" s="834"/>
      <c r="D444" s="834"/>
      <c r="E444" s="834"/>
      <c r="F444" s="834"/>
      <c r="G444" s="834"/>
      <c r="H444" s="834"/>
      <c r="I444" s="834"/>
      <c r="J444" s="834"/>
      <c r="K444" s="835"/>
      <c r="L444" s="834"/>
      <c r="M444" s="834"/>
      <c r="N444" s="834"/>
      <c r="O444" s="834"/>
      <c r="P444" s="834"/>
      <c r="Q444" s="834"/>
      <c r="R444" s="834"/>
      <c r="S444" s="834"/>
      <c r="T444" s="834">
        <v>-5.9</v>
      </c>
      <c r="U444" s="840">
        <v>1.8</v>
      </c>
      <c r="V444" s="834"/>
      <c r="W444" s="840">
        <v>1.8</v>
      </c>
      <c r="X444" s="840"/>
      <c r="Y444" s="834"/>
      <c r="Z444" s="834"/>
      <c r="AA444" s="840"/>
      <c r="AB444" s="834"/>
      <c r="AC444" s="836"/>
      <c r="AD444" s="834"/>
      <c r="AE444" s="834"/>
      <c r="AF444" s="834"/>
      <c r="AG444" s="834"/>
      <c r="AH444" s="834"/>
      <c r="AI444" s="834"/>
      <c r="AJ444" s="834"/>
      <c r="AK444" s="834"/>
      <c r="AL444" s="834"/>
      <c r="AM444" s="834"/>
      <c r="AN444" s="834"/>
      <c r="AO444" s="834"/>
      <c r="AP444" s="834"/>
      <c r="AQ444" s="834"/>
      <c r="AR444" s="834"/>
      <c r="AS444" s="834"/>
      <c r="AT444" s="834"/>
      <c r="AU444" s="834"/>
      <c r="AV444" s="834"/>
      <c r="AW444" s="834"/>
      <c r="AX444" s="834"/>
      <c r="AY444" s="834"/>
      <c r="AZ444" s="834"/>
      <c r="BA444" s="834"/>
      <c r="BB444" s="834"/>
      <c r="BC444" s="834"/>
      <c r="BD444" s="834"/>
      <c r="BE444" s="834"/>
      <c r="BF444" s="834"/>
      <c r="BG444" s="834"/>
      <c r="BH444" s="834"/>
      <c r="BI444" s="834"/>
      <c r="BJ444" s="834"/>
    </row>
    <row r="445" spans="2:62">
      <c r="W445" s="1301"/>
      <c r="Z445" s="1301"/>
      <c r="AC445" s="1378"/>
    </row>
    <row r="449" spans="3:62">
      <c r="C449" s="1302"/>
      <c r="D449" s="1302"/>
      <c r="E449" s="1302"/>
      <c r="F449" s="1302"/>
      <c r="G449" s="1302"/>
      <c r="H449" s="1302"/>
      <c r="I449" s="834"/>
      <c r="J449" s="834"/>
      <c r="K449" s="835"/>
      <c r="L449" s="834"/>
      <c r="M449" s="834"/>
      <c r="N449" s="834"/>
      <c r="O449" s="834"/>
      <c r="P449" s="834"/>
      <c r="Q449" s="834"/>
      <c r="R449" s="834"/>
      <c r="S449" s="834"/>
      <c r="T449" s="834"/>
      <c r="U449" s="834"/>
      <c r="V449" s="834"/>
      <c r="W449" s="834"/>
      <c r="X449" s="834"/>
      <c r="Y449" s="834"/>
      <c r="Z449" s="834"/>
      <c r="AA449" s="834"/>
      <c r="AB449" s="834"/>
      <c r="AC449" s="836"/>
      <c r="AD449" s="834"/>
      <c r="AE449" s="834"/>
      <c r="AF449" s="834"/>
      <c r="AG449" s="834"/>
      <c r="AH449" s="834"/>
      <c r="AI449" s="834"/>
      <c r="AJ449" s="834"/>
      <c r="AK449" s="834"/>
      <c r="AL449" s="834"/>
      <c r="AM449" s="834"/>
      <c r="AN449" s="834"/>
      <c r="AO449" s="834"/>
      <c r="AP449" s="834"/>
      <c r="AQ449" s="834"/>
      <c r="AR449" s="834"/>
      <c r="AS449" s="834"/>
      <c r="AT449" s="834"/>
      <c r="AU449" s="834"/>
      <c r="AV449" s="834"/>
      <c r="AW449" s="834"/>
      <c r="AX449" s="834"/>
      <c r="AY449" s="834"/>
      <c r="AZ449" s="834"/>
      <c r="BA449" s="834"/>
      <c r="BB449" s="834"/>
      <c r="BC449" s="834"/>
      <c r="BD449" s="834"/>
      <c r="BE449" s="834"/>
      <c r="BF449" s="834"/>
      <c r="BG449" s="834"/>
      <c r="BH449" s="834"/>
      <c r="BI449" s="834"/>
      <c r="BJ449" s="834"/>
    </row>
  </sheetData>
  <phoneticPr fontId="23" type="noConversion"/>
  <conditionalFormatting sqref="E153 E253 H119 H142:H143 H253 H436 K5:K6 K295 K436 K253 K119 K142:K143 H347 K345:K347 F345:F346 H345:J345 E345:E347 N345:N347 N119 N253 N436 N295 N5:N6 N142:N143 J218:K226 M218:N218 C295:H295 C208:H211 C218:H226 Z211 Z345:Z347 Z222 AF225:AF226 AF222 AF211 AF345:AF347 C207:D207 M211:N211 J211:K211 J208:J210 M221:N222 M219:M220 C215:G215 L217:M217 M225:N226 M223:M224 Z225:Z226 C217:G217 AI211:AN211 AI221:AN222 AI225:AN226 AC211 AC345:AC347 AC222 AC225:AC226">
    <cfRule type="cellIs" dxfId="415" priority="1163" stopIfTrue="1" operator="greaterThan">
      <formula>0</formula>
    </cfRule>
    <cfRule type="cellIs" dxfId="414" priority="1164" stopIfTrue="1" operator="lessThan">
      <formula>0</formula>
    </cfRule>
  </conditionalFormatting>
  <conditionalFormatting sqref="E2 H2 K2">
    <cfRule type="cellIs" dxfId="413" priority="1169" stopIfTrue="1" operator="equal">
      <formula>"Balance"</formula>
    </cfRule>
    <cfRule type="cellIs" dxfId="412" priority="1170" stopIfTrue="1" operator="equal">
      <formula>"Error"</formula>
    </cfRule>
  </conditionalFormatting>
  <conditionalFormatting sqref="Z295 Z119 Z142:Z143 Z253 Z436 AF295 AF119 AF142:AF143 AF253 AF436 AC295 AC119 AC142:AC143 AC253 AC436">
    <cfRule type="cellIs" dxfId="411" priority="962" stopIfTrue="1" operator="greaterThan">
      <formula>0</formula>
    </cfRule>
    <cfRule type="cellIs" dxfId="410" priority="963" stopIfTrue="1" operator="lessThan">
      <formula>0</formula>
    </cfRule>
  </conditionalFormatting>
  <conditionalFormatting sqref="D2">
    <cfRule type="cellIs" dxfId="409" priority="860" stopIfTrue="1" operator="equal">
      <formula>"Balance"</formula>
    </cfRule>
    <cfRule type="cellIs" dxfId="408" priority="861" stopIfTrue="1" operator="equal">
      <formula>"Error"</formula>
    </cfRule>
  </conditionalFormatting>
  <conditionalFormatting sqref="D345 D436 D253 D142:D143 D119 D153 D413 D51">
    <cfRule type="cellIs" dxfId="407" priority="852" stopIfTrue="1" operator="greaterThan">
      <formula>0</formula>
    </cfRule>
    <cfRule type="cellIs" dxfId="406" priority="853" stopIfTrue="1" operator="lessThan">
      <formula>0</formula>
    </cfRule>
  </conditionalFormatting>
  <conditionalFormatting sqref="D346:D347">
    <cfRule type="cellIs" dxfId="405" priority="841" stopIfTrue="1" operator="greaterThan">
      <formula>0</formula>
    </cfRule>
    <cfRule type="cellIs" dxfId="404" priority="842" stopIfTrue="1" operator="lessThan">
      <formula>0</formula>
    </cfRule>
  </conditionalFormatting>
  <conditionalFormatting sqref="C2">
    <cfRule type="cellIs" dxfId="403" priority="823" stopIfTrue="1" operator="equal">
      <formula>"Balance"</formula>
    </cfRule>
    <cfRule type="cellIs" dxfId="402" priority="824" stopIfTrue="1" operator="equal">
      <formula>"Error"</formula>
    </cfRule>
  </conditionalFormatting>
  <conditionalFormatting sqref="C345 C436 C253 C142 C119 C413 C51">
    <cfRule type="cellIs" dxfId="401" priority="815" stopIfTrue="1" operator="greaterThan">
      <formula>0</formula>
    </cfRule>
    <cfRule type="cellIs" dxfId="400" priority="816" stopIfTrue="1" operator="lessThan">
      <formula>0</formula>
    </cfRule>
  </conditionalFormatting>
  <conditionalFormatting sqref="C346:C347">
    <cfRule type="cellIs" dxfId="399" priority="804" stopIfTrue="1" operator="greaterThan">
      <formula>0</formula>
    </cfRule>
    <cfRule type="cellIs" dxfId="398" priority="805" stopIfTrue="1" operator="lessThan">
      <formula>0</formula>
    </cfRule>
  </conditionalFormatting>
  <conditionalFormatting sqref="F2:G2">
    <cfRule type="cellIs" dxfId="397" priority="798" stopIfTrue="1" operator="equal">
      <formula>"Balance"</formula>
    </cfRule>
    <cfRule type="cellIs" dxfId="396" priority="799" stopIfTrue="1" operator="equal">
      <formula>"Error"</formula>
    </cfRule>
  </conditionalFormatting>
  <conditionalFormatting sqref="G345 G436 G253 G142:G143 G119 G153 G413">
    <cfRule type="cellIs" dxfId="395" priority="790" stopIfTrue="1" operator="greaterThan">
      <formula>0</formula>
    </cfRule>
    <cfRule type="cellIs" dxfId="394" priority="791" stopIfTrue="1" operator="lessThan">
      <formula>0</formula>
    </cfRule>
  </conditionalFormatting>
  <conditionalFormatting sqref="G346:G347">
    <cfRule type="cellIs" dxfId="393" priority="779" stopIfTrue="1" operator="greaterThan">
      <formula>0</formula>
    </cfRule>
    <cfRule type="cellIs" dxfId="392" priority="780" stopIfTrue="1" operator="lessThan">
      <formula>0</formula>
    </cfRule>
  </conditionalFormatting>
  <conditionalFormatting sqref="F436 F253 F142:F143 F119 F153 F413">
    <cfRule type="cellIs" dxfId="391" priority="765" stopIfTrue="1" operator="greaterThan">
      <formula>0</formula>
    </cfRule>
    <cfRule type="cellIs" dxfId="390" priority="766" stopIfTrue="1" operator="lessThan">
      <formula>0</formula>
    </cfRule>
  </conditionalFormatting>
  <conditionalFormatting sqref="F347">
    <cfRule type="cellIs" dxfId="389" priority="754" stopIfTrue="1" operator="greaterThan">
      <formula>0</formula>
    </cfRule>
    <cfRule type="cellIs" dxfId="388" priority="755" stopIfTrue="1" operator="lessThan">
      <formula>0</formula>
    </cfRule>
  </conditionalFormatting>
  <conditionalFormatting sqref="C153">
    <cfRule type="cellIs" dxfId="387" priority="736" stopIfTrue="1" operator="greaterThan">
      <formula>0</formula>
    </cfRule>
    <cfRule type="cellIs" dxfId="386" priority="737" stopIfTrue="1" operator="lessThan">
      <formula>0</formula>
    </cfRule>
  </conditionalFormatting>
  <conditionalFormatting sqref="J2">
    <cfRule type="cellIs" dxfId="385" priority="684" stopIfTrue="1" operator="equal">
      <formula>"Balance"</formula>
    </cfRule>
    <cfRule type="cellIs" dxfId="384" priority="685" stopIfTrue="1" operator="equal">
      <formula>"Error"</formula>
    </cfRule>
  </conditionalFormatting>
  <conditionalFormatting sqref="J295 J436 J253 J142:J143 J119 J413">
    <cfRule type="cellIs" dxfId="383" priority="678" stopIfTrue="1" operator="greaterThan">
      <formula>0</formula>
    </cfRule>
    <cfRule type="cellIs" dxfId="382" priority="679" stopIfTrue="1" operator="lessThan">
      <formula>0</formula>
    </cfRule>
  </conditionalFormatting>
  <conditionalFormatting sqref="J346:J347">
    <cfRule type="cellIs" dxfId="381" priority="671" stopIfTrue="1" operator="greaterThan">
      <formula>0</formula>
    </cfRule>
    <cfRule type="cellIs" dxfId="380" priority="672" stopIfTrue="1" operator="lessThan">
      <formula>0</formula>
    </cfRule>
  </conditionalFormatting>
  <conditionalFormatting sqref="I2">
    <cfRule type="cellIs" dxfId="379" priority="665" stopIfTrue="1" operator="equal">
      <formula>"Balance"</formula>
    </cfRule>
    <cfRule type="cellIs" dxfId="378" priority="666" stopIfTrue="1" operator="equal">
      <formula>"Error"</formula>
    </cfRule>
  </conditionalFormatting>
  <conditionalFormatting sqref="I295 I436 I253 I142:I143 I119 I413 I208:I211 I218:I226">
    <cfRule type="cellIs" dxfId="377" priority="659" stopIfTrue="1" operator="greaterThan">
      <formula>0</formula>
    </cfRule>
    <cfRule type="cellIs" dxfId="376" priority="660" stopIfTrue="1" operator="lessThan">
      <formula>0</formula>
    </cfRule>
  </conditionalFormatting>
  <conditionalFormatting sqref="I346:I347">
    <cfRule type="cellIs" dxfId="375" priority="652" stopIfTrue="1" operator="greaterThan">
      <formula>0</formula>
    </cfRule>
    <cfRule type="cellIs" dxfId="374" priority="653" stopIfTrue="1" operator="lessThan">
      <formula>0</formula>
    </cfRule>
  </conditionalFormatting>
  <conditionalFormatting sqref="E119 E142:E143">
    <cfRule type="cellIs" dxfId="373" priority="646" stopIfTrue="1" operator="greaterThan">
      <formula>0</formula>
    </cfRule>
    <cfRule type="cellIs" dxfId="372" priority="647" stopIfTrue="1" operator="lessThan">
      <formula>0</formula>
    </cfRule>
  </conditionalFormatting>
  <conditionalFormatting sqref="E436">
    <cfRule type="cellIs" dxfId="371" priority="636" stopIfTrue="1" operator="greaterThan">
      <formula>0</formula>
    </cfRule>
    <cfRule type="cellIs" dxfId="370" priority="637" stopIfTrue="1" operator="lessThan">
      <formula>0</formula>
    </cfRule>
  </conditionalFormatting>
  <conditionalFormatting sqref="C143">
    <cfRule type="cellIs" dxfId="369" priority="624" stopIfTrue="1" operator="greaterThan">
      <formula>0</formula>
    </cfRule>
    <cfRule type="cellIs" dxfId="368" priority="625" stopIfTrue="1" operator="lessThan">
      <formula>0</formula>
    </cfRule>
  </conditionalFormatting>
  <conditionalFormatting sqref="M345">
    <cfRule type="cellIs" dxfId="367" priority="613" stopIfTrue="1" operator="greaterThan">
      <formula>0</formula>
    </cfRule>
    <cfRule type="cellIs" dxfId="366" priority="614" stopIfTrue="1" operator="lessThan">
      <formula>0</formula>
    </cfRule>
  </conditionalFormatting>
  <conditionalFormatting sqref="M295 M436 M253 M142:M143 M119 M153 M413">
    <cfRule type="cellIs" dxfId="365" priority="605" stopIfTrue="1" operator="greaterThan">
      <formula>0</formula>
    </cfRule>
    <cfRule type="cellIs" dxfId="364" priority="606" stopIfTrue="1" operator="lessThan">
      <formula>0</formula>
    </cfRule>
  </conditionalFormatting>
  <conditionalFormatting sqref="M346:M347">
    <cfRule type="cellIs" dxfId="363" priority="601" stopIfTrue="1" operator="greaterThan">
      <formula>0</formula>
    </cfRule>
    <cfRule type="cellIs" dxfId="362" priority="602" stopIfTrue="1" operator="lessThan">
      <formula>0</formula>
    </cfRule>
  </conditionalFormatting>
  <conditionalFormatting sqref="L295 L253 L142:L143 L119 L413 L436:N436">
    <cfRule type="cellIs" dxfId="361" priority="593" stopIfTrue="1" operator="greaterThan">
      <formula>0</formula>
    </cfRule>
    <cfRule type="cellIs" dxfId="360" priority="594" stopIfTrue="1" operator="lessThan">
      <formula>0</formula>
    </cfRule>
  </conditionalFormatting>
  <conditionalFormatting sqref="AI345:AK347">
    <cfRule type="cellIs" dxfId="359" priority="552" stopIfTrue="1" operator="greaterThan">
      <formula>0</formula>
    </cfRule>
    <cfRule type="cellIs" dxfId="358" priority="553" stopIfTrue="1" operator="lessThan">
      <formula>0</formula>
    </cfRule>
  </conditionalFormatting>
  <conditionalFormatting sqref="AI295:AK295 AI119:AK119 AI142:AK143 AI253:AK253 AI436:AK436">
    <cfRule type="cellIs" dxfId="357" priority="546" stopIfTrue="1" operator="greaterThan">
      <formula>0</formula>
    </cfRule>
    <cfRule type="cellIs" dxfId="356" priority="547" stopIfTrue="1" operator="lessThan">
      <formula>0</formula>
    </cfRule>
  </conditionalFormatting>
  <conditionalFormatting sqref="AL345:AN347">
    <cfRule type="cellIs" dxfId="355" priority="544" stopIfTrue="1" operator="greaterThan">
      <formula>0</formula>
    </cfRule>
    <cfRule type="cellIs" dxfId="354" priority="545" stopIfTrue="1" operator="lessThan">
      <formula>0</formula>
    </cfRule>
  </conditionalFormatting>
  <conditionalFormatting sqref="AL295:AN295 AL119:AN119 AL142:AN143 AL253:AN253 AL436:AN436">
    <cfRule type="cellIs" dxfId="353" priority="538" stopIfTrue="1" operator="greaterThan">
      <formula>0</formula>
    </cfRule>
    <cfRule type="cellIs" dxfId="352" priority="539" stopIfTrue="1" operator="lessThan">
      <formula>0</formula>
    </cfRule>
  </conditionalFormatting>
  <conditionalFormatting sqref="K230 M230:N230 Z230 AF230 AI230:AN230 AC230">
    <cfRule type="cellIs" dxfId="351" priority="536" stopIfTrue="1" operator="greaterThan">
      <formula>0</formula>
    </cfRule>
    <cfRule type="cellIs" dxfId="350" priority="537" stopIfTrue="1" operator="lessThan">
      <formula>0</formula>
    </cfRule>
  </conditionalFormatting>
  <conditionalFormatting sqref="AO218:AQ218 AO211:AQ211 AO221:AQ222 AO225:AQ226">
    <cfRule type="cellIs" dxfId="349" priority="522" stopIfTrue="1" operator="greaterThan">
      <formula>0</formula>
    </cfRule>
    <cfRule type="cellIs" dxfId="348" priority="523" stopIfTrue="1" operator="lessThan">
      <formula>0</formula>
    </cfRule>
  </conditionalFormatting>
  <conditionalFormatting sqref="AO345:AQ347">
    <cfRule type="cellIs" dxfId="347" priority="520" stopIfTrue="1" operator="greaterThan">
      <formula>0</formula>
    </cfRule>
    <cfRule type="cellIs" dxfId="346" priority="521" stopIfTrue="1" operator="lessThan">
      <formula>0</formula>
    </cfRule>
  </conditionalFormatting>
  <conditionalFormatting sqref="AO295:AQ295 AO119:AQ119 AO142:AQ143 AO253:AQ253 AO436:AQ436">
    <cfRule type="cellIs" dxfId="345" priority="514" stopIfTrue="1" operator="greaterThan">
      <formula>0</formula>
    </cfRule>
    <cfRule type="cellIs" dxfId="344" priority="515" stopIfTrue="1" operator="lessThan">
      <formula>0</formula>
    </cfRule>
  </conditionalFormatting>
  <conditionalFormatting sqref="AO230:AQ230">
    <cfRule type="cellIs" dxfId="343" priority="512" stopIfTrue="1" operator="greaterThan">
      <formula>0</formula>
    </cfRule>
    <cfRule type="cellIs" dxfId="342" priority="513" stopIfTrue="1" operator="lessThan">
      <formula>0</formula>
    </cfRule>
  </conditionalFormatting>
  <conditionalFormatting sqref="L153">
    <cfRule type="cellIs" dxfId="341" priority="510" stopIfTrue="1" operator="greaterThan">
      <formula>0</formula>
    </cfRule>
    <cfRule type="cellIs" dxfId="340" priority="511" stopIfTrue="1" operator="lessThan">
      <formula>0</formula>
    </cfRule>
  </conditionalFormatting>
  <conditionalFormatting sqref="L218:L226 L211">
    <cfRule type="cellIs" dxfId="339" priority="508" stopIfTrue="1" operator="greaterThan">
      <formula>0</formula>
    </cfRule>
    <cfRule type="cellIs" dxfId="338" priority="509" stopIfTrue="1" operator="lessThan">
      <formula>0</formula>
    </cfRule>
  </conditionalFormatting>
  <conditionalFormatting sqref="L345">
    <cfRule type="cellIs" dxfId="337" priority="506" stopIfTrue="1" operator="greaterThan">
      <formula>0</formula>
    </cfRule>
    <cfRule type="cellIs" dxfId="336" priority="507" stopIfTrue="1" operator="lessThan">
      <formula>0</formula>
    </cfRule>
  </conditionalFormatting>
  <conditionalFormatting sqref="L346:L347">
    <cfRule type="cellIs" dxfId="335" priority="504" stopIfTrue="1" operator="greaterThan">
      <formula>0</formula>
    </cfRule>
    <cfRule type="cellIs" dxfId="334" priority="505" stopIfTrue="1" operator="lessThan">
      <formula>0</formula>
    </cfRule>
  </conditionalFormatting>
  <conditionalFormatting sqref="AR218:AT218 AR211:AT211 AR221:AT222 AR225:AT226">
    <cfRule type="cellIs" dxfId="333" priority="495" stopIfTrue="1" operator="greaterThan">
      <formula>0</formula>
    </cfRule>
    <cfRule type="cellIs" dxfId="332" priority="496" stopIfTrue="1" operator="lessThan">
      <formula>0</formula>
    </cfRule>
  </conditionalFormatting>
  <conditionalFormatting sqref="AR345:AT347">
    <cfRule type="cellIs" dxfId="331" priority="493" stopIfTrue="1" operator="greaterThan">
      <formula>0</formula>
    </cfRule>
    <cfRule type="cellIs" dxfId="330" priority="494" stopIfTrue="1" operator="lessThan">
      <formula>0</formula>
    </cfRule>
  </conditionalFormatting>
  <conditionalFormatting sqref="AR295:AT295 AR119:AT119 AR142:AT143 AR253:AT253 AR436:AT436">
    <cfRule type="cellIs" dxfId="329" priority="487" stopIfTrue="1" operator="greaterThan">
      <formula>0</formula>
    </cfRule>
    <cfRule type="cellIs" dxfId="328" priority="488" stopIfTrue="1" operator="lessThan">
      <formula>0</formula>
    </cfRule>
  </conditionalFormatting>
  <conditionalFormatting sqref="AR230:AT230">
    <cfRule type="cellIs" dxfId="327" priority="485" stopIfTrue="1" operator="greaterThan">
      <formula>0</formula>
    </cfRule>
    <cfRule type="cellIs" dxfId="326" priority="486" stopIfTrue="1" operator="lessThan">
      <formula>0</formula>
    </cfRule>
  </conditionalFormatting>
  <conditionalFormatting sqref="J218:N218 U218 U225:U226 J221:N222 J219:M220 U221:U222 J225:N226 J223:M224">
    <cfRule type="cellIs" dxfId="325" priority="482" stopIfTrue="1" operator="greaterThan">
      <formula>0</formula>
    </cfRule>
    <cfRule type="cellIs" dxfId="324" priority="483" stopIfTrue="1" operator="lessThan">
      <formula>0</formula>
    </cfRule>
  </conditionalFormatting>
  <conditionalFormatting sqref="AU218:AW218 AU211:AW211 AU221:AW222 AU225:AW226">
    <cfRule type="cellIs" dxfId="323" priority="441" stopIfTrue="1" operator="greaterThan">
      <formula>0</formula>
    </cfRule>
    <cfRule type="cellIs" dxfId="322" priority="442" stopIfTrue="1" operator="lessThan">
      <formula>0</formula>
    </cfRule>
  </conditionalFormatting>
  <conditionalFormatting sqref="AU345:AW347">
    <cfRule type="cellIs" dxfId="321" priority="439" stopIfTrue="1" operator="greaterThan">
      <formula>0</formula>
    </cfRule>
    <cfRule type="cellIs" dxfId="320" priority="440" stopIfTrue="1" operator="lessThan">
      <formula>0</formula>
    </cfRule>
  </conditionalFormatting>
  <conditionalFormatting sqref="AU295:AW295 AU119:AW119 AU142:AW143 AU253:AW253 AU436:AW436">
    <cfRule type="cellIs" dxfId="319" priority="433" stopIfTrue="1" operator="greaterThan">
      <formula>0</formula>
    </cfRule>
    <cfRule type="cellIs" dxfId="318" priority="434" stopIfTrue="1" operator="lessThan">
      <formula>0</formula>
    </cfRule>
  </conditionalFormatting>
  <conditionalFormatting sqref="AU230:AW230">
    <cfRule type="cellIs" dxfId="317" priority="431" stopIfTrue="1" operator="greaterThan">
      <formula>0</formula>
    </cfRule>
    <cfRule type="cellIs" dxfId="316" priority="432" stopIfTrue="1" operator="lessThan">
      <formula>0</formula>
    </cfRule>
  </conditionalFormatting>
  <conditionalFormatting sqref="N2">
    <cfRule type="cellIs" dxfId="315" priority="429" stopIfTrue="1" operator="equal">
      <formula>"Balance"</formula>
    </cfRule>
    <cfRule type="cellIs" dxfId="314" priority="430" stopIfTrue="1" operator="equal">
      <formula>"Error"</formula>
    </cfRule>
  </conditionalFormatting>
  <conditionalFormatting sqref="M2">
    <cfRule type="cellIs" dxfId="313" priority="427" stopIfTrue="1" operator="equal">
      <formula>"Balance"</formula>
    </cfRule>
    <cfRule type="cellIs" dxfId="312" priority="428" stopIfTrue="1" operator="equal">
      <formula>"Error"</formula>
    </cfRule>
  </conditionalFormatting>
  <conditionalFormatting sqref="L2">
    <cfRule type="cellIs" dxfId="311" priority="425" stopIfTrue="1" operator="equal">
      <formula>"Balance"</formula>
    </cfRule>
    <cfRule type="cellIs" dxfId="310" priority="426" stopIfTrue="1" operator="equal">
      <formula>"Error"</formula>
    </cfRule>
  </conditionalFormatting>
  <conditionalFormatting sqref="U5:V5">
    <cfRule type="cellIs" dxfId="309" priority="411" stopIfTrue="1" operator="greaterThan">
      <formula>0</formula>
    </cfRule>
    <cfRule type="cellIs" dxfId="308" priority="412" stopIfTrue="1" operator="lessThan">
      <formula>0</formula>
    </cfRule>
  </conditionalFormatting>
  <conditionalFormatting sqref="U2:V2">
    <cfRule type="cellIs" dxfId="307" priority="413" stopIfTrue="1" operator="equal">
      <formula>"Balance"</formula>
    </cfRule>
    <cfRule type="cellIs" dxfId="306" priority="414" stopIfTrue="1" operator="equal">
      <formula>"Error"</formula>
    </cfRule>
  </conditionalFormatting>
  <conditionalFormatting sqref="U218 U221:U222 U225:U226 U211 AD210:BJ210">
    <cfRule type="cellIs" dxfId="305" priority="406" stopIfTrue="1" operator="greaterThan">
      <formula>0</formula>
    </cfRule>
    <cfRule type="cellIs" dxfId="304" priority="407" stopIfTrue="1" operator="lessThan">
      <formula>0</formula>
    </cfRule>
  </conditionalFormatting>
  <conditionalFormatting sqref="U436:V436">
    <cfRule type="cellIs" dxfId="303" priority="404" stopIfTrue="1" operator="greaterThan">
      <formula>0</formula>
    </cfRule>
    <cfRule type="cellIs" dxfId="302" priority="405" stopIfTrue="1" operator="lessThan">
      <formula>0</formula>
    </cfRule>
  </conditionalFormatting>
  <conditionalFormatting sqref="U345:V345">
    <cfRule type="cellIs" dxfId="301" priority="399" stopIfTrue="1" operator="greaterThan">
      <formula>0</formula>
    </cfRule>
    <cfRule type="cellIs" dxfId="300" priority="400" stopIfTrue="1" operator="lessThan">
      <formula>0</formula>
    </cfRule>
  </conditionalFormatting>
  <conditionalFormatting sqref="V295 V436 V253 V142:V143 V119 V413">
    <cfRule type="cellIs" dxfId="299" priority="393" stopIfTrue="1" operator="greaterThan">
      <formula>0</formula>
    </cfRule>
    <cfRule type="cellIs" dxfId="298" priority="394" stopIfTrue="1" operator="lessThan">
      <formula>0</formula>
    </cfRule>
  </conditionalFormatting>
  <conditionalFormatting sqref="V346:V347">
    <cfRule type="cellIs" dxfId="297" priority="391" stopIfTrue="1" operator="greaterThan">
      <formula>0</formula>
    </cfRule>
    <cfRule type="cellIs" dxfId="296" priority="392" stopIfTrue="1" operator="lessThan">
      <formula>0</formula>
    </cfRule>
  </conditionalFormatting>
  <conditionalFormatting sqref="U295 U436 U253 U142:U143 U119 U413">
    <cfRule type="cellIs" dxfId="295" priority="385" stopIfTrue="1" operator="greaterThan">
      <formula>0</formula>
    </cfRule>
    <cfRule type="cellIs" dxfId="294" priority="386" stopIfTrue="1" operator="lessThan">
      <formula>0</formula>
    </cfRule>
  </conditionalFormatting>
  <conditionalFormatting sqref="U346:U347">
    <cfRule type="cellIs" dxfId="293" priority="383" stopIfTrue="1" operator="greaterThan">
      <formula>0</formula>
    </cfRule>
    <cfRule type="cellIs" dxfId="292" priority="384" stopIfTrue="1" operator="lessThan">
      <formula>0</formula>
    </cfRule>
  </conditionalFormatting>
  <conditionalFormatting sqref="U230">
    <cfRule type="cellIs" dxfId="291" priority="381" stopIfTrue="1" operator="greaterThan">
      <formula>0</formula>
    </cfRule>
    <cfRule type="cellIs" dxfId="290" priority="382" stopIfTrue="1" operator="lessThan">
      <formula>0</formula>
    </cfRule>
  </conditionalFormatting>
  <conditionalFormatting sqref="AF218 Y221:Z221 AI218:AN218">
    <cfRule type="cellIs" dxfId="289" priority="347" stopIfTrue="1" operator="greaterThan">
      <formula>0</formula>
    </cfRule>
    <cfRule type="cellIs" dxfId="288" priority="348" stopIfTrue="1" operator="lessThan">
      <formula>0</formula>
    </cfRule>
  </conditionalFormatting>
  <conditionalFormatting sqref="V218 V211 V221:V222 V225:V226">
    <cfRule type="cellIs" dxfId="287" priority="353" stopIfTrue="1" operator="greaterThan">
      <formula>0</formula>
    </cfRule>
    <cfRule type="cellIs" dxfId="286" priority="354" stopIfTrue="1" operator="lessThan">
      <formula>0</formula>
    </cfRule>
  </conditionalFormatting>
  <conditionalFormatting sqref="V230">
    <cfRule type="cellIs" dxfId="285" priority="351" stopIfTrue="1" operator="greaterThan">
      <formula>0</formula>
    </cfRule>
    <cfRule type="cellIs" dxfId="284" priority="352" stopIfTrue="1" operator="lessThan">
      <formula>0</formula>
    </cfRule>
  </conditionalFormatting>
  <conditionalFormatting sqref="Y5">
    <cfRule type="cellIs" dxfId="283" priority="341" stopIfTrue="1" operator="greaterThan">
      <formula>0</formula>
    </cfRule>
    <cfRule type="cellIs" dxfId="282" priority="342" stopIfTrue="1" operator="lessThan">
      <formula>0</formula>
    </cfRule>
  </conditionalFormatting>
  <conditionalFormatting sqref="Y2">
    <cfRule type="cellIs" dxfId="281" priority="343" stopIfTrue="1" operator="equal">
      <formula>"Balance"</formula>
    </cfRule>
    <cfRule type="cellIs" dxfId="280" priority="344" stopIfTrue="1" operator="equal">
      <formula>"Error"</formula>
    </cfRule>
  </conditionalFormatting>
  <conditionalFormatting sqref="AF218 Y221:Z221 AI218:AN218">
    <cfRule type="cellIs" dxfId="279" priority="337" stopIfTrue="1" operator="greaterThan">
      <formula>0</formula>
    </cfRule>
    <cfRule type="cellIs" dxfId="278" priority="338" stopIfTrue="1" operator="lessThan">
      <formula>0</formula>
    </cfRule>
  </conditionalFormatting>
  <conditionalFormatting sqref="Y436">
    <cfRule type="cellIs" dxfId="277" priority="335" stopIfTrue="1" operator="greaterThan">
      <formula>0</formula>
    </cfRule>
    <cfRule type="cellIs" dxfId="276" priority="336" stopIfTrue="1" operator="lessThan">
      <formula>0</formula>
    </cfRule>
  </conditionalFormatting>
  <conditionalFormatting sqref="Y345">
    <cfRule type="cellIs" dxfId="275" priority="333" stopIfTrue="1" operator="greaterThan">
      <formula>0</formula>
    </cfRule>
    <cfRule type="cellIs" dxfId="274" priority="334" stopIfTrue="1" operator="lessThan">
      <formula>0</formula>
    </cfRule>
  </conditionalFormatting>
  <conditionalFormatting sqref="Y295 Y436 Y253 Y142:Y143 Y119 Y413">
    <cfRule type="cellIs" dxfId="273" priority="331" stopIfTrue="1" operator="greaterThan">
      <formula>0</formula>
    </cfRule>
    <cfRule type="cellIs" dxfId="272" priority="332" stopIfTrue="1" operator="lessThan">
      <formula>0</formula>
    </cfRule>
  </conditionalFormatting>
  <conditionalFormatting sqref="Y346:Y347">
    <cfRule type="cellIs" dxfId="271" priority="329" stopIfTrue="1" operator="greaterThan">
      <formula>0</formula>
    </cfRule>
    <cfRule type="cellIs" dxfId="270" priority="330" stopIfTrue="1" operator="lessThan">
      <formula>0</formula>
    </cfRule>
  </conditionalFormatting>
  <conditionalFormatting sqref="Y222 Y211 Y225:Y226">
    <cfRule type="cellIs" dxfId="269" priority="319" stopIfTrue="1" operator="greaterThan">
      <formula>0</formula>
    </cfRule>
    <cfRule type="cellIs" dxfId="268" priority="320" stopIfTrue="1" operator="lessThan">
      <formula>0</formula>
    </cfRule>
  </conditionalFormatting>
  <conditionalFormatting sqref="Y230">
    <cfRule type="cellIs" dxfId="267" priority="317" stopIfTrue="1" operator="greaterThan">
      <formula>0</formula>
    </cfRule>
    <cfRule type="cellIs" dxfId="266" priority="318" stopIfTrue="1" operator="lessThan">
      <formula>0</formula>
    </cfRule>
  </conditionalFormatting>
  <conditionalFormatting sqref="AX218:AZ218 AX211:AZ211 AX221:AZ222 AX225:AZ226">
    <cfRule type="cellIs" dxfId="265" priority="309" stopIfTrue="1" operator="greaterThan">
      <formula>0</formula>
    </cfRule>
    <cfRule type="cellIs" dxfId="264" priority="310" stopIfTrue="1" operator="lessThan">
      <formula>0</formula>
    </cfRule>
  </conditionalFormatting>
  <conditionalFormatting sqref="AX345:AZ347">
    <cfRule type="cellIs" dxfId="263" priority="307" stopIfTrue="1" operator="greaterThan">
      <formula>0</formula>
    </cfRule>
    <cfRule type="cellIs" dxfId="262" priority="308" stopIfTrue="1" operator="lessThan">
      <formula>0</formula>
    </cfRule>
  </conditionalFormatting>
  <conditionalFormatting sqref="AX295:AZ295 AX119:AZ119 AX142:AZ143 AX253:AZ253 AX436:AZ436">
    <cfRule type="cellIs" dxfId="261" priority="305" stopIfTrue="1" operator="greaterThan">
      <formula>0</formula>
    </cfRule>
    <cfRule type="cellIs" dxfId="260" priority="306" stopIfTrue="1" operator="lessThan">
      <formula>0</formula>
    </cfRule>
  </conditionalFormatting>
  <conditionalFormatting sqref="AX230:AZ230">
    <cfRule type="cellIs" dxfId="259" priority="303" stopIfTrue="1" operator="greaterThan">
      <formula>0</formula>
    </cfRule>
    <cfRule type="cellIs" dxfId="258" priority="304" stopIfTrue="1" operator="lessThan">
      <formula>0</formula>
    </cfRule>
  </conditionalFormatting>
  <conditionalFormatting sqref="AX210:AZ210">
    <cfRule type="cellIs" dxfId="257" priority="301" stopIfTrue="1" operator="greaterThan">
      <formula>0</formula>
    </cfRule>
    <cfRule type="cellIs" dxfId="256" priority="302" stopIfTrue="1" operator="lessThan">
      <formula>0</formula>
    </cfRule>
  </conditionalFormatting>
  <conditionalFormatting sqref="O345:T347 O119:T119 O253:T253 O436:T436 O295:T295 O5:T6 O142:T143 O218:T218 O211:T211 O221:T222 O225:T226">
    <cfRule type="cellIs" dxfId="255" priority="299" stopIfTrue="1" operator="greaterThan">
      <formula>0</formula>
    </cfRule>
    <cfRule type="cellIs" dxfId="254" priority="300" stopIfTrue="1" operator="lessThan">
      <formula>0</formula>
    </cfRule>
  </conditionalFormatting>
  <conditionalFormatting sqref="O436:T436">
    <cfRule type="cellIs" dxfId="253" priority="297" stopIfTrue="1" operator="greaterThan">
      <formula>0</formula>
    </cfRule>
    <cfRule type="cellIs" dxfId="252" priority="298" stopIfTrue="1" operator="lessThan">
      <formula>0</formula>
    </cfRule>
  </conditionalFormatting>
  <conditionalFormatting sqref="O230:T230">
    <cfRule type="cellIs" dxfId="251" priority="293" stopIfTrue="1" operator="greaterThan">
      <formula>0</formula>
    </cfRule>
    <cfRule type="cellIs" dxfId="250" priority="294" stopIfTrue="1" operator="lessThan">
      <formula>0</formula>
    </cfRule>
  </conditionalFormatting>
  <conditionalFormatting sqref="O218:T218 O221:T222 O225:T226">
    <cfRule type="cellIs" dxfId="249" priority="291" stopIfTrue="1" operator="greaterThan">
      <formula>0</formula>
    </cfRule>
    <cfRule type="cellIs" dxfId="248" priority="292" stopIfTrue="1" operator="lessThan">
      <formula>0</formula>
    </cfRule>
  </conditionalFormatting>
  <conditionalFormatting sqref="O2:T2">
    <cfRule type="cellIs" dxfId="247" priority="289" stopIfTrue="1" operator="equal">
      <formula>"Balance"</formula>
    </cfRule>
    <cfRule type="cellIs" dxfId="246" priority="290" stopIfTrue="1" operator="equal">
      <formula>"Error"</formula>
    </cfRule>
  </conditionalFormatting>
  <conditionalFormatting sqref="BA218:BC218 BA211:BC211 BA221:BC222 BA225:BC226">
    <cfRule type="cellIs" dxfId="245" priority="261" stopIfTrue="1" operator="greaterThan">
      <formula>0</formula>
    </cfRule>
    <cfRule type="cellIs" dxfId="244" priority="262" stopIfTrue="1" operator="lessThan">
      <formula>0</formula>
    </cfRule>
  </conditionalFormatting>
  <conditionalFormatting sqref="BA345:BC347">
    <cfRule type="cellIs" dxfId="243" priority="259" stopIfTrue="1" operator="greaterThan">
      <formula>0</formula>
    </cfRule>
    <cfRule type="cellIs" dxfId="242" priority="260" stopIfTrue="1" operator="lessThan">
      <formula>0</formula>
    </cfRule>
  </conditionalFormatting>
  <conditionalFormatting sqref="BA295:BC295 BA119:BC119 BA142:BC143 BA253:BC253 BA436:BC436">
    <cfRule type="cellIs" dxfId="241" priority="257" stopIfTrue="1" operator="greaterThan">
      <formula>0</formula>
    </cfRule>
    <cfRule type="cellIs" dxfId="240" priority="258" stopIfTrue="1" operator="lessThan">
      <formula>0</formula>
    </cfRule>
  </conditionalFormatting>
  <conditionalFormatting sqref="BA230:BC230">
    <cfRule type="cellIs" dxfId="239" priority="255" stopIfTrue="1" operator="greaterThan">
      <formula>0</formula>
    </cfRule>
    <cfRule type="cellIs" dxfId="238" priority="256" stopIfTrue="1" operator="lessThan">
      <formula>0</formula>
    </cfRule>
  </conditionalFormatting>
  <conditionalFormatting sqref="BA210:BC210">
    <cfRule type="cellIs" dxfId="237" priority="253" stopIfTrue="1" operator="greaterThan">
      <formula>0</formula>
    </cfRule>
    <cfRule type="cellIs" dxfId="236" priority="254" stopIfTrue="1" operator="lessThan">
      <formula>0</formula>
    </cfRule>
  </conditionalFormatting>
  <conditionalFormatting sqref="BD218:BJ218 BD211:BJ211 BD221:BJ222 BD225:BJ226">
    <cfRule type="cellIs" dxfId="235" priority="241" stopIfTrue="1" operator="greaterThan">
      <formula>0</formula>
    </cfRule>
    <cfRule type="cellIs" dxfId="234" priority="242" stopIfTrue="1" operator="lessThan">
      <formula>0</formula>
    </cfRule>
  </conditionalFormatting>
  <conditionalFormatting sqref="BD345:BJ347">
    <cfRule type="cellIs" dxfId="233" priority="239" stopIfTrue="1" operator="greaterThan">
      <formula>0</formula>
    </cfRule>
    <cfRule type="cellIs" dxfId="232" priority="240" stopIfTrue="1" operator="lessThan">
      <formula>0</formula>
    </cfRule>
  </conditionalFormatting>
  <conditionalFormatting sqref="BD295:BJ295 BD119:BJ119 BD142:BJ143 BD253:BJ253 BD436:BJ436">
    <cfRule type="cellIs" dxfId="231" priority="237" stopIfTrue="1" operator="greaterThan">
      <formula>0</formula>
    </cfRule>
    <cfRule type="cellIs" dxfId="230" priority="238" stopIfTrue="1" operator="lessThan">
      <formula>0</formula>
    </cfRule>
  </conditionalFormatting>
  <conditionalFormatting sqref="BD230:BJ230">
    <cfRule type="cellIs" dxfId="229" priority="235" stopIfTrue="1" operator="greaterThan">
      <formula>0</formula>
    </cfRule>
    <cfRule type="cellIs" dxfId="228" priority="236" stopIfTrue="1" operator="lessThan">
      <formula>0</formula>
    </cfRule>
  </conditionalFormatting>
  <conditionalFormatting sqref="BD210:BJ210">
    <cfRule type="cellIs" dxfId="227" priority="233" stopIfTrue="1" operator="greaterThan">
      <formula>0</formula>
    </cfRule>
    <cfRule type="cellIs" dxfId="226" priority="234" stopIfTrue="1" operator="lessThan">
      <formula>0</formula>
    </cfRule>
  </conditionalFormatting>
  <conditionalFormatting sqref="W345:W347 W119 W253 W436 W295 W5:W6 W142:W143 W218 W211 W225:W226 W221:W222">
    <cfRule type="cellIs" dxfId="225" priority="231" stopIfTrue="1" operator="greaterThan">
      <formula>0</formula>
    </cfRule>
    <cfRule type="cellIs" dxfId="224" priority="232" stopIfTrue="1" operator="lessThan">
      <formula>0</formula>
    </cfRule>
  </conditionalFormatting>
  <conditionalFormatting sqref="W436">
    <cfRule type="cellIs" dxfId="223" priority="229" stopIfTrue="1" operator="greaterThan">
      <formula>0</formula>
    </cfRule>
    <cfRule type="cellIs" dxfId="222" priority="230" stopIfTrue="1" operator="lessThan">
      <formula>0</formula>
    </cfRule>
  </conditionalFormatting>
  <conditionalFormatting sqref="W230">
    <cfRule type="cellIs" dxfId="221" priority="225" stopIfTrue="1" operator="greaterThan">
      <formula>0</formula>
    </cfRule>
    <cfRule type="cellIs" dxfId="220" priority="226" stopIfTrue="1" operator="lessThan">
      <formula>0</formula>
    </cfRule>
  </conditionalFormatting>
  <conditionalFormatting sqref="W218 W225:W226 W221:W222">
    <cfRule type="cellIs" dxfId="219" priority="223" stopIfTrue="1" operator="greaterThan">
      <formula>0</formula>
    </cfRule>
    <cfRule type="cellIs" dxfId="218" priority="224" stopIfTrue="1" operator="lessThan">
      <formula>0</formula>
    </cfRule>
  </conditionalFormatting>
  <conditionalFormatting sqref="W2">
    <cfRule type="cellIs" dxfId="217" priority="221" stopIfTrue="1" operator="equal">
      <formula>"Balance"</formula>
    </cfRule>
    <cfRule type="cellIs" dxfId="216" priority="222" stopIfTrue="1" operator="equal">
      <formula>"Error"</formula>
    </cfRule>
  </conditionalFormatting>
  <conditionalFormatting sqref="X225:X226 AA225:AA226 AA221:AA222 X221:X222 X218:AE218">
    <cfRule type="cellIs" dxfId="215" priority="167" stopIfTrue="1" operator="greaterThan">
      <formula>0</formula>
    </cfRule>
    <cfRule type="cellIs" dxfId="214" priority="168" stopIfTrue="1" operator="lessThan">
      <formula>0</formula>
    </cfRule>
  </conditionalFormatting>
  <conditionalFormatting sqref="X5">
    <cfRule type="cellIs" dxfId="213" priority="161" stopIfTrue="1" operator="greaterThan">
      <formula>0</formula>
    </cfRule>
    <cfRule type="cellIs" dxfId="212" priority="162" stopIfTrue="1" operator="lessThan">
      <formula>0</formula>
    </cfRule>
  </conditionalFormatting>
  <conditionalFormatting sqref="X2">
    <cfRule type="cellIs" dxfId="211" priority="163" stopIfTrue="1" operator="equal">
      <formula>"Balance"</formula>
    </cfRule>
    <cfRule type="cellIs" dxfId="210" priority="164" stopIfTrue="1" operator="equal">
      <formula>"Error"</formula>
    </cfRule>
  </conditionalFormatting>
  <conditionalFormatting sqref="X221:X222 X225:X226 X211 AA221:AA222 AA225:AA226 AA211 X218:AE218">
    <cfRule type="cellIs" dxfId="209" priority="157" stopIfTrue="1" operator="greaterThan">
      <formula>0</formula>
    </cfRule>
    <cfRule type="cellIs" dxfId="208" priority="158" stopIfTrue="1" operator="lessThan">
      <formula>0</formula>
    </cfRule>
  </conditionalFormatting>
  <conditionalFormatting sqref="X436">
    <cfRule type="cellIs" dxfId="207" priority="155" stopIfTrue="1" operator="greaterThan">
      <formula>0</formula>
    </cfRule>
    <cfRule type="cellIs" dxfId="206" priority="156" stopIfTrue="1" operator="lessThan">
      <formula>0</formula>
    </cfRule>
  </conditionalFormatting>
  <conditionalFormatting sqref="X345">
    <cfRule type="cellIs" dxfId="205" priority="153" stopIfTrue="1" operator="greaterThan">
      <formula>0</formula>
    </cfRule>
    <cfRule type="cellIs" dxfId="204" priority="154" stopIfTrue="1" operator="lessThan">
      <formula>0</formula>
    </cfRule>
  </conditionalFormatting>
  <conditionalFormatting sqref="X295 X436 X253 X142:X143 X119 X413">
    <cfRule type="cellIs" dxfId="203" priority="151" stopIfTrue="1" operator="greaterThan">
      <formula>0</formula>
    </cfRule>
    <cfRule type="cellIs" dxfId="202" priority="152" stopIfTrue="1" operator="lessThan">
      <formula>0</formula>
    </cfRule>
  </conditionalFormatting>
  <conditionalFormatting sqref="X346:X347">
    <cfRule type="cellIs" dxfId="201" priority="149" stopIfTrue="1" operator="greaterThan">
      <formula>0</formula>
    </cfRule>
    <cfRule type="cellIs" dxfId="200" priority="150" stopIfTrue="1" operator="lessThan">
      <formula>0</formula>
    </cfRule>
  </conditionalFormatting>
  <conditionalFormatting sqref="X230">
    <cfRule type="cellIs" dxfId="199" priority="147" stopIfTrue="1" operator="greaterThan">
      <formula>0</formula>
    </cfRule>
    <cfRule type="cellIs" dxfId="198" priority="148" stopIfTrue="1" operator="lessThan">
      <formula>0</formula>
    </cfRule>
  </conditionalFormatting>
  <conditionalFormatting sqref="AD210">
    <cfRule type="cellIs" dxfId="197" priority="129" stopIfTrue="1" operator="greaterThan">
      <formula>0</formula>
    </cfRule>
    <cfRule type="cellIs" dxfId="196" priority="130" stopIfTrue="1" operator="lessThan">
      <formula>0</formula>
    </cfRule>
  </conditionalFormatting>
  <conditionalFormatting sqref="AD222 AD225:AD226">
    <cfRule type="cellIs" dxfId="195" priority="127" stopIfTrue="1" operator="greaterThan">
      <formula>0</formula>
    </cfRule>
    <cfRule type="cellIs" dxfId="194" priority="128" stopIfTrue="1" operator="lessThan">
      <formula>0</formula>
    </cfRule>
  </conditionalFormatting>
  <conditionalFormatting sqref="AD5:AE5">
    <cfRule type="cellIs" dxfId="193" priority="121" stopIfTrue="1" operator="greaterThan">
      <formula>0</formula>
    </cfRule>
    <cfRule type="cellIs" dxfId="192" priority="122" stopIfTrue="1" operator="lessThan">
      <formula>0</formula>
    </cfRule>
  </conditionalFormatting>
  <conditionalFormatting sqref="AD2:AE2">
    <cfRule type="cellIs" dxfId="191" priority="123" stopIfTrue="1" operator="equal">
      <formula>"Balance"</formula>
    </cfRule>
    <cfRule type="cellIs" dxfId="190" priority="124" stopIfTrue="1" operator="equal">
      <formula>"Error"</formula>
    </cfRule>
  </conditionalFormatting>
  <conditionalFormatting sqref="AD225:AD226 AD211 AD222">
    <cfRule type="cellIs" dxfId="189" priority="117" stopIfTrue="1" operator="greaterThan">
      <formula>0</formula>
    </cfRule>
    <cfRule type="cellIs" dxfId="188" priority="118" stopIfTrue="1" operator="lessThan">
      <formula>0</formula>
    </cfRule>
  </conditionalFormatting>
  <conditionalFormatting sqref="AD436:AE436">
    <cfRule type="cellIs" dxfId="187" priority="115" stopIfTrue="1" operator="greaterThan">
      <formula>0</formula>
    </cfRule>
    <cfRule type="cellIs" dxfId="186" priority="116" stopIfTrue="1" operator="lessThan">
      <formula>0</formula>
    </cfRule>
  </conditionalFormatting>
  <conditionalFormatting sqref="AD345:AE345">
    <cfRule type="cellIs" dxfId="185" priority="113" stopIfTrue="1" operator="greaterThan">
      <formula>0</formula>
    </cfRule>
    <cfRule type="cellIs" dxfId="184" priority="114" stopIfTrue="1" operator="lessThan">
      <formula>0</formula>
    </cfRule>
  </conditionalFormatting>
  <conditionalFormatting sqref="AE295 AE436 AE253 AE142:AE143 AE119 AE413">
    <cfRule type="cellIs" dxfId="183" priority="111" stopIfTrue="1" operator="greaterThan">
      <formula>0</formula>
    </cfRule>
    <cfRule type="cellIs" dxfId="182" priority="112" stopIfTrue="1" operator="lessThan">
      <formula>0</formula>
    </cfRule>
  </conditionalFormatting>
  <conditionalFormatting sqref="AE346:AE347">
    <cfRule type="cellIs" dxfId="181" priority="109" stopIfTrue="1" operator="greaterThan">
      <formula>0</formula>
    </cfRule>
    <cfRule type="cellIs" dxfId="180" priority="110" stopIfTrue="1" operator="lessThan">
      <formula>0</formula>
    </cfRule>
  </conditionalFormatting>
  <conditionalFormatting sqref="AD295 AD436 AD253 AD142:AD143 AD119 AD413">
    <cfRule type="cellIs" dxfId="179" priority="107" stopIfTrue="1" operator="greaterThan">
      <formula>0</formula>
    </cfRule>
    <cfRule type="cellIs" dxfId="178" priority="108" stopIfTrue="1" operator="lessThan">
      <formula>0</formula>
    </cfRule>
  </conditionalFormatting>
  <conditionalFormatting sqref="AD346:AD347">
    <cfRule type="cellIs" dxfId="177" priority="105" stopIfTrue="1" operator="greaterThan">
      <formula>0</formula>
    </cfRule>
    <cfRule type="cellIs" dxfId="176" priority="106" stopIfTrue="1" operator="lessThan">
      <formula>0</formula>
    </cfRule>
  </conditionalFormatting>
  <conditionalFormatting sqref="AD230">
    <cfRule type="cellIs" dxfId="175" priority="103" stopIfTrue="1" operator="greaterThan">
      <formula>0</formula>
    </cfRule>
    <cfRule type="cellIs" dxfId="174" priority="104" stopIfTrue="1" operator="lessThan">
      <formula>0</formula>
    </cfRule>
  </conditionalFormatting>
  <conditionalFormatting sqref="AE217">
    <cfRule type="cellIs" dxfId="173" priority="101" stopIfTrue="1" operator="greaterThan">
      <formula>0</formula>
    </cfRule>
    <cfRule type="cellIs" dxfId="172" priority="102" stopIfTrue="1" operator="lessThan">
      <formula>0</formula>
    </cfRule>
  </conditionalFormatting>
  <conditionalFormatting sqref="AE210:AE211 AE222 AE225:AE226">
    <cfRule type="cellIs" dxfId="171" priority="99" stopIfTrue="1" operator="greaterThan">
      <formula>0</formula>
    </cfRule>
    <cfRule type="cellIs" dxfId="170" priority="100" stopIfTrue="1" operator="lessThan">
      <formula>0</formula>
    </cfRule>
  </conditionalFormatting>
  <conditionalFormatting sqref="AE230">
    <cfRule type="cellIs" dxfId="169" priority="97" stopIfTrue="1" operator="greaterThan">
      <formula>0</formula>
    </cfRule>
    <cfRule type="cellIs" dxfId="168" priority="98" stopIfTrue="1" operator="lessThan">
      <formula>0</formula>
    </cfRule>
  </conditionalFormatting>
  <conditionalFormatting sqref="AA5">
    <cfRule type="cellIs" dxfId="167" priority="87" stopIfTrue="1" operator="greaterThan">
      <formula>0</formula>
    </cfRule>
    <cfRule type="cellIs" dxfId="166" priority="88" stopIfTrue="1" operator="lessThan">
      <formula>0</formula>
    </cfRule>
  </conditionalFormatting>
  <conditionalFormatting sqref="AA2">
    <cfRule type="cellIs" dxfId="165" priority="89" stopIfTrue="1" operator="equal">
      <formula>"Balance"</formula>
    </cfRule>
    <cfRule type="cellIs" dxfId="164" priority="90" stopIfTrue="1" operator="equal">
      <formula>"Error"</formula>
    </cfRule>
  </conditionalFormatting>
  <conditionalFormatting sqref="AA436">
    <cfRule type="cellIs" dxfId="163" priority="83" stopIfTrue="1" operator="greaterThan">
      <formula>0</formula>
    </cfRule>
    <cfRule type="cellIs" dxfId="162" priority="84" stopIfTrue="1" operator="lessThan">
      <formula>0</formula>
    </cfRule>
  </conditionalFormatting>
  <conditionalFormatting sqref="AA345">
    <cfRule type="cellIs" dxfId="161" priority="81" stopIfTrue="1" operator="greaterThan">
      <formula>0</formula>
    </cfRule>
    <cfRule type="cellIs" dxfId="160" priority="82" stopIfTrue="1" operator="lessThan">
      <formula>0</formula>
    </cfRule>
  </conditionalFormatting>
  <conditionalFormatting sqref="AA295 AA436 AA253 AA142:AA143 AA119 AA413">
    <cfRule type="cellIs" dxfId="159" priority="79" stopIfTrue="1" operator="greaterThan">
      <formula>0</formula>
    </cfRule>
    <cfRule type="cellIs" dxfId="158" priority="80" stopIfTrue="1" operator="lessThan">
      <formula>0</formula>
    </cfRule>
  </conditionalFormatting>
  <conditionalFormatting sqref="AA346:AA347">
    <cfRule type="cellIs" dxfId="157" priority="77" stopIfTrue="1" operator="greaterThan">
      <formula>0</formula>
    </cfRule>
    <cfRule type="cellIs" dxfId="156" priority="78" stopIfTrue="1" operator="lessThan">
      <formula>0</formula>
    </cfRule>
  </conditionalFormatting>
  <conditionalFormatting sqref="AA230">
    <cfRule type="cellIs" dxfId="155" priority="75" stopIfTrue="1" operator="greaterThan">
      <formula>0</formula>
    </cfRule>
    <cfRule type="cellIs" dxfId="154" priority="76" stopIfTrue="1" operator="lessThan">
      <formula>0</formula>
    </cfRule>
  </conditionalFormatting>
  <conditionalFormatting sqref="AA217">
    <cfRule type="cellIs" dxfId="153" priority="67" stopIfTrue="1" operator="greaterThan">
      <formula>0</formula>
    </cfRule>
    <cfRule type="cellIs" dxfId="152" priority="68" stopIfTrue="1" operator="lessThan">
      <formula>0</formula>
    </cfRule>
  </conditionalFormatting>
  <conditionalFormatting sqref="AD221:AE221">
    <cfRule type="cellIs" dxfId="151" priority="63" stopIfTrue="1" operator="greaterThan">
      <formula>0</formula>
    </cfRule>
    <cfRule type="cellIs" dxfId="150" priority="64" stopIfTrue="1" operator="lessThan">
      <formula>0</formula>
    </cfRule>
  </conditionalFormatting>
  <conditionalFormatting sqref="AD221:AE221">
    <cfRule type="cellIs" dxfId="149" priority="61" stopIfTrue="1" operator="greaterThan">
      <formula>0</formula>
    </cfRule>
    <cfRule type="cellIs" dxfId="148" priority="62" stopIfTrue="1" operator="lessThan">
      <formula>0</formula>
    </cfRule>
  </conditionalFormatting>
  <conditionalFormatting sqref="AG218:AH218">
    <cfRule type="cellIs" dxfId="147" priority="59" stopIfTrue="1" operator="greaterThan">
      <formula>0</formula>
    </cfRule>
    <cfRule type="cellIs" dxfId="146" priority="60" stopIfTrue="1" operator="lessThan">
      <formula>0</formula>
    </cfRule>
  </conditionalFormatting>
  <conditionalFormatting sqref="AG218:AH218">
    <cfRule type="cellIs" dxfId="145" priority="57" stopIfTrue="1" operator="greaterThan">
      <formula>0</formula>
    </cfRule>
    <cfRule type="cellIs" dxfId="144" priority="58" stopIfTrue="1" operator="lessThan">
      <formula>0</formula>
    </cfRule>
  </conditionalFormatting>
  <conditionalFormatting sqref="AG210">
    <cfRule type="cellIs" dxfId="143" priority="55" stopIfTrue="1" operator="greaterThan">
      <formula>0</formula>
    </cfRule>
    <cfRule type="cellIs" dxfId="142" priority="56" stopIfTrue="1" operator="lessThan">
      <formula>0</formula>
    </cfRule>
  </conditionalFormatting>
  <conditionalFormatting sqref="AG222 AG225:AG226">
    <cfRule type="cellIs" dxfId="141" priority="53" stopIfTrue="1" operator="greaterThan">
      <formula>0</formula>
    </cfRule>
    <cfRule type="cellIs" dxfId="140" priority="54" stopIfTrue="1" operator="lessThan">
      <formula>0</formula>
    </cfRule>
  </conditionalFormatting>
  <conditionalFormatting sqref="AG5:AH5">
    <cfRule type="cellIs" dxfId="139" priority="49" stopIfTrue="1" operator="greaterThan">
      <formula>0</formula>
    </cfRule>
    <cfRule type="cellIs" dxfId="138" priority="50" stopIfTrue="1" operator="lessThan">
      <formula>0</formula>
    </cfRule>
  </conditionalFormatting>
  <conditionalFormatting sqref="AG2:AH2">
    <cfRule type="cellIs" dxfId="137" priority="51" stopIfTrue="1" operator="equal">
      <formula>"Balance"</formula>
    </cfRule>
    <cfRule type="cellIs" dxfId="136" priority="52" stopIfTrue="1" operator="equal">
      <formula>"Error"</formula>
    </cfRule>
  </conditionalFormatting>
  <conditionalFormatting sqref="AG225:AG226 AG211 AG222">
    <cfRule type="cellIs" dxfId="135" priority="45" stopIfTrue="1" operator="greaterThan">
      <formula>0</formula>
    </cfRule>
    <cfRule type="cellIs" dxfId="134" priority="46" stopIfTrue="1" operator="lessThan">
      <formula>0</formula>
    </cfRule>
  </conditionalFormatting>
  <conditionalFormatting sqref="AG436:AH436">
    <cfRule type="cellIs" dxfId="133" priority="43" stopIfTrue="1" operator="greaterThan">
      <formula>0</formula>
    </cfRule>
    <cfRule type="cellIs" dxfId="132" priority="44" stopIfTrue="1" operator="lessThan">
      <formula>0</formula>
    </cfRule>
  </conditionalFormatting>
  <conditionalFormatting sqref="AG345:AH345">
    <cfRule type="cellIs" dxfId="131" priority="41" stopIfTrue="1" operator="greaterThan">
      <formula>0</formula>
    </cfRule>
    <cfRule type="cellIs" dxfId="130" priority="42" stopIfTrue="1" operator="lessThan">
      <formula>0</formula>
    </cfRule>
  </conditionalFormatting>
  <conditionalFormatting sqref="AH295 AH436 AH253 AH142:AH143 AH119 AH413">
    <cfRule type="cellIs" dxfId="129" priority="39" stopIfTrue="1" operator="greaterThan">
      <formula>0</formula>
    </cfRule>
    <cfRule type="cellIs" dxfId="128" priority="40" stopIfTrue="1" operator="lessThan">
      <formula>0</formula>
    </cfRule>
  </conditionalFormatting>
  <conditionalFormatting sqref="AH346:AH347">
    <cfRule type="cellIs" dxfId="127" priority="37" stopIfTrue="1" operator="greaterThan">
      <formula>0</formula>
    </cfRule>
    <cfRule type="cellIs" dxfId="126" priority="38" stopIfTrue="1" operator="lessThan">
      <formula>0</formula>
    </cfRule>
  </conditionalFormatting>
  <conditionalFormatting sqref="AG295 AG436 AG253 AG142:AG143 AG119 AG413">
    <cfRule type="cellIs" dxfId="125" priority="35" stopIfTrue="1" operator="greaterThan">
      <formula>0</formula>
    </cfRule>
    <cfRule type="cellIs" dxfId="124" priority="36" stopIfTrue="1" operator="lessThan">
      <formula>0</formula>
    </cfRule>
  </conditionalFormatting>
  <conditionalFormatting sqref="AG346:AG347">
    <cfRule type="cellIs" dxfId="123" priority="33" stopIfTrue="1" operator="greaterThan">
      <formula>0</formula>
    </cfRule>
    <cfRule type="cellIs" dxfId="122" priority="34" stopIfTrue="1" operator="lessThan">
      <formula>0</formula>
    </cfRule>
  </conditionalFormatting>
  <conditionalFormatting sqref="AG230">
    <cfRule type="cellIs" dxfId="121" priority="31" stopIfTrue="1" operator="greaterThan">
      <formula>0</formula>
    </cfRule>
    <cfRule type="cellIs" dxfId="120" priority="32" stopIfTrue="1" operator="lessThan">
      <formula>0</formula>
    </cfRule>
  </conditionalFormatting>
  <conditionalFormatting sqref="AH217">
    <cfRule type="cellIs" dxfId="119" priority="29" stopIfTrue="1" operator="greaterThan">
      <formula>0</formula>
    </cfRule>
    <cfRule type="cellIs" dxfId="118" priority="30" stopIfTrue="1" operator="lessThan">
      <formula>0</formula>
    </cfRule>
  </conditionalFormatting>
  <conditionalFormatting sqref="AH210:AH211 AH222 AH225:AH226">
    <cfRule type="cellIs" dxfId="117" priority="27" stopIfTrue="1" operator="greaterThan">
      <formula>0</formula>
    </cfRule>
    <cfRule type="cellIs" dxfId="116" priority="28" stopIfTrue="1" operator="lessThan">
      <formula>0</formula>
    </cfRule>
  </conditionalFormatting>
  <conditionalFormatting sqref="AH230">
    <cfRule type="cellIs" dxfId="115" priority="25" stopIfTrue="1" operator="greaterThan">
      <formula>0</formula>
    </cfRule>
    <cfRule type="cellIs" dxfId="114" priority="26" stopIfTrue="1" operator="lessThan">
      <formula>0</formula>
    </cfRule>
  </conditionalFormatting>
  <conditionalFormatting sqref="AC221">
    <cfRule type="cellIs" dxfId="113" priority="23" stopIfTrue="1" operator="greaterThan">
      <formula>0</formula>
    </cfRule>
    <cfRule type="cellIs" dxfId="112" priority="24" stopIfTrue="1" operator="lessThan">
      <formula>0</formula>
    </cfRule>
  </conditionalFormatting>
  <conditionalFormatting sqref="AC221">
    <cfRule type="cellIs" dxfId="111" priority="21" stopIfTrue="1" operator="greaterThan">
      <formula>0</formula>
    </cfRule>
    <cfRule type="cellIs" dxfId="110" priority="22" stopIfTrue="1" operator="lessThan">
      <formula>0</formula>
    </cfRule>
  </conditionalFormatting>
  <conditionalFormatting sqref="AB221">
    <cfRule type="cellIs" dxfId="109" priority="19" stopIfTrue="1" operator="greaterThan">
      <formula>0</formula>
    </cfRule>
    <cfRule type="cellIs" dxfId="108" priority="20" stopIfTrue="1" operator="lessThan">
      <formula>0</formula>
    </cfRule>
  </conditionalFormatting>
  <conditionalFormatting sqref="AB5">
    <cfRule type="cellIs" dxfId="107" priority="15" stopIfTrue="1" operator="greaterThan">
      <formula>0</formula>
    </cfRule>
    <cfRule type="cellIs" dxfId="106" priority="16" stopIfTrue="1" operator="lessThan">
      <formula>0</formula>
    </cfRule>
  </conditionalFormatting>
  <conditionalFormatting sqref="AB2">
    <cfRule type="cellIs" dxfId="105" priority="17" stopIfTrue="1" operator="equal">
      <formula>"Balance"</formula>
    </cfRule>
    <cfRule type="cellIs" dxfId="104" priority="18" stopIfTrue="1" operator="equal">
      <formula>"Error"</formula>
    </cfRule>
  </conditionalFormatting>
  <conditionalFormatting sqref="AB221">
    <cfRule type="cellIs" dxfId="103" priority="13" stopIfTrue="1" operator="greaterThan">
      <formula>0</formula>
    </cfRule>
    <cfRule type="cellIs" dxfId="102" priority="14" stopIfTrue="1" operator="lessThan">
      <formula>0</formula>
    </cfRule>
  </conditionalFormatting>
  <conditionalFormatting sqref="AB436">
    <cfRule type="cellIs" dxfId="101" priority="11" stopIfTrue="1" operator="greaterThan">
      <formula>0</formula>
    </cfRule>
    <cfRule type="cellIs" dxfId="100" priority="12" stopIfTrue="1" operator="lessThan">
      <formula>0</formula>
    </cfRule>
  </conditionalFormatting>
  <conditionalFormatting sqref="AB345">
    <cfRule type="cellIs" dxfId="99" priority="9" stopIfTrue="1" operator="greaterThan">
      <formula>0</formula>
    </cfRule>
    <cfRule type="cellIs" dxfId="98" priority="10" stopIfTrue="1" operator="lessThan">
      <formula>0</formula>
    </cfRule>
  </conditionalFormatting>
  <conditionalFormatting sqref="AB295 AB436 AB253 AB142:AB143 AB119 AB413">
    <cfRule type="cellIs" dxfId="97" priority="7" stopIfTrue="1" operator="greaterThan">
      <formula>0</formula>
    </cfRule>
    <cfRule type="cellIs" dxfId="96" priority="8" stopIfTrue="1" operator="lessThan">
      <formula>0</formula>
    </cfRule>
  </conditionalFormatting>
  <conditionalFormatting sqref="AB346:AB347">
    <cfRule type="cellIs" dxfId="95" priority="5" stopIfTrue="1" operator="greaterThan">
      <formula>0</formula>
    </cfRule>
    <cfRule type="cellIs" dxfId="94" priority="6" stopIfTrue="1" operator="lessThan">
      <formula>0</formula>
    </cfRule>
  </conditionalFormatting>
  <conditionalFormatting sqref="AB222 AB211 AB225:AB226">
    <cfRule type="cellIs" dxfId="93" priority="3" stopIfTrue="1" operator="greaterThan">
      <formula>0</formula>
    </cfRule>
    <cfRule type="cellIs" dxfId="92" priority="4" stopIfTrue="1" operator="lessThan">
      <formula>0</formula>
    </cfRule>
  </conditionalFormatting>
  <conditionalFormatting sqref="AB230">
    <cfRule type="cellIs" dxfId="91" priority="1" stopIfTrue="1" operator="greaterThan">
      <formula>0</formula>
    </cfRule>
    <cfRule type="cellIs" dxfId="90" priority="2" stopIfTrue="1" operator="lessThan">
      <formula>0</formula>
    </cfRule>
  </conditionalFormatting>
  <pageMargins left="0.74803149606299202" right="0.74803149606299202" top="0.511811023622047" bottom="0.31496062992126" header="0.23622047244094499" footer="0.118110236220472"/>
  <pageSetup paperSize="9" scale="65" orientation="landscape" r:id="rId1"/>
  <headerFooter alignWithMargins="0">
    <oddHeader>&amp;L&amp;"MS Sans Serif,Bold"&amp;14Super Cheap Auto - Model&amp;RGeorge Batsakis
(+61) 3 9679 1245</oddHeader>
    <oddFooter>&amp;L&amp;"MS Sans Serif,Bold"Goldman Sachs Australia (Confidential)&amp;C&amp;D&amp;RPage &amp;P</oddFooter>
  </headerFooter>
  <customProperties>
    <customPr name="Qube.Worksheet.Visibility" r:id="rId2"/>
  </customProperties>
  <ignoredErrors>
    <ignoredError sqref="V20 AB20:AB28 AC365:AF370 T365:AB373 H373:Q373 AB357:AB360 AC372:AF373 AC371 AE371:AF371" formula="1"/>
  </ignoredErrors>
  <drawing r:id="rId3"/>
  <legacy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4"/>
  </sheetPr>
  <dimension ref="A1:BL87"/>
  <sheetViews>
    <sheetView topLeftCell="B1" zoomScale="85" zoomScaleNormal="85" workbookViewId="0">
      <selection activeCell="AF22" sqref="AF22"/>
    </sheetView>
  </sheetViews>
  <sheetFormatPr defaultColWidth="9.140625" defaultRowHeight="12.75" outlineLevelCol="1"/>
  <cols>
    <col min="1" max="1" width="7.5703125" style="122" hidden="1" customWidth="1"/>
    <col min="2" max="2" width="19" style="122" customWidth="1"/>
    <col min="3" max="4" width="0" style="122" hidden="1" customWidth="1" outlineLevel="1"/>
    <col min="5" max="5" width="9.140625" style="122" collapsed="1"/>
    <col min="6" max="7" width="0" style="122" hidden="1" customWidth="1" outlineLevel="1"/>
    <col min="8" max="8" width="9.140625" style="122" collapsed="1"/>
    <col min="9" max="10" width="0" style="122" hidden="1" customWidth="1" outlineLevel="1"/>
    <col min="11" max="11" width="9.140625" style="433" collapsed="1"/>
    <col min="12" max="13" width="0" style="122" hidden="1" customWidth="1" outlineLevel="1"/>
    <col min="14" max="14" width="9.140625" style="122" collapsed="1"/>
    <col min="15" max="16" width="0" style="122" hidden="1" customWidth="1" outlineLevel="1"/>
    <col min="17" max="17" width="9.140625" style="122" collapsed="1"/>
    <col min="18" max="19" width="9.140625" style="122" hidden="1" customWidth="1" outlineLevel="1"/>
    <col min="20" max="20" width="13" style="122" customWidth="1" collapsed="1"/>
    <col min="21" max="22" width="9.140625" style="122" hidden="1" customWidth="1" outlineLevel="1"/>
    <col min="23" max="23" width="13" style="122" customWidth="1" collapsed="1"/>
    <col min="24" max="25" width="9.140625" style="122" hidden="1" customWidth="1" outlineLevel="1"/>
    <col min="26" max="26" width="13" style="122" customWidth="1" collapsed="1"/>
    <col min="27" max="28" width="9.140625" style="122" hidden="1" customWidth="1" outlineLevel="1"/>
    <col min="29" max="29" width="13" style="435" customWidth="1" collapsed="1"/>
    <col min="30" max="31" width="9.140625" style="122" hidden="1" customWidth="1" outlineLevel="1"/>
    <col min="32" max="32" width="9.140625" style="122" collapsed="1"/>
    <col min="33" max="34" width="0" style="122" hidden="1" customWidth="1" outlineLevel="1"/>
    <col min="35" max="35" width="9.140625" style="122" collapsed="1"/>
    <col min="36" max="37" width="0" style="122" hidden="1" customWidth="1" outlineLevel="1"/>
    <col min="38" max="38" width="9.140625" style="122" collapsed="1"/>
    <col min="39" max="40" width="0" style="122" hidden="1" customWidth="1" outlineLevel="1"/>
    <col min="41" max="41" width="9.140625" style="122" collapsed="1"/>
    <col min="42" max="43" width="0" style="122" hidden="1" customWidth="1" outlineLevel="1"/>
    <col min="44" max="44" width="9.140625" style="122" collapsed="1"/>
    <col min="45" max="46" width="0" style="122" hidden="1" customWidth="1" outlineLevel="1"/>
    <col min="47" max="47" width="9.140625" style="122" collapsed="1"/>
    <col min="48" max="49" width="0" style="122" hidden="1" customWidth="1" outlineLevel="1"/>
    <col min="50" max="50" width="9.140625" style="122" collapsed="1"/>
    <col min="51" max="52" width="0" style="122" hidden="1" customWidth="1" outlineLevel="1"/>
    <col min="53" max="53" width="9.140625" style="122" collapsed="1"/>
    <col min="54" max="55" width="0" style="122" hidden="1" customWidth="1" outlineLevel="1"/>
    <col min="56" max="56" width="9.140625" style="122" collapsed="1"/>
    <col min="57" max="58" width="0" style="122" hidden="1" customWidth="1" outlineLevel="1"/>
    <col min="59" max="59" width="9.140625" style="122" collapsed="1"/>
    <col min="60" max="61" width="0" style="122" hidden="1" customWidth="1" outlineLevel="1"/>
    <col min="62" max="62" width="9.140625" style="122" collapsed="1"/>
    <col min="63" max="16384" width="9.140625" style="122"/>
  </cols>
  <sheetData>
    <row r="1" spans="2:64" s="183" customFormat="1">
      <c r="K1" s="392"/>
      <c r="L1" s="183" t="s">
        <v>826</v>
      </c>
      <c r="AC1" s="393"/>
    </row>
    <row r="2" spans="2:64" s="183" customFormat="1" ht="51">
      <c r="C2" s="394"/>
      <c r="D2" s="394"/>
      <c r="E2" s="394" t="s">
        <v>256</v>
      </c>
      <c r="F2" s="394"/>
      <c r="G2" s="394"/>
      <c r="H2" s="394" t="s">
        <v>256</v>
      </c>
      <c r="I2" s="394" t="s">
        <v>280</v>
      </c>
      <c r="J2" s="394" t="s">
        <v>280</v>
      </c>
      <c r="K2" s="395" t="s">
        <v>256</v>
      </c>
      <c r="L2" s="394" t="s">
        <v>280</v>
      </c>
      <c r="M2" s="394" t="s">
        <v>280</v>
      </c>
      <c r="N2" s="394" t="s">
        <v>256</v>
      </c>
      <c r="O2" s="394" t="s">
        <v>280</v>
      </c>
      <c r="P2" s="394" t="s">
        <v>280</v>
      </c>
      <c r="Q2" s="394" t="s">
        <v>256</v>
      </c>
      <c r="R2" s="394" t="s">
        <v>280</v>
      </c>
      <c r="S2" s="396" t="s">
        <v>784</v>
      </c>
      <c r="T2" s="394"/>
      <c r="U2" s="394"/>
      <c r="V2" s="396" t="s">
        <v>785</v>
      </c>
      <c r="W2" s="394"/>
      <c r="X2" s="394"/>
      <c r="Y2" s="396" t="s">
        <v>785</v>
      </c>
      <c r="Z2" s="394"/>
      <c r="AA2" s="394"/>
      <c r="AB2" s="396" t="s">
        <v>785</v>
      </c>
      <c r="AC2" s="397"/>
      <c r="AD2" s="394"/>
      <c r="AE2" s="396" t="s">
        <v>785</v>
      </c>
      <c r="AF2" s="398"/>
      <c r="AG2" s="394"/>
      <c r="AH2" s="396" t="s">
        <v>785</v>
      </c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398"/>
      <c r="BB2" s="398"/>
      <c r="BC2" s="398"/>
      <c r="BD2" s="398"/>
      <c r="BE2" s="398"/>
      <c r="BF2" s="398"/>
      <c r="BG2" s="398"/>
      <c r="BH2" s="398"/>
      <c r="BI2" s="398"/>
      <c r="BJ2" s="398"/>
      <c r="BK2" s="399"/>
      <c r="BL2" s="205"/>
    </row>
    <row r="3" spans="2:64" s="183" customFormat="1">
      <c r="C3" s="399" t="s">
        <v>427</v>
      </c>
      <c r="D3" s="399" t="s">
        <v>428</v>
      </c>
      <c r="E3" s="399" t="str">
        <f>MODEL!E3</f>
        <v>FY17</v>
      </c>
      <c r="F3" s="399" t="str">
        <f>MODEL!F3</f>
        <v>1H18</v>
      </c>
      <c r="G3" s="399" t="str">
        <f>MODEL!G3</f>
        <v>2H18</v>
      </c>
      <c r="H3" s="399" t="str">
        <f>MODEL!H3</f>
        <v>FY18</v>
      </c>
      <c r="I3" s="399" t="str">
        <f>MODEL!I3</f>
        <v>1H19</v>
      </c>
      <c r="J3" s="399" t="str">
        <f>MODEL!J3</f>
        <v>2H19</v>
      </c>
      <c r="K3" s="399" t="str">
        <f>MODEL!K3</f>
        <v>FY19</v>
      </c>
      <c r="L3" s="399" t="str">
        <f>MODEL!L3</f>
        <v>1HFY</v>
      </c>
      <c r="M3" s="399" t="str">
        <f>MODEL!M3</f>
        <v>2HFY</v>
      </c>
      <c r="N3" s="399" t="str">
        <f>MODEL!N3</f>
        <v>FY20</v>
      </c>
      <c r="O3" s="399" t="str">
        <f>MODEL!O3</f>
        <v>1H21</v>
      </c>
      <c r="P3" s="399" t="str">
        <f>MODEL!P3</f>
        <v>2H21</v>
      </c>
      <c r="Q3" s="399" t="str">
        <f>MODEL!Q3</f>
        <v>FY21</v>
      </c>
      <c r="R3" s="399" t="str">
        <f>MODEL!R3</f>
        <v>1H22</v>
      </c>
      <c r="S3" s="399" t="str">
        <f>MODEL!S3</f>
        <v>2H22</v>
      </c>
      <c r="T3" s="399" t="str">
        <f>MODEL!T3</f>
        <v>FY22</v>
      </c>
      <c r="U3" s="399" t="str">
        <f>MODEL!U3</f>
        <v>1H23</v>
      </c>
      <c r="V3" s="399" t="str">
        <f>MODEL!V3</f>
        <v>2H23</v>
      </c>
      <c r="W3" s="399" t="str">
        <f>MODEL!W3</f>
        <v>FY23</v>
      </c>
      <c r="X3" s="399" t="str">
        <f>MODEL!X3</f>
        <v>1H24</v>
      </c>
      <c r="Y3" s="399" t="str">
        <f>MODEL!Y3</f>
        <v>2H24</v>
      </c>
      <c r="Z3" s="399" t="str">
        <f>MODEL!Z3</f>
        <v>FY24</v>
      </c>
      <c r="AA3" s="399" t="str">
        <f>MODEL!AA3</f>
        <v>1H25</v>
      </c>
      <c r="AB3" s="399" t="str">
        <f>MODEL!AB3</f>
        <v>2H25</v>
      </c>
      <c r="AC3" s="400" t="str">
        <f>MODEL!AC3</f>
        <v>FY25</v>
      </c>
      <c r="AD3" s="399" t="str">
        <f>MODEL!AD3</f>
        <v>1H26</v>
      </c>
      <c r="AE3" s="399" t="str">
        <f>MODEL!AE3</f>
        <v>2H26</v>
      </c>
      <c r="AF3" s="399" t="str">
        <f>MODEL!AF3</f>
        <v>FY26e</v>
      </c>
      <c r="AG3" s="399" t="str">
        <f>MODEL!AG3</f>
        <v>1H27</v>
      </c>
      <c r="AH3" s="399" t="str">
        <f>MODEL!AH3</f>
        <v>2H27</v>
      </c>
      <c r="AI3" s="399" t="str">
        <f>MODEL!AI3</f>
        <v>FY27e</v>
      </c>
      <c r="AJ3" s="399"/>
      <c r="AK3" s="399"/>
      <c r="AL3" s="399" t="str">
        <f>MODEL!AL3</f>
        <v>FY28e</v>
      </c>
      <c r="AM3" s="399"/>
      <c r="AN3" s="399"/>
      <c r="AO3" s="399" t="str">
        <f>MODEL!AO3</f>
        <v>FY29e</v>
      </c>
      <c r="AP3" s="399"/>
      <c r="AQ3" s="399"/>
      <c r="AR3" s="399" t="str">
        <f>MODEL!AR3</f>
        <v>FY30e</v>
      </c>
      <c r="AS3" s="399"/>
      <c r="AT3" s="399"/>
      <c r="AU3" s="399" t="str">
        <f>MODEL!AU3</f>
        <v>FY31e</v>
      </c>
      <c r="AV3" s="399"/>
      <c r="AW3" s="399"/>
      <c r="AX3" s="399" t="str">
        <f>MODEL!AX3</f>
        <v>FY32e</v>
      </c>
      <c r="AY3" s="399"/>
      <c r="AZ3" s="399"/>
      <c r="BA3" s="399" t="str">
        <f>MODEL!BA3</f>
        <v>FY33e</v>
      </c>
      <c r="BB3" s="399"/>
      <c r="BC3" s="399"/>
      <c r="BD3" s="399" t="str">
        <f>MODEL!BD3</f>
        <v>FY34e</v>
      </c>
      <c r="BE3" s="399"/>
      <c r="BF3" s="399"/>
      <c r="BG3" s="399" t="str">
        <f>MODEL!BG3</f>
        <v>FY35e</v>
      </c>
      <c r="BH3" s="399"/>
      <c r="BI3" s="399"/>
      <c r="BJ3" s="399" t="str">
        <f>MODEL!BJ3</f>
        <v>FY36e</v>
      </c>
      <c r="BK3" s="399"/>
      <c r="BL3" s="399"/>
    </row>
    <row r="4" spans="2:64" s="401" customFormat="1">
      <c r="B4" s="401" t="s">
        <v>829</v>
      </c>
      <c r="C4" s="402"/>
      <c r="D4" s="402"/>
      <c r="E4" s="402"/>
      <c r="F4" s="402"/>
      <c r="G4" s="402"/>
      <c r="H4" s="402"/>
      <c r="I4" s="402"/>
      <c r="J4" s="402"/>
      <c r="K4" s="403"/>
      <c r="L4" s="404"/>
      <c r="M4" s="404"/>
      <c r="N4" s="404"/>
      <c r="O4" s="404"/>
      <c r="P4" s="404"/>
      <c r="Q4" s="404"/>
      <c r="R4" s="404"/>
      <c r="S4" s="404"/>
      <c r="T4" s="402"/>
      <c r="U4" s="404"/>
      <c r="V4" s="404"/>
      <c r="W4" s="402"/>
      <c r="X4" s="404"/>
      <c r="Y4" s="404"/>
      <c r="Z4" s="402"/>
      <c r="AA4" s="404"/>
      <c r="AB4" s="404"/>
      <c r="AC4" s="1384"/>
      <c r="AD4" s="404"/>
      <c r="AE4" s="404"/>
      <c r="AF4" s="402"/>
      <c r="AG4" s="404"/>
      <c r="AH4" s="404"/>
      <c r="AI4" s="402"/>
      <c r="AJ4" s="402"/>
      <c r="AK4" s="402"/>
      <c r="AL4" s="402"/>
      <c r="AM4" s="402"/>
      <c r="AN4" s="402"/>
      <c r="AO4" s="402"/>
      <c r="AP4" s="402"/>
      <c r="AQ4" s="402"/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2"/>
      <c r="BC4" s="402"/>
      <c r="BD4" s="402"/>
      <c r="BE4" s="402"/>
      <c r="BF4" s="402"/>
      <c r="BG4" s="402"/>
      <c r="BH4" s="402"/>
      <c r="BI4" s="402"/>
      <c r="BJ4" s="402"/>
      <c r="BK4" s="402"/>
      <c r="BL4" s="402"/>
    </row>
    <row r="5" spans="2:64" s="377" customFormat="1">
      <c r="B5" s="377" t="s">
        <v>835</v>
      </c>
      <c r="K5" s="405">
        <v>270.39999999999998</v>
      </c>
      <c r="N5" s="377">
        <v>267.89999999999998</v>
      </c>
      <c r="Q5" s="377">
        <v>227.8</v>
      </c>
      <c r="T5" s="406">
        <f>Q10</f>
        <v>219.9</v>
      </c>
      <c r="U5" s="407">
        <f>T10</f>
        <v>235.7</v>
      </c>
      <c r="V5" s="407"/>
      <c r="W5" s="406">
        <f>T10</f>
        <v>235.7</v>
      </c>
      <c r="X5" s="406">
        <f>W10</f>
        <v>270.39999999999992</v>
      </c>
      <c r="Y5" s="407"/>
      <c r="Z5" s="406">
        <f>W10</f>
        <v>270.39999999999992</v>
      </c>
      <c r="AA5" s="406">
        <f>Z10</f>
        <v>298.69999999999993</v>
      </c>
      <c r="AB5" s="407"/>
      <c r="AC5" s="408">
        <f>Z10</f>
        <v>298.69999999999993</v>
      </c>
      <c r="AD5" s="407">
        <f>AC10</f>
        <v>356.59999999999997</v>
      </c>
      <c r="AE5" s="407"/>
      <c r="AF5" s="407">
        <f>AC10</f>
        <v>356.59999999999997</v>
      </c>
      <c r="AG5" s="407">
        <f>AF10</f>
        <v>406.45357125869668</v>
      </c>
      <c r="AH5" s="407"/>
      <c r="AI5" s="407">
        <f>AF10</f>
        <v>406.45357125869668</v>
      </c>
      <c r="AJ5" s="407"/>
      <c r="AK5" s="407"/>
      <c r="AL5" s="407">
        <f>AI10</f>
        <v>445.43953208046406</v>
      </c>
      <c r="AM5" s="407"/>
      <c r="AN5" s="407"/>
      <c r="AO5" s="407">
        <f>AL10</f>
        <v>472.73770736078239</v>
      </c>
      <c r="AP5" s="407"/>
      <c r="AQ5" s="407"/>
      <c r="AR5" s="407">
        <f>AO10</f>
        <v>495.63835510560534</v>
      </c>
      <c r="AS5" s="407"/>
      <c r="AT5" s="407"/>
      <c r="AU5" s="407">
        <f>AR10</f>
        <v>514.64336931483444</v>
      </c>
      <c r="AV5" s="407"/>
      <c r="AW5" s="407"/>
      <c r="AX5" s="407">
        <f>AU10</f>
        <v>530.43159127726449</v>
      </c>
      <c r="AY5" s="407"/>
      <c r="AZ5" s="407"/>
      <c r="BA5" s="407">
        <f>AX10</f>
        <v>543.72113897528288</v>
      </c>
      <c r="BB5" s="407"/>
      <c r="BC5" s="407"/>
      <c r="BD5" s="407">
        <f>BA10</f>
        <v>554.26530677200253</v>
      </c>
      <c r="BE5" s="407"/>
      <c r="BF5" s="407"/>
      <c r="BG5" s="407">
        <f>BD10</f>
        <v>561.80350897386529</v>
      </c>
      <c r="BH5" s="407"/>
      <c r="BI5" s="407"/>
      <c r="BJ5" s="407">
        <f t="shared" ref="BJ5" si="0">BG10</f>
        <v>566.06082186772778</v>
      </c>
    </row>
    <row r="6" spans="2:64" s="377" customFormat="1">
      <c r="B6" s="377" t="s">
        <v>830</v>
      </c>
      <c r="K6" s="405">
        <v>53.4</v>
      </c>
      <c r="N6" s="377">
        <v>40.6</v>
      </c>
      <c r="Q6" s="377">
        <v>62</v>
      </c>
      <c r="T6" s="409">
        <v>82</v>
      </c>
      <c r="U6" s="407">
        <f>-U49*0.7</f>
        <v>40.109999999999992</v>
      </c>
      <c r="V6" s="407"/>
      <c r="W6" s="409">
        <v>109</v>
      </c>
      <c r="X6" s="406">
        <f>-X49*0.7</f>
        <v>58.169999999999995</v>
      </c>
      <c r="Y6" s="407"/>
      <c r="Z6" s="409">
        <v>110</v>
      </c>
      <c r="AA6" s="406">
        <f>AA10-AA7-AA5</f>
        <v>73.500000000000057</v>
      </c>
      <c r="AB6" s="407"/>
      <c r="AC6" s="410">
        <v>143.80000000000001</v>
      </c>
      <c r="AD6" s="407">
        <f>-AD49*0.7</f>
        <v>53.903521794428698</v>
      </c>
      <c r="AE6" s="407"/>
      <c r="AF6" s="407">
        <f>-AF49*0.8</f>
        <v>123.20804981583704</v>
      </c>
      <c r="AG6" s="407">
        <f>-AG49*0.7</f>
        <v>56.49499461713345</v>
      </c>
      <c r="AH6" s="407"/>
      <c r="AI6" s="407">
        <f t="shared" ref="AI6:BJ6" si="1">-AI49*0.8</f>
        <v>129.13141626773361</v>
      </c>
      <c r="AJ6" s="407">
        <f t="shared" si="1"/>
        <v>0</v>
      </c>
      <c r="AK6" s="407">
        <f t="shared" si="1"/>
        <v>0</v>
      </c>
      <c r="AL6" s="407">
        <f>-AL49*0.8</f>
        <v>134.91843537238893</v>
      </c>
      <c r="AM6" s="407">
        <f t="shared" si="1"/>
        <v>0</v>
      </c>
      <c r="AN6" s="407">
        <f t="shared" si="1"/>
        <v>0</v>
      </c>
      <c r="AO6" s="407">
        <f t="shared" si="1"/>
        <v>140.95380392315209</v>
      </c>
      <c r="AP6" s="407">
        <f t="shared" si="1"/>
        <v>0</v>
      </c>
      <c r="AQ6" s="407">
        <f t="shared" si="1"/>
        <v>0</v>
      </c>
      <c r="AR6" s="407">
        <f t="shared" si="1"/>
        <v>146.748769258246</v>
      </c>
      <c r="AS6" s="407">
        <f t="shared" si="1"/>
        <v>0</v>
      </c>
      <c r="AT6" s="407">
        <f t="shared" si="1"/>
        <v>0</v>
      </c>
      <c r="AU6" s="407">
        <f t="shared" si="1"/>
        <v>152.19626974629924</v>
      </c>
      <c r="AV6" s="407">
        <f t="shared" si="1"/>
        <v>0</v>
      </c>
      <c r="AW6" s="407">
        <f t="shared" si="1"/>
        <v>0</v>
      </c>
      <c r="AX6" s="407">
        <f t="shared" si="1"/>
        <v>157.22633285266986</v>
      </c>
      <c r="AY6" s="407">
        <f t="shared" si="1"/>
        <v>0</v>
      </c>
      <c r="AZ6" s="407">
        <f t="shared" si="1"/>
        <v>0</v>
      </c>
      <c r="BA6" s="407">
        <f t="shared" si="1"/>
        <v>162.42506962102073</v>
      </c>
      <c r="BB6" s="407">
        <f t="shared" si="1"/>
        <v>0</v>
      </c>
      <c r="BC6" s="407">
        <f t="shared" si="1"/>
        <v>0</v>
      </c>
      <c r="BD6" s="407">
        <f t="shared" si="1"/>
        <v>167.79818627136748</v>
      </c>
      <c r="BE6" s="407">
        <f t="shared" si="1"/>
        <v>0</v>
      </c>
      <c r="BF6" s="407">
        <f t="shared" si="1"/>
        <v>0</v>
      </c>
      <c r="BG6" s="407">
        <f t="shared" si="1"/>
        <v>173.35158277612618</v>
      </c>
      <c r="BH6" s="407">
        <f t="shared" si="1"/>
        <v>0</v>
      </c>
      <c r="BI6" s="407">
        <f t="shared" si="1"/>
        <v>0</v>
      </c>
      <c r="BJ6" s="407">
        <f t="shared" si="1"/>
        <v>179.0913594410373</v>
      </c>
    </row>
    <row r="7" spans="2:64" s="377" customFormat="1">
      <c r="B7" s="377" t="s">
        <v>831</v>
      </c>
      <c r="K7" s="405">
        <v>-56.3</v>
      </c>
      <c r="N7" s="377">
        <v>-55.9</v>
      </c>
      <c r="Q7" s="377">
        <v>-69.5</v>
      </c>
      <c r="T7" s="409">
        <v>-65.7</v>
      </c>
      <c r="U7" s="407">
        <f>U13-T13</f>
        <v>-25.899999999999977</v>
      </c>
      <c r="V7" s="407"/>
      <c r="W7" s="409">
        <v>-74.400000000000006</v>
      </c>
      <c r="X7" s="406">
        <f>Z7/2</f>
        <v>-40.75</v>
      </c>
      <c r="Y7" s="407"/>
      <c r="Z7" s="409">
        <v>-81.5</v>
      </c>
      <c r="AA7" s="409">
        <f>-19-7.8-13.7</f>
        <v>-40.5</v>
      </c>
      <c r="AB7" s="407"/>
      <c r="AC7" s="410">
        <v>-86.1</v>
      </c>
      <c r="AD7" s="407">
        <f>AF7/2</f>
        <v>-36.67723927857017</v>
      </c>
      <c r="AE7" s="407"/>
      <c r="AF7" s="407">
        <f>AF74-AF68-AF61</f>
        <v>-73.354478557140339</v>
      </c>
      <c r="AG7" s="407">
        <f>AI7/2</f>
        <v>-45.072727722983103</v>
      </c>
      <c r="AH7" s="407"/>
      <c r="AI7" s="407">
        <f t="shared" ref="AI7:AX7" si="2">AI74-AI68-AI61</f>
        <v>-90.145455445966206</v>
      </c>
      <c r="AJ7" s="407"/>
      <c r="AK7" s="407"/>
      <c r="AL7" s="407">
        <f>AL74-AL68-AL61</f>
        <v>-107.62026009207062</v>
      </c>
      <c r="AM7" s="407"/>
      <c r="AN7" s="407"/>
      <c r="AO7" s="407">
        <f>AO74-AO68-AO61</f>
        <v>-118.05315617832912</v>
      </c>
      <c r="AP7" s="407"/>
      <c r="AQ7" s="407"/>
      <c r="AR7" s="407">
        <f t="shared" si="2"/>
        <v>-127.74375504901695</v>
      </c>
      <c r="AS7" s="407"/>
      <c r="AT7" s="407"/>
      <c r="AU7" s="407">
        <f t="shared" si="2"/>
        <v>-136.40804778386911</v>
      </c>
      <c r="AV7" s="407"/>
      <c r="AW7" s="407"/>
      <c r="AX7" s="407">
        <f t="shared" si="2"/>
        <v>-143.93678515465143</v>
      </c>
      <c r="AY7" s="407"/>
      <c r="AZ7" s="407"/>
      <c r="BA7" s="407">
        <f t="shared" ref="BA7:BD7" si="3">BA74-BA68-BA61</f>
        <v>-151.88090182430113</v>
      </c>
      <c r="BB7" s="407"/>
      <c r="BC7" s="407"/>
      <c r="BD7" s="407">
        <f t="shared" si="3"/>
        <v>-160.25998406950475</v>
      </c>
      <c r="BE7" s="407"/>
      <c r="BF7" s="407"/>
      <c r="BG7" s="407">
        <f t="shared" ref="BG7:BJ7" si="4">BG74-BG68-BG61</f>
        <v>-169.09426988226369</v>
      </c>
      <c r="BH7" s="407"/>
      <c r="BI7" s="407"/>
      <c r="BJ7" s="407">
        <f t="shared" si="4"/>
        <v>-178.40466718235081</v>
      </c>
    </row>
    <row r="8" spans="2:64" s="377" customFormat="1">
      <c r="B8" s="377" t="s">
        <v>832</v>
      </c>
      <c r="K8" s="405">
        <v>-0.2</v>
      </c>
      <c r="N8" s="377">
        <v>-0.9</v>
      </c>
      <c r="Q8" s="377">
        <v>-0.4</v>
      </c>
      <c r="T8" s="409">
        <v>-0.2</v>
      </c>
      <c r="U8" s="407"/>
      <c r="V8" s="407"/>
      <c r="W8" s="409">
        <v>-0.1</v>
      </c>
      <c r="X8" s="406"/>
      <c r="Y8" s="407"/>
      <c r="Z8" s="409">
        <v>0</v>
      </c>
      <c r="AA8" s="406"/>
      <c r="AB8" s="407"/>
      <c r="AC8" s="410">
        <v>0</v>
      </c>
      <c r="AD8" s="407"/>
      <c r="AE8" s="407"/>
      <c r="AF8" s="407">
        <v>0</v>
      </c>
      <c r="AG8" s="407"/>
      <c r="AH8" s="407"/>
      <c r="AI8" s="407">
        <v>0</v>
      </c>
      <c r="AJ8" s="407"/>
      <c r="AK8" s="407"/>
      <c r="AL8" s="407">
        <v>0</v>
      </c>
      <c r="AM8" s="407"/>
      <c r="AN8" s="407"/>
      <c r="AO8" s="407">
        <v>0</v>
      </c>
      <c r="AP8" s="407"/>
      <c r="AQ8" s="407"/>
      <c r="AR8" s="407">
        <v>0</v>
      </c>
      <c r="AS8" s="407"/>
      <c r="AT8" s="407"/>
      <c r="AU8" s="407">
        <v>0</v>
      </c>
      <c r="AV8" s="407"/>
      <c r="AW8" s="407"/>
      <c r="AX8" s="407">
        <v>0</v>
      </c>
      <c r="AY8" s="407"/>
      <c r="AZ8" s="407"/>
      <c r="BA8" s="407">
        <v>0</v>
      </c>
      <c r="BB8" s="407"/>
      <c r="BC8" s="407"/>
      <c r="BD8" s="407">
        <v>0</v>
      </c>
      <c r="BE8" s="407"/>
      <c r="BF8" s="407"/>
      <c r="BG8" s="407">
        <v>0</v>
      </c>
      <c r="BH8" s="407"/>
      <c r="BI8" s="407"/>
      <c r="BJ8" s="407">
        <v>0</v>
      </c>
    </row>
    <row r="9" spans="2:64" s="377" customFormat="1">
      <c r="B9" s="377" t="s">
        <v>836</v>
      </c>
      <c r="K9" s="405">
        <v>0.6</v>
      </c>
      <c r="T9" s="409">
        <v>-0.3</v>
      </c>
      <c r="U9" s="446"/>
      <c r="V9" s="446"/>
      <c r="W9" s="409">
        <v>0.2</v>
      </c>
      <c r="X9" s="409"/>
      <c r="Y9" s="446"/>
      <c r="Z9" s="409">
        <v>-0.2</v>
      </c>
      <c r="AA9" s="406"/>
      <c r="AB9" s="446"/>
      <c r="AC9" s="410">
        <v>0.2</v>
      </c>
      <c r="AD9" s="407"/>
      <c r="AE9" s="407"/>
      <c r="AF9" s="407"/>
      <c r="AG9" s="407"/>
      <c r="AH9" s="407"/>
      <c r="AI9" s="407"/>
      <c r="AJ9" s="407"/>
      <c r="AK9" s="407"/>
      <c r="AL9" s="407"/>
      <c r="AM9" s="407"/>
      <c r="AN9" s="407"/>
      <c r="AO9" s="407"/>
      <c r="AP9" s="407"/>
      <c r="AQ9" s="407"/>
      <c r="AR9" s="407"/>
      <c r="AS9" s="407"/>
      <c r="AT9" s="407"/>
      <c r="AU9" s="407"/>
      <c r="AV9" s="407"/>
      <c r="AW9" s="407"/>
      <c r="AX9" s="407"/>
      <c r="AY9" s="407"/>
      <c r="AZ9" s="407"/>
      <c r="BA9" s="407"/>
      <c r="BB9" s="407"/>
      <c r="BC9" s="407"/>
      <c r="BD9" s="407"/>
      <c r="BE9" s="407"/>
      <c r="BF9" s="407"/>
      <c r="BG9" s="407"/>
      <c r="BH9" s="407"/>
      <c r="BI9" s="407"/>
      <c r="BJ9" s="407"/>
    </row>
    <row r="10" spans="2:64" s="411" customFormat="1">
      <c r="B10" s="411" t="s">
        <v>833</v>
      </c>
      <c r="K10" s="412">
        <f>SUM(K5:K9)</f>
        <v>267.89999999999998</v>
      </c>
      <c r="N10" s="411">
        <f>SUM(N5:N8)</f>
        <v>251.7</v>
      </c>
      <c r="Q10" s="411">
        <f>SUM(Q5:Q8)</f>
        <v>219.9</v>
      </c>
      <c r="R10" s="411">
        <v>224.4</v>
      </c>
      <c r="T10" s="413">
        <f>SUM(T5:T9)</f>
        <v>235.7</v>
      </c>
      <c r="U10" s="414">
        <f>SUM(U5:U9)</f>
        <v>249.91000000000003</v>
      </c>
      <c r="V10" s="414"/>
      <c r="W10" s="413">
        <f>SUM(W5:W9)</f>
        <v>270.39999999999992</v>
      </c>
      <c r="X10" s="413">
        <f>SUM(X5:X9)</f>
        <v>287.81999999999994</v>
      </c>
      <c r="Y10" s="414"/>
      <c r="Z10" s="413">
        <f t="shared" ref="Z10:AU10" si="5">SUM(Z5:Z9)</f>
        <v>298.69999999999993</v>
      </c>
      <c r="AA10" s="413">
        <f>MODEL!AA157</f>
        <v>331.7</v>
      </c>
      <c r="AB10" s="414"/>
      <c r="AC10" s="415">
        <f t="shared" si="5"/>
        <v>356.59999999999997</v>
      </c>
      <c r="AD10" s="414">
        <f>SUM(AD5:AD9)</f>
        <v>373.82628251585845</v>
      </c>
      <c r="AE10" s="414"/>
      <c r="AF10" s="414">
        <f t="shared" si="5"/>
        <v>406.45357125869668</v>
      </c>
      <c r="AG10" s="414">
        <f>SUM(AG5:AG9)</f>
        <v>417.875838152847</v>
      </c>
      <c r="AH10" s="414"/>
      <c r="AI10" s="414">
        <f t="shared" si="5"/>
        <v>445.43953208046406</v>
      </c>
      <c r="AJ10" s="414"/>
      <c r="AK10" s="414"/>
      <c r="AL10" s="414">
        <f t="shared" si="5"/>
        <v>472.73770736078239</v>
      </c>
      <c r="AM10" s="414"/>
      <c r="AN10" s="414"/>
      <c r="AO10" s="414">
        <f t="shared" si="5"/>
        <v>495.63835510560534</v>
      </c>
      <c r="AP10" s="414"/>
      <c r="AQ10" s="414"/>
      <c r="AR10" s="414">
        <f t="shared" si="5"/>
        <v>514.64336931483444</v>
      </c>
      <c r="AS10" s="414"/>
      <c r="AT10" s="414"/>
      <c r="AU10" s="414">
        <f t="shared" si="5"/>
        <v>530.43159127726449</v>
      </c>
      <c r="AV10" s="414"/>
      <c r="AW10" s="414"/>
      <c r="AX10" s="414">
        <f t="shared" ref="AX10" si="6">SUM(AX5:AX9)</f>
        <v>543.72113897528288</v>
      </c>
      <c r="AY10" s="414"/>
      <c r="AZ10" s="414"/>
      <c r="BA10" s="414">
        <f t="shared" ref="BA10:BD10" si="7">SUM(BA5:BA9)</f>
        <v>554.26530677200253</v>
      </c>
      <c r="BB10" s="414"/>
      <c r="BC10" s="414"/>
      <c r="BD10" s="414">
        <f t="shared" si="7"/>
        <v>561.80350897386529</v>
      </c>
      <c r="BE10" s="414"/>
      <c r="BF10" s="414"/>
      <c r="BG10" s="414">
        <f t="shared" ref="BG10:BJ10" si="8">SUM(BG5:BG9)</f>
        <v>566.06082186772778</v>
      </c>
      <c r="BH10" s="414"/>
      <c r="BI10" s="414"/>
      <c r="BJ10" s="414">
        <f t="shared" si="8"/>
        <v>566.74751412641422</v>
      </c>
    </row>
    <row r="11" spans="2:64" s="377" customFormat="1">
      <c r="K11" s="405"/>
      <c r="AC11" s="416"/>
      <c r="AF11" s="407"/>
      <c r="AI11" s="407"/>
      <c r="AJ11" s="407"/>
      <c r="AK11" s="407"/>
      <c r="AL11" s="407"/>
      <c r="AM11" s="407"/>
      <c r="AN11" s="407"/>
      <c r="AO11" s="407"/>
      <c r="AP11" s="407"/>
      <c r="AQ11" s="407"/>
      <c r="AR11" s="407"/>
      <c r="AS11" s="407"/>
      <c r="AT11" s="407"/>
      <c r="AU11" s="407"/>
      <c r="AV11" s="407"/>
      <c r="AW11" s="407"/>
      <c r="AX11" s="407"/>
      <c r="AY11" s="407"/>
      <c r="AZ11" s="407"/>
      <c r="BA11" s="407"/>
      <c r="BB11" s="407"/>
      <c r="BC11" s="407"/>
      <c r="BD11" s="407"/>
      <c r="BE11" s="407"/>
      <c r="BF11" s="407"/>
      <c r="BG11" s="407"/>
      <c r="BH11" s="407"/>
      <c r="BI11" s="407"/>
      <c r="BJ11" s="407"/>
    </row>
    <row r="12" spans="2:64" s="377" customFormat="1">
      <c r="B12" s="377" t="s">
        <v>55</v>
      </c>
      <c r="C12" s="417">
        <v>477.7</v>
      </c>
      <c r="D12" s="417"/>
      <c r="E12" s="417">
        <f>373.1+0.7+97.9</f>
        <v>471.70000000000005</v>
      </c>
      <c r="F12" s="417">
        <f>385.4+0.5+100.5</f>
        <v>486.4</v>
      </c>
      <c r="G12" s="417"/>
      <c r="H12" s="417">
        <f>407.3+0.6+104.7</f>
        <v>512.6</v>
      </c>
      <c r="I12" s="417" t="e">
        <f>H12-#REF!</f>
        <v>#REF!</v>
      </c>
      <c r="J12" s="417"/>
      <c r="K12" s="418">
        <f>435.2+0.6+106.8</f>
        <v>542.6</v>
      </c>
      <c r="L12" s="417">
        <f>433.9+0.6+99.3</f>
        <v>533.79999999999995</v>
      </c>
      <c r="M12" s="417"/>
      <c r="N12" s="417">
        <f>421+0.5+100.6</f>
        <v>522.1</v>
      </c>
      <c r="O12" s="417">
        <f>420.6+0.5+100.8</f>
        <v>521.9</v>
      </c>
      <c r="P12" s="417"/>
      <c r="Q12" s="417">
        <f>444.4+87.4</f>
        <v>531.79999999999995</v>
      </c>
      <c r="R12" s="417">
        <f>458+91</f>
        <v>549</v>
      </c>
      <c r="S12" s="417"/>
      <c r="T12" s="419">
        <f>482.3+98.4</f>
        <v>580.70000000000005</v>
      </c>
      <c r="U12" s="419">
        <f>501.1+107</f>
        <v>608.1</v>
      </c>
      <c r="V12" s="417"/>
      <c r="W12" s="419">
        <f>546+113.8</f>
        <v>659.8</v>
      </c>
      <c r="X12" s="419"/>
      <c r="Y12" s="417"/>
      <c r="Z12" s="419">
        <f>364.6+242.1+133.2</f>
        <v>739.90000000000009</v>
      </c>
      <c r="AA12" s="419">
        <f>382.4+276.7+140.9</f>
        <v>799.99999999999989</v>
      </c>
      <c r="AB12" s="417"/>
      <c r="AC12" s="420">
        <f>416.3+288.2+151.2</f>
        <v>855.7</v>
      </c>
      <c r="AD12" s="417"/>
      <c r="AE12" s="417"/>
      <c r="AF12" s="417">
        <f t="shared" ref="AF12:AU12" si="9">AF14-AF13</f>
        <v>1036.808049815837</v>
      </c>
      <c r="AG12" s="417"/>
      <c r="AH12" s="417"/>
      <c r="AI12" s="417">
        <f t="shared" si="9"/>
        <v>1165.9394660835706</v>
      </c>
      <c r="AJ12" s="417"/>
      <c r="AK12" s="417"/>
      <c r="AL12" s="417">
        <f t="shared" si="9"/>
        <v>1300.8579014559596</v>
      </c>
      <c r="AM12" s="417"/>
      <c r="AN12" s="417"/>
      <c r="AO12" s="417">
        <f t="shared" si="9"/>
        <v>1441.8117053791116</v>
      </c>
      <c r="AP12" s="417"/>
      <c r="AQ12" s="417"/>
      <c r="AR12" s="417">
        <f t="shared" si="9"/>
        <v>1588.5604746373576</v>
      </c>
      <c r="AS12" s="417"/>
      <c r="AT12" s="417"/>
      <c r="AU12" s="417">
        <f t="shared" si="9"/>
        <v>1740.7567443836567</v>
      </c>
      <c r="AV12" s="417"/>
      <c r="AW12" s="417"/>
      <c r="AX12" s="417">
        <f t="shared" ref="AX12" si="10">AX14-AX13</f>
        <v>1897.9830772363266</v>
      </c>
      <c r="AY12" s="417"/>
      <c r="AZ12" s="417"/>
      <c r="BA12" s="417">
        <f t="shared" ref="BA12:BD12" si="11">BA14-BA13</f>
        <v>2060.4081468573477</v>
      </c>
      <c r="BB12" s="417"/>
      <c r="BC12" s="417"/>
      <c r="BD12" s="417">
        <f t="shared" si="11"/>
        <v>2228.206333128715</v>
      </c>
      <c r="BE12" s="417"/>
      <c r="BF12" s="417"/>
      <c r="BG12" s="417">
        <f t="shared" ref="BG12:BJ12" si="12">BG14-BG13</f>
        <v>2401.5579159048411</v>
      </c>
      <c r="BH12" s="417"/>
      <c r="BI12" s="417"/>
      <c r="BJ12" s="417">
        <f t="shared" si="12"/>
        <v>2580.6492753458783</v>
      </c>
    </row>
    <row r="13" spans="2:64" s="377" customFormat="1">
      <c r="B13" s="377" t="s">
        <v>3</v>
      </c>
      <c r="C13" s="417">
        <v>-230.8</v>
      </c>
      <c r="D13" s="417"/>
      <c r="E13" s="417">
        <f>+-155.9-0.5-50.8</f>
        <v>-207.2</v>
      </c>
      <c r="F13" s="417">
        <f>+F14-F12</f>
        <v>-218.7</v>
      </c>
      <c r="G13" s="417"/>
      <c r="H13" s="417">
        <f>-180.4-0.4-61.4</f>
        <v>-242.20000000000002</v>
      </c>
      <c r="I13" s="417" t="e">
        <f>I14-I12</f>
        <v>#REF!</v>
      </c>
      <c r="J13" s="417"/>
      <c r="K13" s="418">
        <f>K14-K12</f>
        <v>-274.70000000000005</v>
      </c>
      <c r="L13" s="417">
        <f>L14-L12</f>
        <v>-289.69999999999993</v>
      </c>
      <c r="M13" s="417"/>
      <c r="N13" s="417">
        <f>N14-N12</f>
        <v>-294.3</v>
      </c>
      <c r="O13" s="417">
        <f>O14-O12</f>
        <v>-309.39999999999998</v>
      </c>
      <c r="P13" s="417"/>
      <c r="Q13" s="417">
        <f>Q14-Q12</f>
        <v>-311.89999999999998</v>
      </c>
      <c r="R13" s="417">
        <f>R14-R12</f>
        <v>-324.60000000000002</v>
      </c>
      <c r="S13" s="417"/>
      <c r="T13" s="417">
        <f>T14-T12</f>
        <v>-345.00000000000006</v>
      </c>
      <c r="U13" s="417">
        <f>U14-U12</f>
        <v>-370.90000000000003</v>
      </c>
      <c r="V13" s="417"/>
      <c r="W13" s="417">
        <f>-318.6-70.8</f>
        <v>-389.40000000000003</v>
      </c>
      <c r="X13" s="417"/>
      <c r="Y13" s="417"/>
      <c r="Z13" s="417">
        <f>W13+Z7</f>
        <v>-470.90000000000003</v>
      </c>
      <c r="AA13" s="417">
        <f>X13+AA7</f>
        <v>-40.5</v>
      </c>
      <c r="AB13" s="417"/>
      <c r="AC13" s="421">
        <f>Z13+AC7</f>
        <v>-557</v>
      </c>
      <c r="AD13" s="417"/>
      <c r="AE13" s="417"/>
      <c r="AF13" s="417">
        <f>AC13+AF7</f>
        <v>-630.35447855714028</v>
      </c>
      <c r="AG13" s="417"/>
      <c r="AH13" s="417"/>
      <c r="AI13" s="417">
        <f>AF13+AI7</f>
        <v>-720.49993400310655</v>
      </c>
      <c r="AJ13" s="417"/>
      <c r="AK13" s="417"/>
      <c r="AL13" s="417">
        <f>AI13+AL7</f>
        <v>-828.12019409517711</v>
      </c>
      <c r="AM13" s="417"/>
      <c r="AN13" s="417"/>
      <c r="AO13" s="417">
        <f>AL13+AO7</f>
        <v>-946.17335027350623</v>
      </c>
      <c r="AP13" s="417"/>
      <c r="AQ13" s="417"/>
      <c r="AR13" s="417">
        <f>AO13+AR7</f>
        <v>-1073.9171053225232</v>
      </c>
      <c r="AS13" s="417"/>
      <c r="AT13" s="417"/>
      <c r="AU13" s="417">
        <f>AR13+AU7</f>
        <v>-1210.3251531063922</v>
      </c>
      <c r="AV13" s="417"/>
      <c r="AW13" s="417"/>
      <c r="AX13" s="417">
        <f>AU13+AX7</f>
        <v>-1354.2619382610437</v>
      </c>
      <c r="AY13" s="417"/>
      <c r="AZ13" s="417"/>
      <c r="BA13" s="417">
        <f>AX13+BA7</f>
        <v>-1506.1428400853449</v>
      </c>
      <c r="BB13" s="417"/>
      <c r="BC13" s="417"/>
      <c r="BD13" s="417">
        <f>BA13+BD7</f>
        <v>-1666.4028241548497</v>
      </c>
      <c r="BE13" s="417"/>
      <c r="BF13" s="417"/>
      <c r="BG13" s="417">
        <f>BD13+BG7</f>
        <v>-1835.4970940371134</v>
      </c>
      <c r="BH13" s="417"/>
      <c r="BI13" s="417"/>
      <c r="BJ13" s="417">
        <f t="shared" ref="BJ13" si="13">BG13+BJ7</f>
        <v>-2013.9017612194641</v>
      </c>
    </row>
    <row r="14" spans="2:64" s="411" customFormat="1">
      <c r="B14" s="411" t="s">
        <v>56</v>
      </c>
      <c r="C14" s="422">
        <v>246.89999999999998</v>
      </c>
      <c r="D14" s="422"/>
      <c r="E14" s="422">
        <f>SUM(E12:E13)</f>
        <v>264.50000000000006</v>
      </c>
      <c r="F14" s="422">
        <v>267.7</v>
      </c>
      <c r="G14" s="422"/>
      <c r="H14" s="422">
        <f>SUM(H12:H13)</f>
        <v>270.39999999999998</v>
      </c>
      <c r="I14" s="422">
        <f>225.2+0.1+40.3</f>
        <v>265.59999999999997</v>
      </c>
      <c r="J14" s="422"/>
      <c r="K14" s="423">
        <v>267.89999999999998</v>
      </c>
      <c r="L14" s="422">
        <v>244.1</v>
      </c>
      <c r="M14" s="422"/>
      <c r="N14" s="422">
        <v>227.8</v>
      </c>
      <c r="O14" s="422">
        <v>212.5</v>
      </c>
      <c r="P14" s="422"/>
      <c r="Q14" s="422">
        <v>219.9</v>
      </c>
      <c r="R14" s="422">
        <v>224.4</v>
      </c>
      <c r="S14" s="422"/>
      <c r="T14" s="424">
        <f>198.2+37.5</f>
        <v>235.7</v>
      </c>
      <c r="U14" s="422">
        <f>200.6+36.6</f>
        <v>237.2</v>
      </c>
      <c r="V14" s="422"/>
      <c r="W14" s="424">
        <f>W10</f>
        <v>270.39999999999992</v>
      </c>
      <c r="X14" s="422"/>
      <c r="Y14" s="422"/>
      <c r="Z14" s="424">
        <f t="shared" ref="Z14:AU14" si="14">Z10</f>
        <v>298.69999999999993</v>
      </c>
      <c r="AA14" s="424">
        <f>164+127.1+40.6</f>
        <v>331.70000000000005</v>
      </c>
      <c r="AB14" s="422"/>
      <c r="AC14" s="426">
        <f t="shared" si="14"/>
        <v>356.59999999999997</v>
      </c>
      <c r="AD14" s="422"/>
      <c r="AE14" s="422"/>
      <c r="AF14" s="422">
        <f t="shared" si="14"/>
        <v>406.45357125869668</v>
      </c>
      <c r="AG14" s="422"/>
      <c r="AH14" s="422"/>
      <c r="AI14" s="422">
        <f t="shared" si="14"/>
        <v>445.43953208046406</v>
      </c>
      <c r="AJ14" s="422"/>
      <c r="AK14" s="422"/>
      <c r="AL14" s="422">
        <f t="shared" si="14"/>
        <v>472.73770736078239</v>
      </c>
      <c r="AM14" s="422"/>
      <c r="AN14" s="422"/>
      <c r="AO14" s="422">
        <f t="shared" si="14"/>
        <v>495.63835510560534</v>
      </c>
      <c r="AP14" s="422"/>
      <c r="AQ14" s="422"/>
      <c r="AR14" s="422">
        <f t="shared" si="14"/>
        <v>514.64336931483444</v>
      </c>
      <c r="AS14" s="422"/>
      <c r="AT14" s="422"/>
      <c r="AU14" s="422">
        <f t="shared" si="14"/>
        <v>530.43159127726449</v>
      </c>
      <c r="AV14" s="422"/>
      <c r="AW14" s="422"/>
      <c r="AX14" s="422">
        <f t="shared" ref="AX14" si="15">AX10</f>
        <v>543.72113897528288</v>
      </c>
      <c r="AY14" s="422"/>
      <c r="AZ14" s="422"/>
      <c r="BA14" s="422">
        <f t="shared" ref="BA14:BD14" si="16">BA10</f>
        <v>554.26530677200253</v>
      </c>
      <c r="BB14" s="422"/>
      <c r="BC14" s="422"/>
      <c r="BD14" s="422">
        <f t="shared" si="16"/>
        <v>561.80350897386529</v>
      </c>
      <c r="BE14" s="422"/>
      <c r="BF14" s="422"/>
      <c r="BG14" s="422">
        <f t="shared" ref="BG14:BJ14" si="17">BG10</f>
        <v>566.06082186772778</v>
      </c>
      <c r="BH14" s="422"/>
      <c r="BI14" s="422"/>
      <c r="BJ14" s="422">
        <f t="shared" si="17"/>
        <v>566.74751412641422</v>
      </c>
    </row>
    <row r="15" spans="2:64" s="411" customFormat="1">
      <c r="C15" s="422"/>
      <c r="D15" s="422"/>
      <c r="E15" s="422"/>
      <c r="F15" s="422"/>
      <c r="G15" s="422"/>
      <c r="H15" s="422"/>
      <c r="I15" s="422"/>
      <c r="J15" s="422"/>
      <c r="K15" s="423"/>
      <c r="L15" s="422"/>
      <c r="M15" s="422"/>
      <c r="N15" s="422"/>
      <c r="O15" s="422"/>
      <c r="P15" s="422"/>
      <c r="Q15" s="422"/>
      <c r="R15" s="422"/>
      <c r="S15" s="422"/>
      <c r="T15" s="422"/>
      <c r="U15" s="422"/>
      <c r="V15" s="422"/>
      <c r="W15" s="422"/>
      <c r="X15" s="422"/>
      <c r="Y15" s="422"/>
      <c r="Z15" s="422"/>
      <c r="AA15" s="422"/>
      <c r="AB15" s="422"/>
      <c r="AC15" s="425"/>
      <c r="AD15" s="422"/>
      <c r="AE15" s="422"/>
      <c r="AF15" s="422"/>
      <c r="AG15" s="422"/>
      <c r="AH15" s="422"/>
      <c r="AI15" s="422"/>
      <c r="AJ15" s="422"/>
      <c r="AK15" s="422"/>
      <c r="AL15" s="422"/>
      <c r="AM15" s="422"/>
      <c r="AN15" s="422"/>
      <c r="AO15" s="422"/>
      <c r="AP15" s="422"/>
      <c r="AQ15" s="422"/>
      <c r="AR15" s="422"/>
      <c r="AS15" s="422"/>
      <c r="AT15" s="422"/>
      <c r="AU15" s="422"/>
      <c r="AV15" s="422"/>
      <c r="AW15" s="422"/>
      <c r="AX15" s="422"/>
      <c r="AY15" s="422"/>
      <c r="AZ15" s="422"/>
      <c r="BA15" s="422"/>
      <c r="BB15" s="422"/>
      <c r="BC15" s="422"/>
      <c r="BD15" s="422"/>
      <c r="BE15" s="422"/>
      <c r="BF15" s="422"/>
      <c r="BG15" s="422"/>
      <c r="BH15" s="422"/>
      <c r="BI15" s="422"/>
      <c r="BJ15" s="422"/>
    </row>
    <row r="16" spans="2:64" s="401" customFormat="1">
      <c r="B16" s="401" t="s">
        <v>834</v>
      </c>
      <c r="C16" s="402"/>
      <c r="D16" s="402"/>
      <c r="E16" s="402"/>
      <c r="F16" s="402"/>
      <c r="G16" s="402"/>
      <c r="H16" s="402"/>
      <c r="I16" s="402"/>
      <c r="J16" s="402"/>
      <c r="K16" s="403"/>
      <c r="L16" s="404"/>
      <c r="M16" s="404"/>
      <c r="N16" s="404"/>
      <c r="O16" s="404"/>
      <c r="P16" s="404"/>
      <c r="Q16" s="404"/>
      <c r="R16" s="404"/>
      <c r="S16" s="404"/>
      <c r="T16" s="402"/>
      <c r="U16" s="404"/>
      <c r="V16" s="404"/>
      <c r="W16" s="402"/>
      <c r="X16" s="404"/>
      <c r="Y16" s="404"/>
      <c r="Z16" s="402"/>
      <c r="AA16" s="404"/>
      <c r="AB16" s="404"/>
      <c r="AC16" s="1384"/>
      <c r="AD16" s="404"/>
      <c r="AE16" s="404"/>
      <c r="AF16" s="427"/>
      <c r="AG16" s="404"/>
      <c r="AH16" s="404"/>
      <c r="AI16" s="427"/>
      <c r="AJ16" s="427"/>
      <c r="AK16" s="427"/>
      <c r="AL16" s="427"/>
      <c r="AM16" s="427"/>
      <c r="AN16" s="427"/>
      <c r="AO16" s="427"/>
      <c r="AP16" s="427"/>
      <c r="AQ16" s="427"/>
      <c r="AR16" s="427"/>
      <c r="AS16" s="427"/>
      <c r="AT16" s="427"/>
      <c r="AU16" s="427"/>
      <c r="AV16" s="427"/>
      <c r="AW16" s="427"/>
      <c r="AX16" s="427"/>
      <c r="AY16" s="427"/>
      <c r="AZ16" s="427"/>
      <c r="BA16" s="427"/>
      <c r="BB16" s="427"/>
      <c r="BC16" s="427"/>
      <c r="BD16" s="427"/>
      <c r="BE16" s="427"/>
      <c r="BF16" s="427"/>
      <c r="BG16" s="427"/>
      <c r="BH16" s="427"/>
      <c r="BI16" s="427"/>
      <c r="BJ16" s="427"/>
      <c r="BK16" s="402"/>
      <c r="BL16" s="402"/>
    </row>
    <row r="17" spans="2:64" s="377" customFormat="1">
      <c r="B17" s="377" t="s">
        <v>835</v>
      </c>
      <c r="K17" s="405">
        <v>891.6</v>
      </c>
      <c r="N17" s="377">
        <v>894.2</v>
      </c>
      <c r="Q17" s="377">
        <v>874.3</v>
      </c>
      <c r="T17" s="409">
        <v>866.9</v>
      </c>
      <c r="U17" s="407">
        <f>T22</f>
        <v>865.99999999999989</v>
      </c>
      <c r="V17" s="407"/>
      <c r="W17" s="409">
        <f>T22</f>
        <v>865.99999999999989</v>
      </c>
      <c r="X17" s="406">
        <f>W22</f>
        <v>846.39999999999986</v>
      </c>
      <c r="Y17" s="407"/>
      <c r="Z17" s="409">
        <f>W22</f>
        <v>846.39999999999986</v>
      </c>
      <c r="AA17" s="406">
        <f>Z22</f>
        <v>846.39999999999986</v>
      </c>
      <c r="AB17" s="407"/>
      <c r="AC17" s="410">
        <f>Z22</f>
        <v>846.39999999999986</v>
      </c>
      <c r="AD17" s="407">
        <f>AC22</f>
        <v>838.29999999999984</v>
      </c>
      <c r="AE17" s="407"/>
      <c r="AF17" s="407">
        <f>AC22</f>
        <v>838.29999999999984</v>
      </c>
      <c r="AG17" s="407">
        <f>AF22</f>
        <v>844.63839005320301</v>
      </c>
      <c r="AH17" s="407"/>
      <c r="AI17" s="407">
        <f>AF22</f>
        <v>844.63839005320301</v>
      </c>
      <c r="AJ17" s="407"/>
      <c r="AK17" s="407"/>
      <c r="AL17" s="407">
        <f>AI22</f>
        <v>852.27265216088063</v>
      </c>
      <c r="AM17" s="407"/>
      <c r="AN17" s="407"/>
      <c r="AO17" s="407">
        <f>AL22</f>
        <v>861.13088280410341</v>
      </c>
      <c r="AP17" s="407"/>
      <c r="AQ17" s="407"/>
      <c r="AR17" s="407">
        <f>AO22</f>
        <v>871.23945098094373</v>
      </c>
      <c r="AS17" s="407"/>
      <c r="AT17" s="407"/>
      <c r="AU17" s="407">
        <f>AR22</f>
        <v>882.50176801286182</v>
      </c>
      <c r="AV17" s="407"/>
      <c r="AW17" s="407"/>
      <c r="AX17" s="407">
        <f>AU22</f>
        <v>894.79729850482681</v>
      </c>
      <c r="AY17" s="407"/>
      <c r="AZ17" s="407"/>
      <c r="BA17" s="407">
        <f>AX22</f>
        <v>907.99153144262891</v>
      </c>
      <c r="BB17" s="407"/>
      <c r="BC17" s="407"/>
      <c r="BD17" s="407">
        <f>BA22</f>
        <v>922.10040892983943</v>
      </c>
      <c r="BE17" s="407"/>
      <c r="BF17" s="407"/>
      <c r="BG17" s="407">
        <f>BD22</f>
        <v>937.14083439587705</v>
      </c>
      <c r="BH17" s="407"/>
      <c r="BI17" s="407"/>
      <c r="BJ17" s="407">
        <f t="shared" ref="BJ17" si="18">BG22</f>
        <v>953.13069298029359</v>
      </c>
    </row>
    <row r="18" spans="2:64" s="377" customFormat="1">
      <c r="B18" s="377" t="s">
        <v>830</v>
      </c>
      <c r="K18" s="405">
        <v>32.299999999999997</v>
      </c>
      <c r="N18" s="377">
        <v>27.6</v>
      </c>
      <c r="Q18" s="377">
        <v>35</v>
      </c>
      <c r="T18" s="409">
        <v>31.3</v>
      </c>
      <c r="U18" s="407">
        <f>U49*-0.3</f>
        <v>17.189999999999998</v>
      </c>
      <c r="V18" s="407"/>
      <c r="W18" s="409">
        <v>20.8</v>
      </c>
      <c r="X18" s="406">
        <f>X49*-0.3</f>
        <v>24.929999999999996</v>
      </c>
      <c r="Y18" s="407"/>
      <c r="Z18" s="409">
        <v>26.1</v>
      </c>
      <c r="AA18" s="406">
        <f>AA22-AA17-AA20</f>
        <v>9.9000000000001585</v>
      </c>
      <c r="AB18" s="407"/>
      <c r="AC18" s="410">
        <v>16.600000000000001</v>
      </c>
      <c r="AD18" s="407">
        <f t="shared" ref="AD18:BJ18" si="19">AD49*-0.2</f>
        <v>15.40100622697963</v>
      </c>
      <c r="AE18" s="407">
        <f t="shared" si="19"/>
        <v>0</v>
      </c>
      <c r="AF18" s="407">
        <f>AF49*-0.2</f>
        <v>30.802012453959261</v>
      </c>
      <c r="AG18" s="407">
        <f t="shared" si="19"/>
        <v>16.141427033466702</v>
      </c>
      <c r="AH18" s="407">
        <f t="shared" si="19"/>
        <v>0</v>
      </c>
      <c r="AI18" s="407">
        <f t="shared" si="19"/>
        <v>32.282854066933403</v>
      </c>
      <c r="AJ18" s="407">
        <f t="shared" si="19"/>
        <v>0</v>
      </c>
      <c r="AK18" s="407">
        <f t="shared" si="19"/>
        <v>0</v>
      </c>
      <c r="AL18" s="407">
        <f t="shared" si="19"/>
        <v>33.729608843097232</v>
      </c>
      <c r="AM18" s="407">
        <f t="shared" si="19"/>
        <v>0</v>
      </c>
      <c r="AN18" s="407">
        <f t="shared" si="19"/>
        <v>0</v>
      </c>
      <c r="AO18" s="407">
        <f t="shared" si="19"/>
        <v>35.238450980788024</v>
      </c>
      <c r="AP18" s="407">
        <f t="shared" si="19"/>
        <v>0</v>
      </c>
      <c r="AQ18" s="407">
        <f t="shared" si="19"/>
        <v>0</v>
      </c>
      <c r="AR18" s="407">
        <f t="shared" si="19"/>
        <v>36.6871923145615</v>
      </c>
      <c r="AS18" s="407">
        <f t="shared" si="19"/>
        <v>0</v>
      </c>
      <c r="AT18" s="407">
        <f t="shared" si="19"/>
        <v>0</v>
      </c>
      <c r="AU18" s="407">
        <f t="shared" si="19"/>
        <v>38.049067436574809</v>
      </c>
      <c r="AV18" s="407">
        <f t="shared" si="19"/>
        <v>0</v>
      </c>
      <c r="AW18" s="407">
        <f t="shared" si="19"/>
        <v>0</v>
      </c>
      <c r="AX18" s="407">
        <f t="shared" si="19"/>
        <v>39.306583213167464</v>
      </c>
      <c r="AY18" s="407">
        <f t="shared" si="19"/>
        <v>0</v>
      </c>
      <c r="AZ18" s="407">
        <f t="shared" si="19"/>
        <v>0</v>
      </c>
      <c r="BA18" s="407">
        <f t="shared" si="19"/>
        <v>40.606267405255181</v>
      </c>
      <c r="BB18" s="407">
        <f t="shared" si="19"/>
        <v>0</v>
      </c>
      <c r="BC18" s="407">
        <f t="shared" si="19"/>
        <v>0</v>
      </c>
      <c r="BD18" s="407">
        <f t="shared" si="19"/>
        <v>41.949546567841871</v>
      </c>
      <c r="BE18" s="407">
        <f t="shared" si="19"/>
        <v>0</v>
      </c>
      <c r="BF18" s="407">
        <f t="shared" si="19"/>
        <v>0</v>
      </c>
      <c r="BG18" s="407">
        <f t="shared" si="19"/>
        <v>43.337895694031545</v>
      </c>
      <c r="BH18" s="407">
        <f t="shared" si="19"/>
        <v>0</v>
      </c>
      <c r="BI18" s="407">
        <f t="shared" si="19"/>
        <v>0</v>
      </c>
      <c r="BJ18" s="407">
        <f t="shared" si="19"/>
        <v>44.772839860259324</v>
      </c>
    </row>
    <row r="19" spans="2:64" s="377" customFormat="1">
      <c r="B19" s="377" t="s">
        <v>832</v>
      </c>
      <c r="K19" s="405"/>
      <c r="Q19" s="377">
        <v>-0.1</v>
      </c>
      <c r="T19" s="409">
        <v>-0.2</v>
      </c>
      <c r="U19" s="407"/>
      <c r="V19" s="407"/>
      <c r="W19" s="409"/>
      <c r="X19" s="406"/>
      <c r="Y19" s="407"/>
      <c r="Z19" s="409"/>
      <c r="AA19" s="406"/>
      <c r="AB19" s="407"/>
      <c r="AC19" s="410"/>
      <c r="AD19" s="407"/>
      <c r="AE19" s="407"/>
      <c r="AF19" s="407"/>
      <c r="AG19" s="407"/>
      <c r="AH19" s="407"/>
      <c r="AI19" s="407"/>
      <c r="AJ19" s="407"/>
      <c r="AK19" s="407"/>
      <c r="AL19" s="407"/>
      <c r="AM19" s="407"/>
      <c r="AN19" s="407"/>
      <c r="AO19" s="407"/>
      <c r="AP19" s="407"/>
      <c r="AQ19" s="407"/>
      <c r="AR19" s="407"/>
      <c r="AS19" s="407"/>
      <c r="AT19" s="407"/>
      <c r="AU19" s="407"/>
      <c r="AV19" s="407"/>
      <c r="AW19" s="407"/>
      <c r="AX19" s="407"/>
      <c r="AY19" s="407"/>
      <c r="AZ19" s="407"/>
      <c r="BA19" s="407"/>
      <c r="BB19" s="407"/>
      <c r="BC19" s="407"/>
      <c r="BD19" s="407"/>
      <c r="BE19" s="407"/>
      <c r="BF19" s="407"/>
      <c r="BG19" s="407"/>
      <c r="BH19" s="407"/>
      <c r="BI19" s="407"/>
      <c r="BJ19" s="407"/>
    </row>
    <row r="20" spans="2:64" s="377" customFormat="1">
      <c r="B20" s="377" t="s">
        <v>825</v>
      </c>
      <c r="K20" s="405">
        <v>-30.3</v>
      </c>
      <c r="N20" s="377">
        <v>-46.1</v>
      </c>
      <c r="Q20" s="377">
        <v>-38</v>
      </c>
      <c r="T20" s="409">
        <v>-32</v>
      </c>
      <c r="U20" s="407">
        <f>W20/2</f>
        <v>-20.2</v>
      </c>
      <c r="V20" s="407"/>
      <c r="W20" s="409">
        <v>-40.4</v>
      </c>
      <c r="X20" s="406">
        <f>Z20/2</f>
        <v>-13.05</v>
      </c>
      <c r="Y20" s="407"/>
      <c r="Z20" s="409">
        <v>-26.1</v>
      </c>
      <c r="AA20" s="409">
        <v>-12.7</v>
      </c>
      <c r="AB20" s="407"/>
      <c r="AC20" s="410">
        <v>-24.7</v>
      </c>
      <c r="AD20" s="407">
        <f>AF20/2</f>
        <v>-12.231811200378072</v>
      </c>
      <c r="AE20" s="407"/>
      <c r="AF20" s="407">
        <f>AC20/AC17*AF17</f>
        <v>-24.463622400756144</v>
      </c>
      <c r="AG20" s="407">
        <f>AI20/2</f>
        <v>-12.324295979627905</v>
      </c>
      <c r="AH20" s="407"/>
      <c r="AI20" s="407">
        <f>AF20/AF17*AI17</f>
        <v>-24.64859195925581</v>
      </c>
      <c r="AJ20" s="407"/>
      <c r="AK20" s="407"/>
      <c r="AL20" s="407">
        <f>AI20/AI17*AL17</f>
        <v>-24.871378199874474</v>
      </c>
      <c r="AM20" s="407"/>
      <c r="AN20" s="407"/>
      <c r="AO20" s="407">
        <f>AL20/AL17*AO17</f>
        <v>-25.12988280394773</v>
      </c>
      <c r="AP20" s="407"/>
      <c r="AQ20" s="407"/>
      <c r="AR20" s="407">
        <f>AO20/AO17*AR17</f>
        <v>-25.424875282643328</v>
      </c>
      <c r="AS20" s="407"/>
      <c r="AT20" s="407"/>
      <c r="AU20" s="407">
        <f>AR20/AR17*AU17</f>
        <v>-25.753536944609749</v>
      </c>
      <c r="AV20" s="407"/>
      <c r="AW20" s="407"/>
      <c r="AX20" s="407">
        <f>AU20/AU17*AX17</f>
        <v>-26.112350275365344</v>
      </c>
      <c r="AY20" s="407"/>
      <c r="AZ20" s="407"/>
      <c r="BA20" s="407">
        <f>AX20/AX17*BA17</f>
        <v>-26.49738991804459</v>
      </c>
      <c r="BB20" s="407"/>
      <c r="BC20" s="407"/>
      <c r="BD20" s="407">
        <f>BA20/BA17*BD17</f>
        <v>-26.909121101804161</v>
      </c>
      <c r="BE20" s="407"/>
      <c r="BF20" s="407"/>
      <c r="BG20" s="407">
        <f>BD20/BD17*BG17</f>
        <v>-27.348037109615039</v>
      </c>
      <c r="BH20" s="407"/>
      <c r="BI20" s="407"/>
      <c r="BJ20" s="407">
        <f t="shared" ref="BJ20" si="20">BG20/BG17*BJ17</f>
        <v>-27.814659873125304</v>
      </c>
    </row>
    <row r="21" spans="2:64" s="377" customFormat="1">
      <c r="B21" s="377" t="s">
        <v>836</v>
      </c>
      <c r="K21" s="405">
        <v>0.6</v>
      </c>
      <c r="N21" s="377">
        <v>-1.4</v>
      </c>
      <c r="Q21" s="377">
        <v>-4.3</v>
      </c>
      <c r="T21" s="409"/>
      <c r="U21" s="407"/>
      <c r="V21" s="407"/>
      <c r="W21" s="409"/>
      <c r="X21" s="406"/>
      <c r="Y21" s="407"/>
      <c r="Z21" s="409"/>
      <c r="AA21" s="406"/>
      <c r="AB21" s="407"/>
      <c r="AC21" s="410"/>
      <c r="AD21" s="407"/>
      <c r="AE21" s="407"/>
      <c r="AF21" s="407"/>
      <c r="AG21" s="407"/>
      <c r="AH21" s="407"/>
      <c r="AI21" s="407"/>
      <c r="AJ21" s="407"/>
      <c r="AK21" s="407"/>
      <c r="AL21" s="407"/>
      <c r="AM21" s="407"/>
      <c r="AN21" s="407"/>
      <c r="AO21" s="407"/>
      <c r="AP21" s="407"/>
      <c r="AQ21" s="407"/>
      <c r="AR21" s="407"/>
      <c r="AS21" s="407"/>
      <c r="AT21" s="407"/>
      <c r="AU21" s="407"/>
      <c r="AV21" s="407"/>
      <c r="AW21" s="407"/>
      <c r="AX21" s="407"/>
      <c r="AY21" s="407"/>
      <c r="AZ21" s="407"/>
      <c r="BA21" s="407"/>
      <c r="BB21" s="407"/>
      <c r="BC21" s="407"/>
      <c r="BD21" s="407"/>
      <c r="BE21" s="407"/>
      <c r="BF21" s="407"/>
      <c r="BG21" s="407"/>
      <c r="BH21" s="407"/>
      <c r="BI21" s="407"/>
      <c r="BJ21" s="407"/>
    </row>
    <row r="22" spans="2:64" s="411" customFormat="1">
      <c r="B22" s="411" t="s">
        <v>833</v>
      </c>
      <c r="K22" s="412">
        <f>SUM(K17:K21)</f>
        <v>894.2</v>
      </c>
      <c r="N22" s="411">
        <f>SUM(N17:N21)</f>
        <v>874.30000000000007</v>
      </c>
      <c r="Q22" s="411">
        <f>SUM(Q17:Q21)</f>
        <v>866.9</v>
      </c>
      <c r="R22" s="411">
        <v>868.2</v>
      </c>
      <c r="T22" s="413">
        <f>SUM(T17:T21)</f>
        <v>865.99999999999989</v>
      </c>
      <c r="U22" s="414">
        <f>SUM(U17:U21)</f>
        <v>862.98999999999978</v>
      </c>
      <c r="V22" s="414"/>
      <c r="W22" s="413">
        <f t="shared" ref="W22:AU22" si="21">SUM(W17:W21)</f>
        <v>846.39999999999986</v>
      </c>
      <c r="X22" s="413">
        <f>SUM(X17:X21)</f>
        <v>858.27999999999986</v>
      </c>
      <c r="Y22" s="414"/>
      <c r="Z22" s="413">
        <f t="shared" si="21"/>
        <v>846.39999999999986</v>
      </c>
      <c r="AA22" s="413">
        <f>MODEL!AA158+MODEL!AA159</f>
        <v>843.6</v>
      </c>
      <c r="AB22" s="414"/>
      <c r="AC22" s="415">
        <f t="shared" si="21"/>
        <v>838.29999999999984</v>
      </c>
      <c r="AD22" s="414">
        <f>SUM(AD17:AD21)</f>
        <v>841.46919502660137</v>
      </c>
      <c r="AE22" s="414"/>
      <c r="AF22" s="414">
        <f t="shared" si="21"/>
        <v>844.63839005320301</v>
      </c>
      <c r="AG22" s="414">
        <f>SUM(AG17:AG21)</f>
        <v>848.45552110704182</v>
      </c>
      <c r="AH22" s="414"/>
      <c r="AI22" s="414">
        <f t="shared" si="21"/>
        <v>852.27265216088063</v>
      </c>
      <c r="AJ22" s="414"/>
      <c r="AK22" s="414"/>
      <c r="AL22" s="414">
        <f t="shared" si="21"/>
        <v>861.13088280410341</v>
      </c>
      <c r="AM22" s="414"/>
      <c r="AN22" s="414"/>
      <c r="AO22" s="414">
        <f t="shared" si="21"/>
        <v>871.23945098094373</v>
      </c>
      <c r="AP22" s="414"/>
      <c r="AQ22" s="414"/>
      <c r="AR22" s="414">
        <f t="shared" si="21"/>
        <v>882.50176801286182</v>
      </c>
      <c r="AS22" s="414"/>
      <c r="AT22" s="414"/>
      <c r="AU22" s="414">
        <f t="shared" si="21"/>
        <v>894.79729850482681</v>
      </c>
      <c r="AV22" s="414"/>
      <c r="AW22" s="414"/>
      <c r="AX22" s="414">
        <f t="shared" ref="AX22" si="22">SUM(AX17:AX21)</f>
        <v>907.99153144262891</v>
      </c>
      <c r="AY22" s="414"/>
      <c r="AZ22" s="414"/>
      <c r="BA22" s="414">
        <f t="shared" ref="BA22:BD22" si="23">SUM(BA17:BA21)</f>
        <v>922.10040892983943</v>
      </c>
      <c r="BB22" s="414"/>
      <c r="BC22" s="414"/>
      <c r="BD22" s="414">
        <f t="shared" si="23"/>
        <v>937.14083439587705</v>
      </c>
      <c r="BE22" s="414"/>
      <c r="BF22" s="414"/>
      <c r="BG22" s="414">
        <f t="shared" ref="BG22:BJ22" si="24">SUM(BG17:BG21)</f>
        <v>953.13069298029359</v>
      </c>
      <c r="BH22" s="414"/>
      <c r="BI22" s="414"/>
      <c r="BJ22" s="414">
        <f t="shared" si="24"/>
        <v>970.08887296742762</v>
      </c>
    </row>
    <row r="23" spans="2:64" s="377" customFormat="1">
      <c r="K23" s="405"/>
      <c r="AC23" s="416"/>
      <c r="AF23" s="407"/>
      <c r="AI23" s="407"/>
      <c r="AJ23" s="407"/>
      <c r="AK23" s="407"/>
      <c r="AL23" s="407"/>
      <c r="AM23" s="407"/>
      <c r="AN23" s="407"/>
      <c r="AO23" s="407"/>
      <c r="AP23" s="407"/>
      <c r="AQ23" s="407"/>
      <c r="AR23" s="407"/>
      <c r="AS23" s="407"/>
      <c r="AT23" s="407"/>
      <c r="AU23" s="407"/>
      <c r="AV23" s="407"/>
      <c r="AW23" s="407"/>
      <c r="AX23" s="407"/>
      <c r="AY23" s="407"/>
      <c r="AZ23" s="407"/>
      <c r="BA23" s="407"/>
      <c r="BB23" s="407"/>
      <c r="BC23" s="407"/>
      <c r="BD23" s="407"/>
      <c r="BE23" s="407"/>
      <c r="BF23" s="407"/>
      <c r="BG23" s="407"/>
      <c r="BH23" s="407"/>
      <c r="BI23" s="407"/>
      <c r="BJ23" s="407"/>
    </row>
    <row r="24" spans="2:64" s="377" customFormat="1">
      <c r="B24" s="377" t="s">
        <v>74</v>
      </c>
      <c r="C24" s="377">
        <v>447.59999999999997</v>
      </c>
      <c r="E24" s="377">
        <v>447.59999999999997</v>
      </c>
      <c r="F24" s="377">
        <v>447.59999999999997</v>
      </c>
      <c r="H24" s="377">
        <v>525.9</v>
      </c>
      <c r="I24" s="377">
        <v>525.9</v>
      </c>
      <c r="K24" s="405">
        <v>526.5</v>
      </c>
      <c r="L24" s="377">
        <v>526.5</v>
      </c>
      <c r="N24" s="377">
        <v>526.5</v>
      </c>
      <c r="O24" s="377">
        <v>526.6</v>
      </c>
      <c r="Q24" s="377">
        <v>526.6</v>
      </c>
      <c r="R24" s="377">
        <v>526.6</v>
      </c>
      <c r="T24" s="428">
        <v>526.6</v>
      </c>
      <c r="U24" s="377">
        <f>T24</f>
        <v>526.6</v>
      </c>
      <c r="W24" s="428">
        <v>527.4</v>
      </c>
      <c r="X24" s="377">
        <f>W24</f>
        <v>527.4</v>
      </c>
      <c r="Z24" s="428">
        <v>527.4</v>
      </c>
      <c r="AA24" s="377">
        <f>Z24</f>
        <v>527.4</v>
      </c>
      <c r="AC24" s="429">
        <v>527.4</v>
      </c>
      <c r="AD24" s="377">
        <f>AC24</f>
        <v>527.4</v>
      </c>
      <c r="AF24" s="377">
        <f>AC24</f>
        <v>527.4</v>
      </c>
      <c r="AG24" s="377">
        <f>AF24</f>
        <v>527.4</v>
      </c>
      <c r="AI24" s="377">
        <f>AF24</f>
        <v>527.4</v>
      </c>
      <c r="AL24" s="377">
        <f>AI24</f>
        <v>527.4</v>
      </c>
      <c r="AO24" s="377">
        <f>AL24</f>
        <v>527.4</v>
      </c>
      <c r="AR24" s="377">
        <f>AO24</f>
        <v>527.4</v>
      </c>
      <c r="AU24" s="377">
        <f>AR24</f>
        <v>527.4</v>
      </c>
      <c r="AX24" s="377">
        <f>AU24</f>
        <v>527.4</v>
      </c>
      <c r="BA24" s="377">
        <f>AX24</f>
        <v>527.4</v>
      </c>
      <c r="BD24" s="377">
        <f>BA24</f>
        <v>527.4</v>
      </c>
      <c r="BG24" s="377">
        <f>BD24</f>
        <v>527.4</v>
      </c>
      <c r="BJ24" s="377">
        <f t="shared" ref="BJ24" si="25">BG24</f>
        <v>527.4</v>
      </c>
    </row>
    <row r="25" spans="2:64" s="377" customFormat="1">
      <c r="B25" s="377" t="s">
        <v>184</v>
      </c>
      <c r="C25" s="377">
        <v>323.89999999999998</v>
      </c>
      <c r="E25" s="377">
        <v>302.5</v>
      </c>
      <c r="F25" s="377">
        <v>307.39999999999998</v>
      </c>
      <c r="H25" s="377">
        <v>365.70000000000005</v>
      </c>
      <c r="I25" s="377">
        <v>365.79999999999995</v>
      </c>
      <c r="K25" s="405">
        <v>367.70000000000005</v>
      </c>
      <c r="L25" s="377">
        <v>364.79999999999995</v>
      </c>
      <c r="N25" s="377">
        <v>347.79999999999995</v>
      </c>
      <c r="O25" s="377">
        <v>340.5</v>
      </c>
      <c r="Q25" s="377">
        <v>340.3</v>
      </c>
      <c r="R25" s="377">
        <v>341.6</v>
      </c>
      <c r="T25" s="428">
        <f>86.1+253.3</f>
        <v>339.4</v>
      </c>
      <c r="U25" s="377">
        <f>U22-U24</f>
        <v>336.38999999999976</v>
      </c>
      <c r="W25" s="428">
        <f>65.7+311.8</f>
        <v>377.5</v>
      </c>
      <c r="X25" s="377">
        <f>X22-X24</f>
        <v>330.87999999999988</v>
      </c>
      <c r="Z25" s="428">
        <f>65.7+253.3</f>
        <v>319</v>
      </c>
      <c r="AA25" s="377">
        <f>AA22-AA24</f>
        <v>316.20000000000005</v>
      </c>
      <c r="AC25" s="429">
        <f>57.5+253.3</f>
        <v>310.8</v>
      </c>
      <c r="AD25" s="377">
        <f>AD22-AD24</f>
        <v>314.06919502660139</v>
      </c>
      <c r="AF25" s="377">
        <f t="shared" ref="AF25:AU25" si="26">AF22-AF24</f>
        <v>317.23839005320303</v>
      </c>
      <c r="AG25" s="377">
        <f>AG22-AG24</f>
        <v>321.05552110704184</v>
      </c>
      <c r="AI25" s="377">
        <f t="shared" si="26"/>
        <v>324.87265216088065</v>
      </c>
      <c r="AL25" s="377">
        <f t="shared" si="26"/>
        <v>333.73088280410343</v>
      </c>
      <c r="AO25" s="377">
        <f t="shared" si="26"/>
        <v>343.83945098094375</v>
      </c>
      <c r="AR25" s="377">
        <f t="shared" si="26"/>
        <v>355.10176801286184</v>
      </c>
      <c r="AU25" s="377">
        <f t="shared" si="26"/>
        <v>367.39729850482684</v>
      </c>
      <c r="AX25" s="377">
        <f t="shared" ref="AX25" si="27">AX22-AX24</f>
        <v>380.59153144262893</v>
      </c>
      <c r="BA25" s="377">
        <f t="shared" ref="BA25:BD25" si="28">BA22-BA24</f>
        <v>394.70040892983945</v>
      </c>
      <c r="BD25" s="377">
        <f t="shared" si="28"/>
        <v>409.74083439587707</v>
      </c>
      <c r="BG25" s="377">
        <f t="shared" ref="BG25:BJ25" si="29">BG22-BG24</f>
        <v>425.73069298029361</v>
      </c>
      <c r="BJ25" s="377">
        <f t="shared" si="29"/>
        <v>442.68887296742764</v>
      </c>
    </row>
    <row r="26" spans="2:64" s="377" customFormat="1">
      <c r="K26" s="405"/>
      <c r="AC26" s="416"/>
      <c r="AF26" s="407"/>
      <c r="AI26" s="407"/>
      <c r="AJ26" s="407"/>
      <c r="AK26" s="407"/>
      <c r="AL26" s="407"/>
      <c r="AM26" s="407"/>
      <c r="AN26" s="407"/>
      <c r="AO26" s="407"/>
      <c r="AP26" s="407"/>
      <c r="AQ26" s="407"/>
      <c r="AR26" s="407"/>
      <c r="AS26" s="407"/>
      <c r="AT26" s="407"/>
      <c r="AU26" s="407"/>
      <c r="AV26" s="407"/>
      <c r="AW26" s="407"/>
      <c r="AX26" s="407"/>
      <c r="AY26" s="407"/>
      <c r="AZ26" s="407"/>
      <c r="BA26" s="407"/>
      <c r="BB26" s="407"/>
      <c r="BC26" s="407"/>
      <c r="BD26" s="407"/>
      <c r="BE26" s="407"/>
      <c r="BF26" s="407"/>
      <c r="BG26" s="407"/>
      <c r="BH26" s="407"/>
      <c r="BI26" s="407"/>
      <c r="BJ26" s="407"/>
    </row>
    <row r="27" spans="2:64" s="401" customFormat="1">
      <c r="B27" s="401" t="s">
        <v>837</v>
      </c>
      <c r="C27" s="402"/>
      <c r="D27" s="402"/>
      <c r="E27" s="402"/>
      <c r="F27" s="402"/>
      <c r="G27" s="402"/>
      <c r="H27" s="402"/>
      <c r="I27" s="402"/>
      <c r="J27" s="402"/>
      <c r="K27" s="403"/>
      <c r="L27" s="404"/>
      <c r="M27" s="404"/>
      <c r="N27" s="404"/>
      <c r="O27" s="404"/>
      <c r="P27" s="404"/>
      <c r="Q27" s="404"/>
      <c r="R27" s="404"/>
      <c r="S27" s="404"/>
      <c r="T27" s="402"/>
      <c r="U27" s="404"/>
      <c r="V27" s="404"/>
      <c r="W27" s="402"/>
      <c r="X27" s="404"/>
      <c r="Y27" s="404"/>
      <c r="Z27" s="402"/>
      <c r="AA27" s="404"/>
      <c r="AB27" s="404"/>
      <c r="AC27" s="1384"/>
      <c r="AD27" s="404"/>
      <c r="AE27" s="404"/>
      <c r="AF27" s="427"/>
      <c r="AG27" s="404"/>
      <c r="AH27" s="404"/>
      <c r="AI27" s="427"/>
      <c r="AJ27" s="427"/>
      <c r="AK27" s="427"/>
      <c r="AL27" s="427"/>
      <c r="AM27" s="427"/>
      <c r="AN27" s="427"/>
      <c r="AO27" s="427"/>
      <c r="AP27" s="427"/>
      <c r="AQ27" s="427"/>
      <c r="AR27" s="427"/>
      <c r="AS27" s="427"/>
      <c r="AT27" s="427"/>
      <c r="AU27" s="427"/>
      <c r="AV27" s="427"/>
      <c r="AW27" s="427"/>
      <c r="AX27" s="427"/>
      <c r="AY27" s="427"/>
      <c r="AZ27" s="427"/>
      <c r="BA27" s="427"/>
      <c r="BB27" s="427"/>
      <c r="BC27" s="427"/>
      <c r="BD27" s="427"/>
      <c r="BE27" s="427"/>
      <c r="BF27" s="427"/>
      <c r="BG27" s="427"/>
      <c r="BH27" s="427"/>
      <c r="BI27" s="427"/>
      <c r="BJ27" s="427"/>
      <c r="BK27" s="402"/>
      <c r="BL27" s="402"/>
    </row>
    <row r="28" spans="2:64" s="377" customFormat="1">
      <c r="B28" s="377" t="s">
        <v>835</v>
      </c>
      <c r="K28" s="405"/>
      <c r="N28" s="377">
        <v>843.4</v>
      </c>
      <c r="Q28" s="377">
        <v>848</v>
      </c>
      <c r="T28" s="428">
        <f>Q33</f>
        <v>894.3</v>
      </c>
      <c r="U28" s="377">
        <f>T33</f>
        <v>923.69999999999982</v>
      </c>
      <c r="W28" s="428">
        <f>T33</f>
        <v>923.69999999999982</v>
      </c>
      <c r="X28" s="377">
        <f>W33</f>
        <v>944.39999999999975</v>
      </c>
      <c r="Z28" s="428">
        <f>W33</f>
        <v>944.39999999999975</v>
      </c>
      <c r="AA28" s="377">
        <f>Z33</f>
        <v>986.59999999999957</v>
      </c>
      <c r="AC28" s="429">
        <f>Z33</f>
        <v>986.59999999999957</v>
      </c>
      <c r="AD28" s="377">
        <f>AC33</f>
        <v>1109.7999999999997</v>
      </c>
      <c r="AF28" s="407">
        <f>AC33</f>
        <v>1109.7999999999997</v>
      </c>
      <c r="AG28" s="377">
        <f>AF33</f>
        <v>1123.5811040441918</v>
      </c>
      <c r="AI28" s="407">
        <f>AF33</f>
        <v>1123.5811040441918</v>
      </c>
      <c r="AJ28" s="407"/>
      <c r="AK28" s="407"/>
      <c r="AL28" s="407">
        <f>AI33</f>
        <v>1137.3938146370483</v>
      </c>
      <c r="AM28" s="407"/>
      <c r="AN28" s="407"/>
      <c r="AO28" s="407">
        <f>AL33</f>
        <v>1178.9218893433258</v>
      </c>
      <c r="AP28" s="407"/>
      <c r="AQ28" s="407"/>
      <c r="AR28" s="407">
        <f>AO33</f>
        <v>1221.5357774327799</v>
      </c>
      <c r="AS28" s="407"/>
      <c r="AT28" s="407"/>
      <c r="AU28" s="407">
        <f>AR33</f>
        <v>1265.24846568927</v>
      </c>
      <c r="AV28" s="407"/>
      <c r="AW28" s="407"/>
      <c r="AX28" s="407">
        <f>AU33</f>
        <v>1310.0726441061101</v>
      </c>
      <c r="AY28" s="407"/>
      <c r="AZ28" s="407"/>
      <c r="BA28" s="407">
        <f>AX33</f>
        <v>1356.0206947977811</v>
      </c>
      <c r="BB28" s="407"/>
      <c r="BC28" s="407"/>
      <c r="BD28" s="407">
        <f>BA33</f>
        <v>1403.1046811895251</v>
      </c>
      <c r="BE28" s="407"/>
      <c r="BF28" s="407"/>
      <c r="BG28" s="407">
        <f>BD33</f>
        <v>1451.3363374976318</v>
      </c>
      <c r="BH28" s="407"/>
      <c r="BI28" s="407"/>
      <c r="BJ28" s="407">
        <f t="shared" ref="BJ28" si="30">BG33</f>
        <v>1500.7270585126341</v>
      </c>
    </row>
    <row r="29" spans="2:64" s="377" customFormat="1">
      <c r="B29" s="377" t="s">
        <v>830</v>
      </c>
      <c r="K29" s="405"/>
      <c r="N29" s="377">
        <v>194</v>
      </c>
      <c r="Q29" s="377">
        <v>269</v>
      </c>
      <c r="T29" s="428">
        <v>257.3</v>
      </c>
      <c r="U29" s="377">
        <f>W29/2</f>
        <v>143.69999999999999</v>
      </c>
      <c r="W29" s="428">
        <v>287.39999999999998</v>
      </c>
      <c r="X29" s="377">
        <f>X33-X28-X31</f>
        <v>144.90000000000023</v>
      </c>
      <c r="Z29" s="428">
        <v>285.2</v>
      </c>
      <c r="AA29" s="377">
        <f>AC29/2</f>
        <v>185.65</v>
      </c>
      <c r="AC29" s="429">
        <v>371.3</v>
      </c>
      <c r="AD29" s="377">
        <f>AF29/2</f>
        <v>144.70159246401786</v>
      </c>
      <c r="AF29" s="407">
        <f>-AF31*1.05</f>
        <v>289.40318492803573</v>
      </c>
      <c r="AG29" s="377">
        <f>AI29/2</f>
        <v>145.03346122499295</v>
      </c>
      <c r="AI29" s="407">
        <f>-AI31*1.05</f>
        <v>290.0669224499859</v>
      </c>
      <c r="AJ29" s="407"/>
      <c r="AK29" s="407"/>
      <c r="AL29" s="407">
        <f t="shared" ref="AL29:AO29" si="31">-AL31*1.15</f>
        <v>318.38190608146226</v>
      </c>
      <c r="AM29" s="407"/>
      <c r="AN29" s="407"/>
      <c r="AO29" s="407">
        <f t="shared" si="31"/>
        <v>326.70647535248168</v>
      </c>
      <c r="AP29" s="407"/>
      <c r="AQ29" s="407"/>
      <c r="AR29" s="407">
        <f>-AR31*1.15</f>
        <v>335.13060996642315</v>
      </c>
      <c r="AS29" s="407"/>
      <c r="AT29" s="407"/>
      <c r="AU29" s="407">
        <f t="shared" ref="AU29:BJ29" si="32">-AU31*1.15</f>
        <v>343.65203452910828</v>
      </c>
      <c r="AV29" s="407"/>
      <c r="AW29" s="407"/>
      <c r="AX29" s="407">
        <f t="shared" si="32"/>
        <v>352.26838863614444</v>
      </c>
      <c r="AY29" s="407"/>
      <c r="AZ29" s="407"/>
      <c r="BA29" s="407">
        <f t="shared" si="32"/>
        <v>360.97722900337061</v>
      </c>
      <c r="BB29" s="407"/>
      <c r="BC29" s="407"/>
      <c r="BD29" s="407">
        <f t="shared" si="32"/>
        <v>369.77603169548507</v>
      </c>
      <c r="BE29" s="407"/>
      <c r="BF29" s="407"/>
      <c r="BG29" s="407">
        <f t="shared" si="32"/>
        <v>378.6621944483515</v>
      </c>
      <c r="BH29" s="407"/>
      <c r="BI29" s="407"/>
      <c r="BJ29" s="407">
        <f t="shared" si="32"/>
        <v>387.63303908036238</v>
      </c>
    </row>
    <row r="30" spans="2:64" s="377" customFormat="1">
      <c r="B30" s="377" t="s">
        <v>832</v>
      </c>
      <c r="K30" s="405"/>
      <c r="N30" s="377">
        <f>N33-(N28+N29+N31+N32)</f>
        <v>-9.2000000000000455</v>
      </c>
      <c r="Q30" s="377">
        <f>Q33-(Q28+Q29+Q31+Q32)</f>
        <v>-30.800000000000068</v>
      </c>
      <c r="T30" s="377">
        <v>-17.399999999999999</v>
      </c>
      <c r="W30" s="428">
        <v>-51.9</v>
      </c>
      <c r="Z30" s="428">
        <v>-12.9</v>
      </c>
      <c r="AC30" s="429">
        <v>-1</v>
      </c>
      <c r="AF30" s="407"/>
      <c r="AI30" s="407"/>
      <c r="AJ30" s="407"/>
      <c r="AK30" s="407"/>
      <c r="AL30" s="407"/>
      <c r="AM30" s="407"/>
      <c r="AN30" s="407"/>
      <c r="AO30" s="407"/>
      <c r="AP30" s="407"/>
      <c r="AQ30" s="407"/>
      <c r="AR30" s="407"/>
      <c r="AS30" s="407"/>
      <c r="AT30" s="407"/>
      <c r="AU30" s="407"/>
      <c r="AV30" s="407"/>
      <c r="AW30" s="407"/>
      <c r="AX30" s="407"/>
      <c r="AY30" s="407"/>
      <c r="AZ30" s="407"/>
      <c r="BA30" s="407"/>
      <c r="BB30" s="407"/>
      <c r="BC30" s="407"/>
      <c r="BD30" s="407"/>
      <c r="BE30" s="407"/>
      <c r="BF30" s="407"/>
      <c r="BG30" s="407"/>
      <c r="BH30" s="407"/>
      <c r="BI30" s="407"/>
      <c r="BJ30" s="407"/>
    </row>
    <row r="31" spans="2:64" s="377" customFormat="1">
      <c r="B31" s="377" t="s">
        <v>824</v>
      </c>
      <c r="K31" s="405"/>
      <c r="N31" s="377">
        <v>-180.2</v>
      </c>
      <c r="Q31" s="377">
        <f>Q61</f>
        <v>-191.9</v>
      </c>
      <c r="T31" s="428">
        <v>-207.5</v>
      </c>
      <c r="U31" s="377">
        <f>W31/2</f>
        <v>-107.3</v>
      </c>
      <c r="W31" s="428">
        <v>-214.6</v>
      </c>
      <c r="X31" s="428">
        <v>-112.9</v>
      </c>
      <c r="Z31" s="428">
        <v>-230.6</v>
      </c>
      <c r="AA31" s="428">
        <f>AC31/2</f>
        <v>-123.75</v>
      </c>
      <c r="AC31" s="429">
        <v>-247.5</v>
      </c>
      <c r="AD31" s="377">
        <f>AF31/2</f>
        <v>-137.81104044192176</v>
      </c>
      <c r="AF31" s="407">
        <f>AC31/AC28*AF28*0.99</f>
        <v>-275.62208088384352</v>
      </c>
      <c r="AG31" s="377">
        <f>AI31/2</f>
        <v>-138.1271059285647</v>
      </c>
      <c r="AI31" s="407">
        <f>AF31/AF28*AI28*0.99</f>
        <v>-276.25421185712941</v>
      </c>
      <c r="AJ31" s="407"/>
      <c r="AK31" s="407"/>
      <c r="AL31" s="407">
        <f>AI31/AI28*AL28*0.99</f>
        <v>-276.8538313751846</v>
      </c>
      <c r="AM31" s="407"/>
      <c r="AN31" s="407"/>
      <c r="AO31" s="407">
        <f>AL31/AL28*AO28*0.99</f>
        <v>-284.09258726302755</v>
      </c>
      <c r="AP31" s="407"/>
      <c r="AQ31" s="407"/>
      <c r="AR31" s="407">
        <f>AO31/AO28*AR28*0.99</f>
        <v>-291.41792170993318</v>
      </c>
      <c r="AS31" s="407"/>
      <c r="AT31" s="407"/>
      <c r="AU31" s="407">
        <f>AR31/AR28*AU28*0.99</f>
        <v>-298.82785611226808</v>
      </c>
      <c r="AV31" s="407"/>
      <c r="AW31" s="407"/>
      <c r="AX31" s="407">
        <f>AU31/AU28*AX28*0.99</f>
        <v>-306.32033794447347</v>
      </c>
      <c r="AY31" s="407"/>
      <c r="AZ31" s="407"/>
      <c r="BA31" s="407">
        <f>AX31/AX28*BA28*0.99</f>
        <v>-313.89324261162665</v>
      </c>
      <c r="BB31" s="407"/>
      <c r="BC31" s="407"/>
      <c r="BD31" s="407">
        <f>BA31/BA28*BD28*0.99</f>
        <v>-321.54437538737835</v>
      </c>
      <c r="BE31" s="407"/>
      <c r="BF31" s="407"/>
      <c r="BG31" s="407">
        <f>BD31/BD28*BG28*0.99</f>
        <v>-329.27147343334917</v>
      </c>
      <c r="BH31" s="407"/>
      <c r="BI31" s="407"/>
      <c r="BJ31" s="407">
        <f t="shared" ref="BJ31" si="33">BG31/BG28*BJ28*0.99</f>
        <v>-337.07220789596732</v>
      </c>
    </row>
    <row r="32" spans="2:64" s="377" customFormat="1">
      <c r="B32" s="377" t="s">
        <v>836</v>
      </c>
      <c r="K32" s="405"/>
      <c r="Q32" s="428">
        <v>0</v>
      </c>
      <c r="R32" s="428"/>
      <c r="S32" s="428"/>
      <c r="T32" s="428">
        <v>-3</v>
      </c>
      <c r="U32" s="428"/>
      <c r="V32" s="428"/>
      <c r="W32" s="428">
        <f>-0.2</f>
        <v>-0.2</v>
      </c>
      <c r="X32" s="428"/>
      <c r="Y32" s="428"/>
      <c r="Z32" s="428">
        <f>0.8-0.3</f>
        <v>0.5</v>
      </c>
      <c r="AA32" s="428"/>
      <c r="AB32" s="428"/>
      <c r="AC32" s="429">
        <f>-0.5+0.9</f>
        <v>0.4</v>
      </c>
      <c r="AF32" s="407"/>
      <c r="AI32" s="407"/>
      <c r="AJ32" s="407"/>
      <c r="AK32" s="407"/>
      <c r="AL32" s="407"/>
      <c r="AM32" s="407"/>
      <c r="AN32" s="407"/>
      <c r="AO32" s="407"/>
      <c r="AP32" s="407"/>
      <c r="AQ32" s="407"/>
      <c r="AR32" s="407"/>
      <c r="AS32" s="407"/>
      <c r="AT32" s="407"/>
      <c r="AU32" s="407"/>
      <c r="AV32" s="407"/>
      <c r="AW32" s="407"/>
      <c r="AX32" s="407"/>
      <c r="AY32" s="407"/>
      <c r="AZ32" s="407"/>
      <c r="BA32" s="407"/>
      <c r="BB32" s="407"/>
      <c r="BC32" s="407"/>
      <c r="BD32" s="407"/>
      <c r="BE32" s="407"/>
      <c r="BF32" s="407"/>
      <c r="BG32" s="407"/>
      <c r="BH32" s="407"/>
      <c r="BI32" s="407"/>
      <c r="BJ32" s="407"/>
    </row>
    <row r="33" spans="2:64" s="411" customFormat="1">
      <c r="B33" s="411" t="s">
        <v>833</v>
      </c>
      <c r="K33" s="412"/>
      <c r="N33" s="411">
        <v>848</v>
      </c>
      <c r="Q33" s="411">
        <v>894.3</v>
      </c>
      <c r="R33" s="411">
        <v>913.1</v>
      </c>
      <c r="T33" s="411">
        <f>SUM(T28:T32)</f>
        <v>923.69999999999982</v>
      </c>
      <c r="U33" s="411">
        <f>SUM(U28:U32)</f>
        <v>960.09999999999991</v>
      </c>
      <c r="W33" s="411">
        <f>SUM(W28:W32)</f>
        <v>944.39999999999975</v>
      </c>
      <c r="X33" s="411">
        <f>MODEL!X160</f>
        <v>976.4</v>
      </c>
      <c r="Z33" s="411">
        <f>SUM(Z28:Z32)</f>
        <v>986.59999999999957</v>
      </c>
      <c r="AA33" s="411">
        <f>SUM(AA28:AA32)</f>
        <v>1048.4999999999995</v>
      </c>
      <c r="AC33" s="430">
        <f t="shared" ref="AC33:AU33" si="34">SUM(AC28:AC32)</f>
        <v>1109.7999999999997</v>
      </c>
      <c r="AD33" s="411">
        <f>SUM(AD28:AD32)</f>
        <v>1116.690552022096</v>
      </c>
      <c r="AF33" s="414">
        <f t="shared" si="34"/>
        <v>1123.5811040441918</v>
      </c>
      <c r="AG33" s="411">
        <f>SUM(AG28:AG32)</f>
        <v>1130.48745934062</v>
      </c>
      <c r="AI33" s="414">
        <f t="shared" si="34"/>
        <v>1137.3938146370483</v>
      </c>
      <c r="AJ33" s="414"/>
      <c r="AK33" s="414"/>
      <c r="AL33" s="414">
        <f t="shared" si="34"/>
        <v>1178.9218893433258</v>
      </c>
      <c r="AM33" s="414"/>
      <c r="AN33" s="414"/>
      <c r="AO33" s="414">
        <f t="shared" si="34"/>
        <v>1221.5357774327799</v>
      </c>
      <c r="AP33" s="414"/>
      <c r="AQ33" s="414"/>
      <c r="AR33" s="414">
        <f t="shared" si="34"/>
        <v>1265.24846568927</v>
      </c>
      <c r="AS33" s="414"/>
      <c r="AT33" s="414"/>
      <c r="AU33" s="414">
        <f t="shared" si="34"/>
        <v>1310.0726441061101</v>
      </c>
      <c r="AV33" s="414"/>
      <c r="AW33" s="414"/>
      <c r="AX33" s="414">
        <f t="shared" ref="AX33" si="35">SUM(AX28:AX32)</f>
        <v>1356.0206947977811</v>
      </c>
      <c r="AY33" s="414"/>
      <c r="AZ33" s="414"/>
      <c r="BA33" s="414">
        <f t="shared" ref="BA33:BD33" si="36">SUM(BA28:BA32)</f>
        <v>1403.1046811895251</v>
      </c>
      <c r="BB33" s="414"/>
      <c r="BC33" s="414"/>
      <c r="BD33" s="414">
        <f t="shared" si="36"/>
        <v>1451.3363374976318</v>
      </c>
      <c r="BE33" s="414"/>
      <c r="BF33" s="414"/>
      <c r="BG33" s="414">
        <f t="shared" ref="BG33:BJ33" si="37">SUM(BG28:BG32)</f>
        <v>1500.7270585126341</v>
      </c>
      <c r="BH33" s="414"/>
      <c r="BI33" s="414"/>
      <c r="BJ33" s="414">
        <f t="shared" si="37"/>
        <v>1551.2878896970292</v>
      </c>
    </row>
    <row r="34" spans="2:64" s="377" customFormat="1">
      <c r="K34" s="405"/>
      <c r="AA34" s="452">
        <f>AA31/X31-1</f>
        <v>9.610274579273681E-2</v>
      </c>
      <c r="AC34" s="1383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</row>
    <row r="35" spans="2:64" s="401" customFormat="1">
      <c r="B35" s="401" t="s">
        <v>838</v>
      </c>
      <c r="C35" s="402"/>
      <c r="D35" s="402"/>
      <c r="E35" s="402"/>
      <c r="F35" s="402"/>
      <c r="G35" s="402"/>
      <c r="H35" s="402"/>
      <c r="I35" s="402"/>
      <c r="J35" s="402"/>
      <c r="K35" s="403"/>
      <c r="L35" s="404"/>
      <c r="M35" s="404"/>
      <c r="N35" s="404"/>
      <c r="O35" s="404"/>
      <c r="P35" s="404"/>
      <c r="Q35" s="404"/>
      <c r="R35" s="404"/>
      <c r="S35" s="404"/>
      <c r="T35" s="402"/>
      <c r="U35" s="404"/>
      <c r="V35" s="404"/>
      <c r="W35" s="402"/>
      <c r="X35" s="404"/>
      <c r="Y35" s="404"/>
      <c r="Z35" s="402"/>
      <c r="AA35" s="404"/>
      <c r="AB35" s="404"/>
      <c r="AC35" s="1384"/>
      <c r="AD35" s="404"/>
      <c r="AE35" s="404"/>
      <c r="AF35" s="427"/>
      <c r="AG35" s="404"/>
      <c r="AH35" s="404"/>
      <c r="AI35" s="427"/>
      <c r="AJ35" s="427"/>
      <c r="AK35" s="427"/>
      <c r="AL35" s="427"/>
      <c r="AM35" s="427"/>
      <c r="AN35" s="427"/>
      <c r="AO35" s="427"/>
      <c r="AP35" s="427"/>
      <c r="AQ35" s="427"/>
      <c r="AR35" s="427"/>
      <c r="AS35" s="427"/>
      <c r="AT35" s="427"/>
      <c r="AU35" s="427"/>
      <c r="AV35" s="427"/>
      <c r="AW35" s="427"/>
      <c r="AX35" s="427"/>
      <c r="AY35" s="427"/>
      <c r="AZ35" s="427"/>
      <c r="BA35" s="427"/>
      <c r="BB35" s="427"/>
      <c r="BC35" s="427"/>
      <c r="BD35" s="427"/>
      <c r="BE35" s="427"/>
      <c r="BF35" s="427"/>
      <c r="BG35" s="427"/>
      <c r="BH35" s="427"/>
      <c r="BI35" s="427"/>
      <c r="BJ35" s="427"/>
      <c r="BK35" s="402"/>
      <c r="BL35" s="402"/>
    </row>
    <row r="36" spans="2:64" s="377" customFormat="1">
      <c r="B36" s="377" t="s">
        <v>835</v>
      </c>
      <c r="K36" s="405"/>
      <c r="N36" s="377">
        <v>930.1</v>
      </c>
      <c r="Q36" s="377">
        <v>939.3</v>
      </c>
      <c r="T36" s="428">
        <f>Q40</f>
        <v>989.6</v>
      </c>
      <c r="U36" s="377">
        <f>T40</f>
        <v>1010.7</v>
      </c>
      <c r="W36" s="428">
        <f>T40</f>
        <v>1010.7</v>
      </c>
      <c r="X36" s="377">
        <f>W40</f>
        <v>1035</v>
      </c>
      <c r="Z36" s="428">
        <f>W40</f>
        <v>1035</v>
      </c>
      <c r="AA36" s="377">
        <f>Z40</f>
        <v>1103.4000000000001</v>
      </c>
      <c r="AC36" s="429">
        <f>Z40</f>
        <v>1103.4000000000001</v>
      </c>
      <c r="AD36" s="377">
        <f>AC40</f>
        <v>1235.8000000000002</v>
      </c>
      <c r="AF36" s="406">
        <f>AC40</f>
        <v>1235.8000000000002</v>
      </c>
      <c r="AG36" s="377">
        <f>AF40</f>
        <v>1276.3336849280358</v>
      </c>
      <c r="AI36" s="406">
        <f>AF40</f>
        <v>1276.3336849280358</v>
      </c>
      <c r="AJ36" s="406"/>
      <c r="AK36" s="406"/>
      <c r="AL36" s="406">
        <f>AI40</f>
        <v>1300.7808416244234</v>
      </c>
      <c r="AM36" s="406"/>
      <c r="AN36" s="406"/>
      <c r="AO36" s="406">
        <f>AL40</f>
        <v>1344.8822462871067</v>
      </c>
      <c r="AP36" s="406"/>
      <c r="AQ36" s="406"/>
      <c r="AR36" s="406">
        <f>AO40</f>
        <v>1386.6439396563694</v>
      </c>
      <c r="AS36" s="406"/>
      <c r="AT36" s="406"/>
      <c r="AU36" s="406">
        <f>AR40</f>
        <v>1428.2106906331826</v>
      </c>
      <c r="AV36" s="406"/>
      <c r="AW36" s="406"/>
      <c r="AX36" s="406">
        <f>AU40</f>
        <v>1469.3475693644323</v>
      </c>
      <c r="AY36" s="406"/>
      <c r="AZ36" s="406"/>
      <c r="BA36" s="406">
        <f>AX40</f>
        <v>1509.7967014448318</v>
      </c>
      <c r="BB36" s="406"/>
      <c r="BC36" s="406"/>
      <c r="BD36" s="406">
        <f>BA40</f>
        <v>1549.2759037541152</v>
      </c>
      <c r="BE36" s="406"/>
      <c r="BF36" s="406"/>
      <c r="BG36" s="406">
        <f>BD40</f>
        <v>1587.4772607045738</v>
      </c>
      <c r="BH36" s="406"/>
      <c r="BI36" s="406"/>
      <c r="BJ36" s="406">
        <f t="shared" ref="BJ36" si="38">BG40</f>
        <v>1624.0656387317747</v>
      </c>
    </row>
    <row r="37" spans="2:64" s="377" customFormat="1">
      <c r="B37" s="377" t="s">
        <v>830</v>
      </c>
      <c r="K37" s="405"/>
      <c r="N37" s="377">
        <f>N29</f>
        <v>194</v>
      </c>
      <c r="Q37" s="377">
        <f>Q29</f>
        <v>269</v>
      </c>
      <c r="T37" s="428">
        <f>255.9-1.3</f>
        <v>254.6</v>
      </c>
      <c r="U37" s="416">
        <f t="shared" ref="U37" si="39">U29</f>
        <v>143.69999999999999</v>
      </c>
      <c r="W37" s="428">
        <f>286.6+0.4</f>
        <v>287</v>
      </c>
      <c r="X37" s="377">
        <f>X40-X39-X36</f>
        <v>143.10000000000014</v>
      </c>
      <c r="Z37" s="428">
        <v>282.10000000000002</v>
      </c>
      <c r="AA37" s="377">
        <f>AA40-AA39-AA36</f>
        <v>128.89999999999986</v>
      </c>
      <c r="AC37" s="429">
        <v>364.4</v>
      </c>
      <c r="AD37" s="377">
        <f t="shared" ref="AD37" si="40">AD29</f>
        <v>144.70159246401786</v>
      </c>
      <c r="AF37" s="377">
        <f>AF29</f>
        <v>289.40318492803573</v>
      </c>
      <c r="AG37" s="377">
        <f t="shared" ref="AG37:AU37" si="41">AG29</f>
        <v>145.03346122499295</v>
      </c>
      <c r="AI37" s="377">
        <f t="shared" si="41"/>
        <v>290.0669224499859</v>
      </c>
      <c r="AL37" s="377">
        <f t="shared" si="41"/>
        <v>318.38190608146226</v>
      </c>
      <c r="AO37" s="377">
        <f>AO29</f>
        <v>326.70647535248168</v>
      </c>
      <c r="AR37" s="377">
        <f t="shared" si="41"/>
        <v>335.13060996642315</v>
      </c>
      <c r="AU37" s="377">
        <f t="shared" si="41"/>
        <v>343.65203452910828</v>
      </c>
      <c r="AX37" s="377">
        <f t="shared" ref="AX37" si="42">AX29</f>
        <v>352.26838863614444</v>
      </c>
      <c r="BA37" s="377">
        <f t="shared" ref="BA37:BD37" si="43">BA29</f>
        <v>360.97722900337061</v>
      </c>
      <c r="BD37" s="377">
        <f t="shared" si="43"/>
        <v>369.77603169548507</v>
      </c>
      <c r="BG37" s="377">
        <f>BG29</f>
        <v>378.6621944483515</v>
      </c>
      <c r="BJ37" s="377">
        <f>BJ29</f>
        <v>387.63303908036238</v>
      </c>
    </row>
    <row r="38" spans="2:64" s="377" customFormat="1">
      <c r="B38" s="377" t="s">
        <v>839</v>
      </c>
      <c r="K38" s="405"/>
      <c r="N38" s="377">
        <f>N40-(N36+N37+N39)</f>
        <v>-13</v>
      </c>
      <c r="Q38" s="377">
        <f>Q40-(Q36+Q37+Q39)</f>
        <v>-30.599999999999909</v>
      </c>
      <c r="T38" s="428">
        <v>-17.5</v>
      </c>
      <c r="W38" s="428">
        <v>-52.2</v>
      </c>
      <c r="Z38" s="428">
        <f>-13.9-0.7</f>
        <v>-14.6</v>
      </c>
      <c r="AC38" s="429">
        <f>-1.4+1</f>
        <v>-0.39999999999999991</v>
      </c>
      <c r="AF38" s="406"/>
      <c r="AI38" s="406"/>
      <c r="AJ38" s="406"/>
      <c r="AK38" s="406"/>
      <c r="AL38" s="406"/>
      <c r="AM38" s="406"/>
      <c r="AN38" s="406"/>
      <c r="AO38" s="406"/>
      <c r="AP38" s="406"/>
      <c r="AQ38" s="406"/>
      <c r="AR38" s="406"/>
      <c r="AS38" s="406"/>
      <c r="AT38" s="406"/>
      <c r="AU38" s="406"/>
      <c r="AV38" s="406"/>
      <c r="AW38" s="406"/>
      <c r="AX38" s="406"/>
      <c r="AY38" s="406"/>
      <c r="AZ38" s="406"/>
      <c r="BA38" s="406"/>
      <c r="BB38" s="406"/>
      <c r="BC38" s="406"/>
      <c r="BD38" s="406"/>
      <c r="BE38" s="406"/>
      <c r="BF38" s="406"/>
      <c r="BG38" s="406"/>
      <c r="BH38" s="406"/>
      <c r="BI38" s="406"/>
      <c r="BJ38" s="406"/>
    </row>
    <row r="39" spans="2:64" s="377" customFormat="1">
      <c r="B39" s="377" t="s">
        <v>840</v>
      </c>
      <c r="K39" s="405"/>
      <c r="N39" s="377">
        <f>MODEL!N124</f>
        <v>-171.8</v>
      </c>
      <c r="Q39" s="377">
        <f>-188.1</f>
        <v>-188.1</v>
      </c>
      <c r="T39" s="428">
        <f>-254.9+38.9</f>
        <v>-216</v>
      </c>
      <c r="U39" s="377">
        <f>W39*0.5</f>
        <v>-105.25</v>
      </c>
      <c r="W39" s="428">
        <f>-252.5+42</f>
        <v>-210.5</v>
      </c>
      <c r="X39" s="377">
        <f>MODEL!X124</f>
        <v>-88.9</v>
      </c>
      <c r="Z39" s="428">
        <f>-251.5+52.4</f>
        <v>-199.1</v>
      </c>
      <c r="AA39" s="377">
        <f>MODEL!AA124</f>
        <v>-114.3</v>
      </c>
      <c r="AC39" s="429">
        <f>-294.6+63</f>
        <v>-231.60000000000002</v>
      </c>
      <c r="AD39" s="377">
        <f>AF39*0.5</f>
        <v>-124.43475000000001</v>
      </c>
      <c r="AF39" s="406">
        <f>AF45-AF42</f>
        <v>-248.86950000000002</v>
      </c>
      <c r="AG39" s="377">
        <f>AI39*0.5</f>
        <v>-132.80988287679912</v>
      </c>
      <c r="AI39" s="406">
        <f t="shared" ref="AI39:BG39" si="44">AI45-AI42</f>
        <v>-265.61976575359824</v>
      </c>
      <c r="AJ39" s="406"/>
      <c r="AK39" s="406"/>
      <c r="AL39" s="406">
        <f t="shared" si="44"/>
        <v>-274.2805014187789</v>
      </c>
      <c r="AM39" s="406"/>
      <c r="AN39" s="406"/>
      <c r="AO39" s="406">
        <f t="shared" si="44"/>
        <v>-284.94478198321895</v>
      </c>
      <c r="AP39" s="406"/>
      <c r="AQ39" s="406"/>
      <c r="AR39" s="406">
        <f t="shared" si="44"/>
        <v>-293.56385898960997</v>
      </c>
      <c r="AS39" s="406"/>
      <c r="AT39" s="406"/>
      <c r="AU39" s="406">
        <f t="shared" si="44"/>
        <v>-302.51515579785848</v>
      </c>
      <c r="AV39" s="406"/>
      <c r="AW39" s="406"/>
      <c r="AX39" s="406">
        <f t="shared" si="44"/>
        <v>-311.81925655574491</v>
      </c>
      <c r="AY39" s="406"/>
      <c r="AZ39" s="406"/>
      <c r="BA39" s="406">
        <f t="shared" si="44"/>
        <v>-321.49802669408723</v>
      </c>
      <c r="BB39" s="406"/>
      <c r="BC39" s="406"/>
      <c r="BD39" s="406">
        <f t="shared" si="44"/>
        <v>-331.57467474502653</v>
      </c>
      <c r="BE39" s="406"/>
      <c r="BF39" s="406"/>
      <c r="BG39" s="406">
        <f t="shared" si="44"/>
        <v>-342.0738164211507</v>
      </c>
      <c r="BH39" s="406"/>
      <c r="BI39" s="406"/>
      <c r="BJ39" s="406">
        <f t="shared" ref="BJ39" si="45">BJ45-BJ42</f>
        <v>-353.02154102389102</v>
      </c>
    </row>
    <row r="40" spans="2:64" s="411" customFormat="1">
      <c r="B40" s="411" t="s">
        <v>833</v>
      </c>
      <c r="K40" s="412"/>
      <c r="N40" s="411">
        <v>939.3</v>
      </c>
      <c r="Q40" s="411">
        <v>989.6</v>
      </c>
      <c r="R40" s="411">
        <v>1012.4</v>
      </c>
      <c r="T40" s="431">
        <f>SUM(T36:T39)</f>
        <v>1010.7</v>
      </c>
      <c r="U40" s="411">
        <f>SUM(U36:U39)</f>
        <v>1049.1500000000001</v>
      </c>
      <c r="W40" s="431">
        <f>SUM(W36:W39)</f>
        <v>1035</v>
      </c>
      <c r="X40" s="411">
        <f>MODEL!X177+MODEL!X169</f>
        <v>1089.2</v>
      </c>
      <c r="Z40" s="431">
        <f>SUM(Z36:Z39)</f>
        <v>1103.4000000000001</v>
      </c>
      <c r="AA40" s="411">
        <f>MODEL!AA177+MODEL!AA169</f>
        <v>1118</v>
      </c>
      <c r="AC40" s="432">
        <f t="shared" ref="AC40:AU40" si="46">SUM(AC36:AC39)</f>
        <v>1235.8000000000002</v>
      </c>
      <c r="AD40" s="411">
        <f>SUM(AD36:AD39)</f>
        <v>1256.066842464018</v>
      </c>
      <c r="AF40" s="413">
        <f t="shared" si="46"/>
        <v>1276.3336849280358</v>
      </c>
      <c r="AG40" s="411">
        <f>SUM(AG36:AG39)</f>
        <v>1288.5572632762298</v>
      </c>
      <c r="AI40" s="413">
        <f t="shared" si="46"/>
        <v>1300.7808416244234</v>
      </c>
      <c r="AJ40" s="413"/>
      <c r="AK40" s="413"/>
      <c r="AL40" s="413">
        <f t="shared" si="46"/>
        <v>1344.8822462871067</v>
      </c>
      <c r="AM40" s="413"/>
      <c r="AN40" s="413"/>
      <c r="AO40" s="413">
        <f t="shared" si="46"/>
        <v>1386.6439396563694</v>
      </c>
      <c r="AP40" s="413"/>
      <c r="AQ40" s="413"/>
      <c r="AR40" s="413">
        <f t="shared" si="46"/>
        <v>1428.2106906331826</v>
      </c>
      <c r="AS40" s="413"/>
      <c r="AT40" s="413"/>
      <c r="AU40" s="413">
        <f t="shared" si="46"/>
        <v>1469.3475693644323</v>
      </c>
      <c r="AV40" s="413"/>
      <c r="AW40" s="413"/>
      <c r="AX40" s="413">
        <f t="shared" ref="AX40" si="47">SUM(AX36:AX39)</f>
        <v>1509.7967014448318</v>
      </c>
      <c r="AY40" s="413"/>
      <c r="AZ40" s="413"/>
      <c r="BA40" s="413">
        <f t="shared" ref="BA40:BD40" si="48">SUM(BA36:BA39)</f>
        <v>1549.2759037541152</v>
      </c>
      <c r="BB40" s="413"/>
      <c r="BC40" s="413"/>
      <c r="BD40" s="413">
        <f t="shared" si="48"/>
        <v>1587.4772607045738</v>
      </c>
      <c r="BE40" s="413"/>
      <c r="BF40" s="413"/>
      <c r="BG40" s="413">
        <f t="shared" ref="BG40:BJ40" si="49">SUM(BG36:BG39)</f>
        <v>1624.0656387317747</v>
      </c>
      <c r="BH40" s="413"/>
      <c r="BI40" s="413"/>
      <c r="BJ40" s="413">
        <f t="shared" si="49"/>
        <v>1658.6771367882461</v>
      </c>
    </row>
    <row r="41" spans="2:64" s="377" customFormat="1">
      <c r="K41" s="405"/>
      <c r="AC41" s="416"/>
      <c r="AF41" s="406"/>
      <c r="AI41" s="406"/>
      <c r="AJ41" s="406"/>
      <c r="AK41" s="406"/>
      <c r="AL41" s="406"/>
      <c r="AM41" s="406"/>
      <c r="AN41" s="406"/>
      <c r="AO41" s="406"/>
      <c r="AP41" s="406"/>
      <c r="AQ41" s="406"/>
      <c r="AR41" s="406"/>
      <c r="AS41" s="406"/>
      <c r="AT41" s="406"/>
      <c r="AU41" s="406"/>
      <c r="AV41" s="406"/>
      <c r="AW41" s="406"/>
      <c r="AX41" s="406"/>
      <c r="AY41" s="406"/>
      <c r="AZ41" s="406"/>
      <c r="BA41" s="406"/>
      <c r="BB41" s="406"/>
      <c r="BC41" s="406"/>
      <c r="BD41" s="406"/>
      <c r="BE41" s="406"/>
      <c r="BF41" s="406"/>
      <c r="BG41" s="406"/>
      <c r="BH41" s="406"/>
      <c r="BI41" s="406"/>
      <c r="BJ41" s="406"/>
    </row>
    <row r="42" spans="2:64" s="377" customFormat="1">
      <c r="B42" s="377" t="s">
        <v>841</v>
      </c>
      <c r="K42" s="405"/>
      <c r="N42" s="377">
        <v>-37.299999999999997</v>
      </c>
      <c r="Q42" s="377">
        <v>-35.200000000000003</v>
      </c>
      <c r="T42" s="428">
        <v>-38.9</v>
      </c>
      <c r="U42" s="377">
        <f>W42/2</f>
        <v>-21</v>
      </c>
      <c r="W42" s="428">
        <v>-42</v>
      </c>
      <c r="X42" s="428">
        <v>-25</v>
      </c>
      <c r="Z42" s="428">
        <v>-52.4</v>
      </c>
      <c r="AA42" s="428">
        <v>-29.3</v>
      </c>
      <c r="AC42" s="429">
        <v>-63</v>
      </c>
      <c r="AD42" s="377">
        <f>AF42/2</f>
        <v>-32.439750000000004</v>
      </c>
      <c r="AF42" s="407">
        <f>AF43*AVERAGE(AC40)</f>
        <v>-64.879500000000007</v>
      </c>
      <c r="AG42" s="377">
        <f>AI42/2</f>
        <v>-31.908342123200896</v>
      </c>
      <c r="AI42" s="407">
        <f>AI43*AVERAGE(AF40)</f>
        <v>-63.816684246401792</v>
      </c>
      <c r="AJ42" s="407"/>
      <c r="AK42" s="407"/>
      <c r="AL42" s="407">
        <f>AL43*AVERAGE(AI40)</f>
        <v>-65.039042081221169</v>
      </c>
      <c r="AM42" s="407"/>
      <c r="AN42" s="407"/>
      <c r="AO42" s="407">
        <f>AO43*AVERAGE(AL40)</f>
        <v>-64.554347821781121</v>
      </c>
      <c r="AP42" s="407"/>
      <c r="AQ42" s="407"/>
      <c r="AR42" s="407">
        <f>AR43*AVERAGE(AO40)</f>
        <v>-66.420244709540086</v>
      </c>
      <c r="AS42" s="407"/>
      <c r="AT42" s="407"/>
      <c r="AU42" s="407">
        <f>AU43*AVERAGE(AR40)</f>
        <v>-68.268471012266119</v>
      </c>
      <c r="AV42" s="407"/>
      <c r="AW42" s="407"/>
      <c r="AX42" s="407">
        <f>AX43*AVERAGE(AU40)</f>
        <v>-70.087879058683413</v>
      </c>
      <c r="AY42" s="407"/>
      <c r="AZ42" s="407"/>
      <c r="BA42" s="407">
        <f>BA43*AVERAGE(AX40)</f>
        <v>-71.866322988773973</v>
      </c>
      <c r="BB42" s="407"/>
      <c r="BC42" s="407"/>
      <c r="BD42" s="407">
        <f>BD43*AVERAGE(BA40)</f>
        <v>-73.590605428320458</v>
      </c>
      <c r="BE42" s="407"/>
      <c r="BF42" s="407"/>
      <c r="BG42" s="407">
        <f>BG43*AVERAGE(BD40)</f>
        <v>-75.246422157396779</v>
      </c>
      <c r="BH42" s="407"/>
      <c r="BI42" s="407"/>
      <c r="BJ42" s="407">
        <f t="shared" ref="BJ42" si="50">BJ43*AVERAGE(BG40)</f>
        <v>-76.818304712012917</v>
      </c>
    </row>
    <row r="43" spans="2:64">
      <c r="B43" s="122" t="s">
        <v>842</v>
      </c>
      <c r="N43" s="310">
        <f>N42/AVERAGE(N36,N40)</f>
        <v>-3.9905852145073278E-2</v>
      </c>
      <c r="Q43" s="310">
        <f>Q42/AVERAGE(Q36,Q40)</f>
        <v>-3.6497485613562135E-2</v>
      </c>
      <c r="R43" s="310"/>
      <c r="S43" s="310"/>
      <c r="T43" s="310">
        <f>T42/AVERAGE(T36,T40)</f>
        <v>-3.8894165875118729E-2</v>
      </c>
      <c r="U43" s="124"/>
      <c r="V43" s="124"/>
      <c r="W43" s="310">
        <f>W42/AVERAGE(W36,W40)</f>
        <v>-4.1061739257955712E-2</v>
      </c>
      <c r="X43" s="310">
        <f>X42/AVERAGE(X36,X40)*2</f>
        <v>-4.7076546464551366E-2</v>
      </c>
      <c r="Y43" s="124"/>
      <c r="Z43" s="310">
        <f>Z42/AVERAGE(Z36,Z40)</f>
        <v>-4.9008604564160119E-2</v>
      </c>
      <c r="AA43" s="310">
        <f>AA42/AVERAGE(AA36,AA40)*2</f>
        <v>-5.2759521022778429E-2</v>
      </c>
      <c r="AB43" s="124"/>
      <c r="AC43" s="434">
        <f>AC42/AVERAGE(AC36,AC40)</f>
        <v>-5.3864569083447326E-2</v>
      </c>
      <c r="AD43" s="436"/>
      <c r="AE43" s="436"/>
      <c r="AF43" s="436">
        <v>-5.2499999999999998E-2</v>
      </c>
      <c r="AG43" s="436"/>
      <c r="AH43" s="436"/>
      <c r="AI43" s="436">
        <v>-0.05</v>
      </c>
      <c r="AJ43" s="436"/>
      <c r="AK43" s="436"/>
      <c r="AL43" s="436">
        <v>-0.05</v>
      </c>
      <c r="AM43" s="436"/>
      <c r="AN43" s="436"/>
      <c r="AO43" s="436">
        <v>-4.8000000000000001E-2</v>
      </c>
      <c r="AP43" s="436"/>
      <c r="AQ43" s="436"/>
      <c r="AR43" s="436">
        <f>AO43+0.01%</f>
        <v>-4.7899999999999998E-2</v>
      </c>
      <c r="AS43" s="436">
        <f t="shared" ref="AS43:BA43" si="51">AP43+0.01%</f>
        <v>1E-4</v>
      </c>
      <c r="AT43" s="436">
        <f t="shared" si="51"/>
        <v>1E-4</v>
      </c>
      <c r="AU43" s="436">
        <f t="shared" si="51"/>
        <v>-4.7799999999999995E-2</v>
      </c>
      <c r="AV43" s="436">
        <f t="shared" si="51"/>
        <v>2.0000000000000001E-4</v>
      </c>
      <c r="AW43" s="436">
        <f t="shared" si="51"/>
        <v>2.0000000000000001E-4</v>
      </c>
      <c r="AX43" s="436">
        <f t="shared" si="51"/>
        <v>-4.7699999999999992E-2</v>
      </c>
      <c r="AY43" s="436">
        <f t="shared" si="51"/>
        <v>3.0000000000000003E-4</v>
      </c>
      <c r="AZ43" s="436">
        <f t="shared" si="51"/>
        <v>3.0000000000000003E-4</v>
      </c>
      <c r="BA43" s="436">
        <f t="shared" si="51"/>
        <v>-4.759999999999999E-2</v>
      </c>
      <c r="BB43" s="436"/>
      <c r="BC43" s="436"/>
      <c r="BD43" s="436">
        <f t="shared" ref="BD43" si="52">BA43+0.01%</f>
        <v>-4.7499999999999987E-2</v>
      </c>
      <c r="BE43" s="436"/>
      <c r="BF43" s="436"/>
      <c r="BG43" s="436">
        <f t="shared" ref="BG43" si="53">BD43+0.01%</f>
        <v>-4.7399999999999984E-2</v>
      </c>
      <c r="BH43" s="436"/>
      <c r="BI43" s="436"/>
      <c r="BJ43" s="436">
        <f t="shared" ref="BJ43" si="54">BG43+0.01%</f>
        <v>-4.7299999999999981E-2</v>
      </c>
    </row>
    <row r="44" spans="2:64">
      <c r="N44" s="310"/>
      <c r="Q44" s="310"/>
      <c r="R44" s="310"/>
      <c r="S44" s="310"/>
      <c r="T44" s="310"/>
      <c r="U44" s="124"/>
      <c r="V44" s="124"/>
      <c r="W44" s="310"/>
      <c r="X44" s="310"/>
      <c r="Y44" s="124"/>
      <c r="Z44" s="310"/>
      <c r="AA44" s="310"/>
      <c r="AB44" s="124"/>
      <c r="AC44" s="434"/>
      <c r="AD44" s="1309"/>
      <c r="AE44" s="1309"/>
      <c r="AF44" s="1309"/>
      <c r="AG44" s="1309"/>
      <c r="AH44" s="1309"/>
      <c r="AI44" s="1309"/>
      <c r="AJ44" s="1309"/>
      <c r="AK44" s="1309"/>
      <c r="AL44" s="1309"/>
      <c r="AM44" s="1309"/>
      <c r="AN44" s="1309"/>
      <c r="AO44" s="1309"/>
      <c r="AP44" s="1309"/>
      <c r="AQ44" s="1309"/>
      <c r="AR44" s="1309"/>
      <c r="AS44" s="1309"/>
      <c r="AT44" s="1309"/>
      <c r="AU44" s="1309"/>
      <c r="AV44" s="1309"/>
      <c r="AW44" s="1309"/>
      <c r="AX44" s="1309"/>
      <c r="AY44" s="1309"/>
      <c r="AZ44" s="1309"/>
      <c r="BA44" s="1309"/>
      <c r="BB44" s="1309"/>
      <c r="BC44" s="1309"/>
      <c r="BD44" s="1309"/>
      <c r="BE44" s="1309"/>
      <c r="BF44" s="1309"/>
      <c r="BG44" s="1309"/>
      <c r="BH44" s="1309"/>
      <c r="BI44" s="1309"/>
      <c r="BJ44" s="1309"/>
    </row>
    <row r="45" spans="2:64">
      <c r="B45" s="122" t="s">
        <v>997</v>
      </c>
      <c r="T45" s="1303">
        <f>T42+T39</f>
        <v>-254.9</v>
      </c>
      <c r="U45" s="1303">
        <f t="shared" ref="U45:X45" si="55">U42+U39</f>
        <v>-126.25</v>
      </c>
      <c r="V45" s="1303">
        <f t="shared" si="55"/>
        <v>0</v>
      </c>
      <c r="W45" s="1303">
        <f t="shared" si="55"/>
        <v>-252.5</v>
      </c>
      <c r="X45" s="1305">
        <f t="shared" si="55"/>
        <v>-113.9</v>
      </c>
      <c r="Y45" s="123"/>
      <c r="Z45" s="1304">
        <f>Z42+Z39</f>
        <v>-251.5</v>
      </c>
      <c r="AA45" s="123">
        <f t="shared" ref="AA45:AE45" si="56">AA42+AA39</f>
        <v>-143.6</v>
      </c>
      <c r="AB45" s="123"/>
      <c r="AC45" s="1304">
        <f>AC42+AC39</f>
        <v>-294.60000000000002</v>
      </c>
      <c r="AD45" s="1303">
        <f t="shared" si="56"/>
        <v>-156.87450000000001</v>
      </c>
      <c r="AE45" s="1303">
        <f t="shared" si="56"/>
        <v>0</v>
      </c>
      <c r="AF45" s="1303">
        <f>(1+AF46)*AC45</f>
        <v>-313.74900000000002</v>
      </c>
      <c r="AG45" s="1303">
        <f t="shared" ref="AG45:AH45" si="57">AG42+AG39</f>
        <v>-164.71822500000002</v>
      </c>
      <c r="AH45" s="1303">
        <f t="shared" si="57"/>
        <v>0</v>
      </c>
      <c r="AI45" s="1303">
        <f>(1+AI46)*AF45</f>
        <v>-329.43645000000004</v>
      </c>
      <c r="AJ45" s="1303"/>
      <c r="AK45" s="1303"/>
      <c r="AL45" s="1303">
        <f>(1+AL46)*AI45</f>
        <v>-339.31954350000007</v>
      </c>
      <c r="AM45" s="1303"/>
      <c r="AN45" s="1303"/>
      <c r="AO45" s="1303">
        <f>(1+AO46)*AL45</f>
        <v>-349.49912980500005</v>
      </c>
      <c r="AP45" s="1303"/>
      <c r="AQ45" s="1303"/>
      <c r="AR45" s="1303">
        <f>(1+AR46)*AO45</f>
        <v>-359.98410369915007</v>
      </c>
      <c r="AS45" s="1303"/>
      <c r="AT45" s="1303"/>
      <c r="AU45" s="1303">
        <f>(1+AU46)*AR45</f>
        <v>-370.78362681012459</v>
      </c>
      <c r="AV45" s="1303"/>
      <c r="AW45" s="1303"/>
      <c r="AX45" s="1303">
        <f>(1+AX46)*AU45</f>
        <v>-381.90713561442834</v>
      </c>
      <c r="AY45" s="1303"/>
      <c r="AZ45" s="1303"/>
      <c r="BA45" s="1303">
        <f>(1+BA46)*AX45</f>
        <v>-393.36434968286119</v>
      </c>
      <c r="BB45" s="1303"/>
      <c r="BC45" s="1303"/>
      <c r="BD45" s="1303">
        <f>(1+BD46)*BA45</f>
        <v>-405.16528017334701</v>
      </c>
      <c r="BE45" s="1303"/>
      <c r="BF45" s="1303"/>
      <c r="BG45" s="1303">
        <f>(1+BG46)*BD45</f>
        <v>-417.32023857854745</v>
      </c>
      <c r="BH45" s="1303"/>
      <c r="BI45" s="1303"/>
      <c r="BJ45" s="1303">
        <f t="shared" ref="BJ45" si="58">(1+BJ46)*BG45</f>
        <v>-429.83984573590391</v>
      </c>
    </row>
    <row r="46" spans="2:64">
      <c r="B46" s="122" t="s">
        <v>996</v>
      </c>
      <c r="T46" s="377"/>
      <c r="W46" s="377"/>
      <c r="Z46" s="467">
        <f>A48</f>
        <v>0</v>
      </c>
      <c r="AA46" s="310">
        <f>AA45/X45-1</f>
        <v>0.26075504828797169</v>
      </c>
      <c r="AC46" s="467">
        <f>D48</f>
        <v>0</v>
      </c>
      <c r="AD46" s="437"/>
      <c r="AE46" s="437"/>
      <c r="AF46" s="436">
        <v>6.5000000000000002E-2</v>
      </c>
      <c r="AG46" s="437"/>
      <c r="AH46" s="437"/>
      <c r="AI46" s="436">
        <v>0.05</v>
      </c>
      <c r="AJ46" s="436"/>
      <c r="AK46" s="436"/>
      <c r="AL46" s="436">
        <v>0.03</v>
      </c>
      <c r="AM46" s="436"/>
      <c r="AN46" s="436"/>
      <c r="AO46" s="436">
        <v>0.03</v>
      </c>
      <c r="AP46" s="436">
        <v>0.03</v>
      </c>
      <c r="AQ46" s="436">
        <v>0.03</v>
      </c>
      <c r="AR46" s="436">
        <v>0.03</v>
      </c>
      <c r="AS46" s="436">
        <v>0.03</v>
      </c>
      <c r="AT46" s="436">
        <v>0.03</v>
      </c>
      <c r="AU46" s="436">
        <v>0.03</v>
      </c>
      <c r="AV46" s="436">
        <v>0.03</v>
      </c>
      <c r="AW46" s="436">
        <v>0.03</v>
      </c>
      <c r="AX46" s="436">
        <v>0.03</v>
      </c>
      <c r="AY46" s="436"/>
      <c r="AZ46" s="436"/>
      <c r="BA46" s="436">
        <v>0.03</v>
      </c>
      <c r="BB46" s="436">
        <v>0.03</v>
      </c>
      <c r="BC46" s="436">
        <v>0.03</v>
      </c>
      <c r="BD46" s="436">
        <v>0.03</v>
      </c>
      <c r="BE46" s="436">
        <v>0.03</v>
      </c>
      <c r="BF46" s="436">
        <v>0.03</v>
      </c>
      <c r="BG46" s="436">
        <v>0.03</v>
      </c>
      <c r="BH46" s="436">
        <v>0.03</v>
      </c>
      <c r="BI46" s="436">
        <v>0.03</v>
      </c>
      <c r="BJ46" s="436">
        <v>0.03</v>
      </c>
    </row>
    <row r="47" spans="2:64">
      <c r="T47" s="377"/>
      <c r="W47" s="377"/>
      <c r="Z47" s="466"/>
      <c r="AC47" s="1385"/>
      <c r="AD47" s="638"/>
      <c r="AE47" s="638"/>
      <c r="AF47" s="637"/>
      <c r="AG47" s="638"/>
      <c r="AH47" s="638"/>
      <c r="AI47" s="637"/>
      <c r="AJ47" s="637"/>
      <c r="AK47" s="637"/>
      <c r="AL47" s="637"/>
      <c r="AM47" s="637"/>
      <c r="AN47" s="637"/>
      <c r="AO47" s="637"/>
      <c r="AP47" s="637"/>
      <c r="AQ47" s="637"/>
      <c r="AR47" s="637"/>
      <c r="AS47" s="637"/>
      <c r="AT47" s="637"/>
      <c r="AU47" s="637"/>
      <c r="AV47" s="637"/>
      <c r="AW47" s="637"/>
      <c r="AX47" s="637"/>
      <c r="AY47" s="637"/>
      <c r="AZ47" s="637"/>
      <c r="BA47" s="637"/>
      <c r="BB47" s="637"/>
      <c r="BC47" s="637"/>
      <c r="BD47" s="637"/>
      <c r="BE47" s="637"/>
      <c r="BF47" s="637"/>
      <c r="BG47" s="637"/>
      <c r="BH47" s="637"/>
      <c r="BI47" s="637"/>
      <c r="BJ47" s="637"/>
    </row>
    <row r="48" spans="2:64" s="438" customFormat="1">
      <c r="B48" s="438" t="s">
        <v>351</v>
      </c>
      <c r="C48" s="439"/>
      <c r="D48" s="439"/>
      <c r="E48" s="439"/>
      <c r="F48" s="439"/>
      <c r="G48" s="439"/>
      <c r="H48" s="439"/>
      <c r="I48" s="439"/>
      <c r="J48" s="439"/>
      <c r="K48" s="440"/>
      <c r="L48" s="441"/>
      <c r="M48" s="441"/>
      <c r="N48" s="441"/>
      <c r="O48" s="441"/>
      <c r="P48" s="441"/>
      <c r="Q48" s="441"/>
      <c r="R48" s="441"/>
      <c r="S48" s="441"/>
      <c r="T48" s="439"/>
      <c r="U48" s="441"/>
      <c r="V48" s="441"/>
      <c r="W48" s="439"/>
      <c r="X48" s="441"/>
      <c r="Y48" s="441"/>
      <c r="Z48" s="402"/>
      <c r="AA48" s="441"/>
      <c r="AB48" s="441"/>
      <c r="AC48" s="1384"/>
      <c r="AD48" s="441"/>
      <c r="AE48" s="441"/>
      <c r="AF48" s="442"/>
      <c r="AG48" s="441"/>
      <c r="AH48" s="441"/>
      <c r="AI48" s="442"/>
      <c r="AJ48" s="442"/>
      <c r="AK48" s="442"/>
      <c r="AL48" s="442"/>
      <c r="AM48" s="442"/>
      <c r="AN48" s="442"/>
      <c r="AO48" s="442"/>
      <c r="AP48" s="442"/>
      <c r="AQ48" s="442"/>
      <c r="AR48" s="442"/>
      <c r="AS48" s="442"/>
      <c r="AT48" s="442"/>
      <c r="AU48" s="442"/>
      <c r="AV48" s="442"/>
      <c r="AW48" s="442"/>
      <c r="AX48" s="442"/>
      <c r="AY48" s="442"/>
      <c r="AZ48" s="442"/>
      <c r="BA48" s="442"/>
      <c r="BB48" s="442"/>
      <c r="BC48" s="442"/>
      <c r="BD48" s="442"/>
      <c r="BE48" s="442"/>
      <c r="BF48" s="442"/>
      <c r="BG48" s="442"/>
      <c r="BH48" s="442"/>
      <c r="BI48" s="442"/>
      <c r="BJ48" s="442"/>
      <c r="BK48" s="439"/>
      <c r="BL48" s="439"/>
    </row>
    <row r="49" spans="1:64" s="377" customFormat="1">
      <c r="B49" s="377" t="s">
        <v>351</v>
      </c>
      <c r="E49" s="377">
        <f>MODEL!E113+MODEL!E114</f>
        <v>-102.1</v>
      </c>
      <c r="F49" s="377">
        <f>MODEL!F113+MODEL!F114</f>
        <v>-56.3</v>
      </c>
      <c r="G49" s="377">
        <f>MODEL!G113+MODEL!G114</f>
        <v>-50.8</v>
      </c>
      <c r="H49" s="377">
        <f>MODEL!H113+MODEL!H114</f>
        <v>-107.1</v>
      </c>
      <c r="K49" s="405">
        <f>MODEL!K113+MODEL!K114</f>
        <v>-89.800000000000011</v>
      </c>
      <c r="N49" s="377">
        <f>N52+N58</f>
        <v>-67.8</v>
      </c>
      <c r="Q49" s="406">
        <f>Q52+Q58</f>
        <v>-84.5</v>
      </c>
      <c r="R49" s="406">
        <f>R52+R58</f>
        <v>-63.3</v>
      </c>
      <c r="S49" s="406">
        <f t="shared" ref="S49" si="59">S52+S58</f>
        <v>-61.400000000000006</v>
      </c>
      <c r="T49" s="406">
        <f>T52+T58</f>
        <v>-124.7</v>
      </c>
      <c r="U49" s="407">
        <f>U52+U58</f>
        <v>-57.3</v>
      </c>
      <c r="V49" s="407"/>
      <c r="W49" s="406">
        <f>W52+W58</f>
        <v>-108.5</v>
      </c>
      <c r="X49" s="406">
        <f t="shared" ref="X49" si="60">X52+X58</f>
        <v>-83.1</v>
      </c>
      <c r="Y49" s="407"/>
      <c r="Z49" s="406">
        <f>Z50*MODEL!Z6</f>
        <v>-139.7808</v>
      </c>
      <c r="AA49" s="406">
        <f>AA52+AA58</f>
        <v>-98.8</v>
      </c>
      <c r="AB49" s="407"/>
      <c r="AC49" s="408">
        <f>AC50*MODEL!AC6</f>
        <v>-165.03345000000002</v>
      </c>
      <c r="AD49" s="407">
        <f t="shared" ref="AD49" si="61">AD52+AD58</f>
        <v>-77.005031134898147</v>
      </c>
      <c r="AE49" s="407"/>
      <c r="AF49" s="407">
        <f>AF50*MODEL!AF6</f>
        <v>-154.01006226979629</v>
      </c>
      <c r="AG49" s="407">
        <f t="shared" ref="AG49" si="62">AG52+AG58</f>
        <v>-80.707135167333504</v>
      </c>
      <c r="AH49" s="407"/>
      <c r="AI49" s="407">
        <f>AI50*MODEL!AI6</f>
        <v>-161.41427033466701</v>
      </c>
      <c r="AJ49" s="407"/>
      <c r="AK49" s="407"/>
      <c r="AL49" s="407">
        <f>AL50*MODEL!AL6</f>
        <v>-168.64804421548615</v>
      </c>
      <c r="AM49" s="407"/>
      <c r="AN49" s="407"/>
      <c r="AO49" s="407">
        <f>AO50*MODEL!AO6</f>
        <v>-176.19225490394012</v>
      </c>
      <c r="AP49" s="407"/>
      <c r="AQ49" s="407"/>
      <c r="AR49" s="407">
        <f>AR50*MODEL!AR6</f>
        <v>-183.43596157280749</v>
      </c>
      <c r="AS49" s="407"/>
      <c r="AT49" s="407"/>
      <c r="AU49" s="407">
        <f>AU50*MODEL!AU6</f>
        <v>-190.24533718287404</v>
      </c>
      <c r="AV49" s="407"/>
      <c r="AW49" s="407"/>
      <c r="AX49" s="407">
        <f>AX50*MODEL!AX6</f>
        <v>-196.5329160658373</v>
      </c>
      <c r="AY49" s="407"/>
      <c r="AZ49" s="407"/>
      <c r="BA49" s="407">
        <f>BA50*MODEL!BA6</f>
        <v>-203.03133702627591</v>
      </c>
      <c r="BB49" s="407"/>
      <c r="BC49" s="407"/>
      <c r="BD49" s="407">
        <f>BD50*MODEL!BD6</f>
        <v>-209.74773283920933</v>
      </c>
      <c r="BE49" s="407"/>
      <c r="BF49" s="407"/>
      <c r="BG49" s="407">
        <f>BG50*MODEL!BG6</f>
        <v>-216.68947847015772</v>
      </c>
      <c r="BH49" s="407"/>
      <c r="BI49" s="407"/>
      <c r="BJ49" s="407">
        <f>BJ50*MODEL!BJ6</f>
        <v>-223.86419930129662</v>
      </c>
    </row>
    <row r="50" spans="1:64">
      <c r="B50" s="122" t="s">
        <v>801</v>
      </c>
      <c r="E50" s="124">
        <f>E49/MODEL!E6</f>
        <v>-4.1415461206997441E-2</v>
      </c>
      <c r="F50" s="124">
        <f>F49/MODEL!F6</f>
        <v>-4.2524506507132083E-2</v>
      </c>
      <c r="G50" s="124">
        <f>G49/MODEL!G6</f>
        <v>-4.0755499970326861E-2</v>
      </c>
      <c r="H50" s="124">
        <f>H49/MODEL!H6</f>
        <v>-4.1666666666666664E-2</v>
      </c>
      <c r="I50" s="124">
        <f>I49/MODEL!I6</f>
        <v>0</v>
      </c>
      <c r="J50" s="124">
        <f>J49/MODEL!J6</f>
        <v>0</v>
      </c>
      <c r="K50" s="443">
        <f>K49/MODEL!K6</f>
        <v>-3.3097449506118246E-2</v>
      </c>
      <c r="N50" s="310">
        <f>N49/MODEL!N6</f>
        <v>-2.3996602251008709E-2</v>
      </c>
      <c r="O50" s="124"/>
      <c r="P50" s="124"/>
      <c r="Q50" s="310">
        <f>Q49/MODEL!Q6</f>
        <v>-2.447076539920651E-2</v>
      </c>
      <c r="R50" s="310">
        <f>R49/MODEL!R6</f>
        <v>-3.7121745249824069E-2</v>
      </c>
      <c r="S50" s="310">
        <f>S49/MODEL!S6</f>
        <v>-3.3264709069238271E-2</v>
      </c>
      <c r="T50" s="310">
        <f>T49/MODEL!T6</f>
        <v>-3.5116868487749933E-2</v>
      </c>
      <c r="U50" s="124">
        <f>U49/MODEL!U6</f>
        <v>-2.9258578431372546E-2</v>
      </c>
      <c r="V50" s="124"/>
      <c r="W50" s="310">
        <f>W49/MODEL!W6</f>
        <v>-2.8531608288629429E-2</v>
      </c>
      <c r="X50" s="310">
        <f>X49/MODEL!X6</f>
        <v>-4.1130469214017029E-2</v>
      </c>
      <c r="Y50" s="124"/>
      <c r="Z50" s="310">
        <v>-3.5999999999999997E-2</v>
      </c>
      <c r="AA50" s="310">
        <f>AA49/MODEL!AA6</f>
        <v>-4.6886864085041766E-2</v>
      </c>
      <c r="AB50" s="124"/>
      <c r="AC50" s="434">
        <v>-4.0500000000000001E-2</v>
      </c>
      <c r="AD50" s="134">
        <f>AD49/MODEL!AD6</f>
        <v>-3.5064244419637416E-2</v>
      </c>
      <c r="AE50" s="134"/>
      <c r="AF50" s="436">
        <v>-3.5999999999999997E-2</v>
      </c>
      <c r="AG50" s="134">
        <f>AG49/MODEL!AG6</f>
        <v>-3.510325795513896E-2</v>
      </c>
      <c r="AH50" s="134"/>
      <c r="AI50" s="436">
        <f>AF50+0.01%</f>
        <v>-3.5899999999999994E-2</v>
      </c>
      <c r="AJ50" s="436"/>
      <c r="AK50" s="436"/>
      <c r="AL50" s="436">
        <f>AI50+0.01%</f>
        <v>-3.5799999999999992E-2</v>
      </c>
      <c r="AM50" s="436">
        <f t="shared" ref="AM50:AN50" si="63">AJ50-0.03%</f>
        <v>-2.9999999999999997E-4</v>
      </c>
      <c r="AN50" s="436">
        <f t="shared" si="63"/>
        <v>-2.9999999999999997E-4</v>
      </c>
      <c r="AO50" s="436">
        <f>AL50</f>
        <v>-3.5799999999999992E-2</v>
      </c>
      <c r="AP50" s="436">
        <f t="shared" ref="AP50:AX50" si="64">AM50</f>
        <v>-2.9999999999999997E-4</v>
      </c>
      <c r="AQ50" s="436">
        <f t="shared" si="64"/>
        <v>-2.9999999999999997E-4</v>
      </c>
      <c r="AR50" s="436">
        <f t="shared" si="64"/>
        <v>-3.5799999999999992E-2</v>
      </c>
      <c r="AS50" s="436">
        <f t="shared" si="64"/>
        <v>-2.9999999999999997E-4</v>
      </c>
      <c r="AT50" s="436">
        <f t="shared" si="64"/>
        <v>-2.9999999999999997E-4</v>
      </c>
      <c r="AU50" s="436">
        <f t="shared" si="64"/>
        <v>-3.5799999999999992E-2</v>
      </c>
      <c r="AV50" s="436">
        <f t="shared" si="64"/>
        <v>-2.9999999999999997E-4</v>
      </c>
      <c r="AW50" s="436">
        <f t="shared" si="64"/>
        <v>-2.9999999999999997E-4</v>
      </c>
      <c r="AX50" s="436">
        <f t="shared" si="64"/>
        <v>-3.5799999999999992E-2</v>
      </c>
      <c r="AY50" s="436">
        <f t="shared" ref="AY50:BJ50" si="65">AV50+0.01%</f>
        <v>-1.9999999999999998E-4</v>
      </c>
      <c r="AZ50" s="436">
        <f t="shared" si="65"/>
        <v>-1.9999999999999998E-4</v>
      </c>
      <c r="BA50" s="436">
        <f>AX50</f>
        <v>-3.5799999999999992E-2</v>
      </c>
      <c r="BB50" s="436">
        <f t="shared" ref="BB50:BJ50" si="66">AY50</f>
        <v>-1.9999999999999998E-4</v>
      </c>
      <c r="BC50" s="436">
        <f t="shared" si="66"/>
        <v>-1.9999999999999998E-4</v>
      </c>
      <c r="BD50" s="436">
        <f t="shared" si="66"/>
        <v>-3.5799999999999992E-2</v>
      </c>
      <c r="BE50" s="436">
        <f t="shared" si="66"/>
        <v>-1.9999999999999998E-4</v>
      </c>
      <c r="BF50" s="436">
        <f t="shared" si="66"/>
        <v>-1.9999999999999998E-4</v>
      </c>
      <c r="BG50" s="436">
        <f t="shared" si="66"/>
        <v>-3.5799999999999992E-2</v>
      </c>
      <c r="BH50" s="436">
        <f t="shared" si="66"/>
        <v>-1.9999999999999998E-4</v>
      </c>
      <c r="BI50" s="436">
        <f t="shared" si="66"/>
        <v>-1.9999999999999998E-4</v>
      </c>
      <c r="BJ50" s="436">
        <f t="shared" si="66"/>
        <v>-3.5799999999999992E-2</v>
      </c>
    </row>
    <row r="51" spans="1:64">
      <c r="AF51" s="282"/>
      <c r="AI51" s="282"/>
      <c r="AJ51" s="282"/>
      <c r="AK51" s="282"/>
      <c r="AL51" s="282"/>
      <c r="AM51" s="282"/>
      <c r="AN51" s="282"/>
      <c r="AO51" s="282"/>
      <c r="AP51" s="282"/>
      <c r="AQ51" s="282"/>
      <c r="AR51" s="282"/>
      <c r="AS51" s="282"/>
      <c r="AT51" s="282"/>
      <c r="AU51" s="282"/>
      <c r="AV51" s="282"/>
      <c r="AW51" s="282"/>
      <c r="AX51" s="282"/>
      <c r="AY51" s="282"/>
      <c r="AZ51" s="282"/>
      <c r="BA51" s="282"/>
      <c r="BB51" s="282"/>
      <c r="BC51" s="282"/>
      <c r="BD51" s="282"/>
      <c r="BE51" s="282"/>
      <c r="BF51" s="282"/>
      <c r="BG51" s="282"/>
      <c r="BH51" s="282"/>
      <c r="BI51" s="282"/>
      <c r="BJ51" s="282"/>
    </row>
    <row r="52" spans="1:64" s="411" customFormat="1">
      <c r="B52" s="411" t="s">
        <v>852</v>
      </c>
      <c r="K52" s="412"/>
      <c r="N52" s="411">
        <v>-28</v>
      </c>
      <c r="Q52" s="411">
        <v>-44.1</v>
      </c>
      <c r="R52" s="411">
        <v>-31.9</v>
      </c>
      <c r="S52" s="411">
        <f>T52-R52</f>
        <v>-26.9</v>
      </c>
      <c r="T52" s="431">
        <v>-58.8</v>
      </c>
      <c r="U52" s="411">
        <f>SUM(U53:U56)</f>
        <v>-28.6</v>
      </c>
      <c r="W52" s="431">
        <v>-51.1</v>
      </c>
      <c r="X52" s="431">
        <v>-45</v>
      </c>
      <c r="Z52" s="431">
        <v>-71.599999999999994</v>
      </c>
      <c r="AA52" s="431">
        <f>SUM(AA53:AA56)</f>
        <v>-48</v>
      </c>
      <c r="AC52" s="432">
        <v>-84.2</v>
      </c>
      <c r="AD52" s="411">
        <f>AF52*0.5</f>
        <v>-46.203018680938889</v>
      </c>
      <c r="AF52" s="414">
        <f>AF49*0.6</f>
        <v>-92.406037361877779</v>
      </c>
      <c r="AG52" s="411">
        <f>AI52*0.5</f>
        <v>-48.424281100400101</v>
      </c>
      <c r="AI52" s="414">
        <f>AI49*0.6</f>
        <v>-96.848562200800203</v>
      </c>
      <c r="AJ52" s="414"/>
      <c r="AK52" s="414"/>
      <c r="AL52" s="414">
        <f t="shared" ref="AL52:AU52" si="67">AL49*0.6</f>
        <v>-101.18882652929169</v>
      </c>
      <c r="AM52" s="414"/>
      <c r="AN52" s="414"/>
      <c r="AO52" s="414">
        <f t="shared" si="67"/>
        <v>-105.71535294236408</v>
      </c>
      <c r="AP52" s="414"/>
      <c r="AQ52" s="414"/>
      <c r="AR52" s="414">
        <f t="shared" si="67"/>
        <v>-110.06157694368449</v>
      </c>
      <c r="AS52" s="414"/>
      <c r="AT52" s="414"/>
      <c r="AU52" s="414">
        <f t="shared" si="67"/>
        <v>-114.14720230972442</v>
      </c>
      <c r="AV52" s="414"/>
      <c r="AW52" s="414"/>
      <c r="AX52" s="414">
        <f t="shared" ref="AX52" si="68">AX49*0.6</f>
        <v>-117.91974963950237</v>
      </c>
      <c r="AY52" s="414"/>
      <c r="AZ52" s="414"/>
      <c r="BA52" s="414">
        <f t="shared" ref="BA52:BD52" si="69">BA49*0.6</f>
        <v>-121.81880221576554</v>
      </c>
      <c r="BB52" s="414"/>
      <c r="BC52" s="414"/>
      <c r="BD52" s="414">
        <f t="shared" si="69"/>
        <v>-125.84863970352559</v>
      </c>
      <c r="BE52" s="414"/>
      <c r="BF52" s="414"/>
      <c r="BG52" s="414">
        <f t="shared" ref="BG52:BJ52" si="70">BG49*0.6</f>
        <v>-130.01368708209463</v>
      </c>
      <c r="BH52" s="414"/>
      <c r="BI52" s="414"/>
      <c r="BJ52" s="414">
        <f t="shared" si="70"/>
        <v>-134.31851958077797</v>
      </c>
    </row>
    <row r="53" spans="1:64" s="377" customFormat="1">
      <c r="A53" s="377">
        <f>T53/Divisionals!T66</f>
        <v>-11.05</v>
      </c>
      <c r="B53" s="377" t="s">
        <v>97</v>
      </c>
      <c r="K53" s="405"/>
      <c r="Q53" s="377">
        <v>-12.9</v>
      </c>
      <c r="R53" s="377">
        <v>-10</v>
      </c>
      <c r="T53" s="409">
        <v>-22.1</v>
      </c>
      <c r="U53" s="428">
        <v>-10.8</v>
      </c>
      <c r="W53" s="444"/>
      <c r="X53" s="428">
        <v>-23</v>
      </c>
      <c r="Z53" s="444">
        <v>-35</v>
      </c>
      <c r="AA53" s="428">
        <v>-17</v>
      </c>
      <c r="AC53" s="1386">
        <v>-30</v>
      </c>
      <c r="AF53" s="407"/>
      <c r="AI53" s="407"/>
      <c r="AJ53" s="407"/>
      <c r="AK53" s="407"/>
      <c r="AL53" s="407"/>
      <c r="AM53" s="407"/>
      <c r="AN53" s="407"/>
      <c r="AO53" s="407"/>
      <c r="AP53" s="407"/>
      <c r="AQ53" s="407"/>
      <c r="AR53" s="407"/>
      <c r="AS53" s="407"/>
      <c r="AT53" s="407"/>
      <c r="AU53" s="407"/>
      <c r="AV53" s="407"/>
      <c r="AW53" s="407"/>
      <c r="AX53" s="407"/>
      <c r="AY53" s="407"/>
      <c r="AZ53" s="407"/>
      <c r="BA53" s="407"/>
      <c r="BB53" s="407"/>
      <c r="BC53" s="407"/>
      <c r="BD53" s="407"/>
      <c r="BE53" s="407"/>
      <c r="BF53" s="407"/>
      <c r="BG53" s="407"/>
      <c r="BH53" s="407"/>
      <c r="BI53" s="407"/>
      <c r="BJ53" s="407"/>
    </row>
    <row r="54" spans="1:64" s="377" customFormat="1">
      <c r="A54" s="377">
        <f>T54/Divisionals!T343</f>
        <v>-11.05</v>
      </c>
      <c r="B54" s="377" t="s">
        <v>692</v>
      </c>
      <c r="K54" s="405"/>
      <c r="Q54" s="377">
        <v>-20.7</v>
      </c>
      <c r="R54" s="377">
        <v>-15</v>
      </c>
      <c r="T54" s="409">
        <v>-22.1</v>
      </c>
      <c r="U54" s="428">
        <v>-10.3</v>
      </c>
      <c r="W54" s="444"/>
      <c r="X54" s="428">
        <v>-12</v>
      </c>
      <c r="Z54" s="444">
        <v>-16</v>
      </c>
      <c r="AA54" s="428">
        <v>-12</v>
      </c>
      <c r="AC54" s="1386">
        <v>-24</v>
      </c>
      <c r="AF54" s="407"/>
      <c r="AI54" s="407"/>
      <c r="AJ54" s="407"/>
      <c r="AK54" s="407"/>
      <c r="AL54" s="407"/>
      <c r="AM54" s="407"/>
      <c r="AN54" s="407"/>
      <c r="AO54" s="407"/>
      <c r="AP54" s="407"/>
      <c r="AQ54" s="407"/>
      <c r="AR54" s="407"/>
      <c r="AS54" s="407"/>
      <c r="AT54" s="407"/>
      <c r="AU54" s="407"/>
      <c r="AV54" s="407"/>
      <c r="AW54" s="407"/>
      <c r="AX54" s="407"/>
      <c r="AY54" s="407"/>
      <c r="AZ54" s="407"/>
      <c r="BA54" s="407"/>
      <c r="BB54" s="407"/>
      <c r="BC54" s="407"/>
      <c r="BD54" s="407"/>
      <c r="BE54" s="407"/>
      <c r="BF54" s="407"/>
      <c r="BG54" s="407"/>
      <c r="BH54" s="407"/>
      <c r="BI54" s="407"/>
      <c r="BJ54" s="407"/>
    </row>
    <row r="55" spans="1:64" s="377" customFormat="1">
      <c r="A55" s="377">
        <f>T55/Divisionals!T177</f>
        <v>-2.2399999999999998</v>
      </c>
      <c r="B55" s="377" t="s">
        <v>150</v>
      </c>
      <c r="K55" s="405"/>
      <c r="Q55" s="377">
        <v>-6.1</v>
      </c>
      <c r="R55" s="377">
        <v>-4.4000000000000004</v>
      </c>
      <c r="T55" s="409">
        <v>-11.2</v>
      </c>
      <c r="U55" s="377">
        <v>-5.7</v>
      </c>
      <c r="W55" s="444"/>
      <c r="X55" s="428">
        <v>-4</v>
      </c>
      <c r="Z55" s="444">
        <v>-11</v>
      </c>
      <c r="AA55" s="428">
        <v>-11</v>
      </c>
      <c r="AC55" s="1386">
        <v>-19</v>
      </c>
      <c r="AF55" s="407"/>
      <c r="AI55" s="407"/>
      <c r="AJ55" s="407"/>
      <c r="AK55" s="407"/>
      <c r="AL55" s="407"/>
      <c r="AM55" s="407"/>
      <c r="AN55" s="407"/>
      <c r="AO55" s="407"/>
      <c r="AP55" s="407"/>
      <c r="AQ55" s="407"/>
      <c r="AR55" s="407"/>
      <c r="AS55" s="407"/>
      <c r="AT55" s="407"/>
      <c r="AU55" s="407"/>
      <c r="AV55" s="407"/>
      <c r="AW55" s="407"/>
      <c r="AX55" s="407"/>
      <c r="AY55" s="407"/>
      <c r="AZ55" s="407"/>
      <c r="BA55" s="407"/>
      <c r="BB55" s="407"/>
      <c r="BC55" s="407"/>
      <c r="BD55" s="407"/>
      <c r="BE55" s="407"/>
      <c r="BF55" s="407"/>
      <c r="BG55" s="407"/>
      <c r="BH55" s="407"/>
      <c r="BI55" s="407"/>
      <c r="BJ55" s="407"/>
    </row>
    <row r="56" spans="1:64" s="377" customFormat="1">
      <c r="A56" s="377">
        <f>T56/Divisionals!T232</f>
        <v>-0.37777777777777682</v>
      </c>
      <c r="B56" s="377" t="s">
        <v>246</v>
      </c>
      <c r="K56" s="405"/>
      <c r="Q56" s="377">
        <v>-4.4000000000000004</v>
      </c>
      <c r="R56" s="377">
        <v>-2.5</v>
      </c>
      <c r="T56" s="406">
        <f>T52-SUM(T53:T55)</f>
        <v>-3.3999999999999915</v>
      </c>
      <c r="U56" s="377">
        <v>-1.8</v>
      </c>
      <c r="W56" s="445"/>
      <c r="X56" s="428">
        <v>-6</v>
      </c>
      <c r="Z56" s="445">
        <f>Z52-SUM(Z53:Z55)</f>
        <v>-9.5999999999999943</v>
      </c>
      <c r="AA56" s="428">
        <v>-8</v>
      </c>
      <c r="AC56" s="1386">
        <v>-11</v>
      </c>
      <c r="AF56" s="407"/>
      <c r="AI56" s="407"/>
      <c r="AJ56" s="407"/>
      <c r="AK56" s="407"/>
      <c r="AL56" s="407"/>
      <c r="AM56" s="407"/>
      <c r="AN56" s="407"/>
      <c r="AO56" s="407"/>
      <c r="AP56" s="407"/>
      <c r="AQ56" s="407"/>
      <c r="AR56" s="407"/>
      <c r="AS56" s="407"/>
      <c r="AT56" s="407"/>
      <c r="AU56" s="407"/>
      <c r="AV56" s="407"/>
      <c r="AW56" s="407"/>
      <c r="AX56" s="407"/>
      <c r="AY56" s="407"/>
      <c r="AZ56" s="407"/>
      <c r="BA56" s="407"/>
      <c r="BB56" s="407"/>
      <c r="BC56" s="407"/>
      <c r="BD56" s="407"/>
      <c r="BE56" s="407"/>
      <c r="BF56" s="407"/>
      <c r="BG56" s="407"/>
      <c r="BH56" s="407"/>
      <c r="BI56" s="407"/>
      <c r="BJ56" s="407"/>
    </row>
    <row r="57" spans="1:64" s="377" customFormat="1">
      <c r="K57" s="405"/>
      <c r="AC57" s="416"/>
      <c r="AF57" s="407"/>
      <c r="AI57" s="407"/>
      <c r="AJ57" s="407"/>
      <c r="AK57" s="407"/>
      <c r="AL57" s="407"/>
      <c r="AM57" s="407"/>
      <c r="AN57" s="407"/>
      <c r="AO57" s="407"/>
      <c r="AP57" s="407"/>
      <c r="AQ57" s="407"/>
      <c r="AR57" s="407"/>
      <c r="AS57" s="407"/>
      <c r="AT57" s="407"/>
      <c r="AU57" s="407"/>
      <c r="AV57" s="407"/>
      <c r="AW57" s="407"/>
      <c r="AX57" s="407"/>
      <c r="AY57" s="407"/>
      <c r="AZ57" s="407"/>
      <c r="BA57" s="407"/>
      <c r="BB57" s="407"/>
      <c r="BC57" s="407"/>
      <c r="BD57" s="407"/>
      <c r="BE57" s="407"/>
      <c r="BF57" s="407"/>
      <c r="BG57" s="407"/>
      <c r="BH57" s="407"/>
      <c r="BI57" s="407"/>
      <c r="BJ57" s="407"/>
    </row>
    <row r="58" spans="1:64" s="377" customFormat="1">
      <c r="B58" s="377" t="s">
        <v>196</v>
      </c>
      <c r="K58" s="405"/>
      <c r="N58" s="377">
        <v>-39.799999999999997</v>
      </c>
      <c r="Q58" s="377">
        <v>-40.4</v>
      </c>
      <c r="R58" s="377">
        <v>-31.4</v>
      </c>
      <c r="S58" s="377">
        <f>T58-R58</f>
        <v>-34.500000000000007</v>
      </c>
      <c r="T58" s="428">
        <v>-65.900000000000006</v>
      </c>
      <c r="U58" s="377">
        <f>W58*0.5</f>
        <v>-28.7</v>
      </c>
      <c r="W58" s="428">
        <f>-58.4+1</f>
        <v>-57.4</v>
      </c>
      <c r="X58" s="428">
        <v>-38.1</v>
      </c>
      <c r="Z58" s="428">
        <v>-63.3</v>
      </c>
      <c r="AA58" s="428">
        <v>-50.8</v>
      </c>
      <c r="AC58" s="429">
        <v>-81.2</v>
      </c>
      <c r="AD58" s="377">
        <f>AF58*0.5</f>
        <v>-30.802012453959257</v>
      </c>
      <c r="AF58" s="407">
        <f>AF49-AF52</f>
        <v>-61.604024907918514</v>
      </c>
      <c r="AG58" s="377">
        <f>AI58*0.5</f>
        <v>-32.282854066933403</v>
      </c>
      <c r="AI58" s="407">
        <f t="shared" ref="AI58:AU58" si="71">AI49-AI52</f>
        <v>-64.565708133866806</v>
      </c>
      <c r="AJ58" s="407"/>
      <c r="AK58" s="407"/>
      <c r="AL58" s="407">
        <f t="shared" si="71"/>
        <v>-67.459217686194464</v>
      </c>
      <c r="AM58" s="407"/>
      <c r="AN58" s="407"/>
      <c r="AO58" s="407">
        <f t="shared" si="71"/>
        <v>-70.476901961576047</v>
      </c>
      <c r="AP58" s="407"/>
      <c r="AQ58" s="407"/>
      <c r="AR58" s="407">
        <f t="shared" si="71"/>
        <v>-73.374384629123</v>
      </c>
      <c r="AS58" s="407"/>
      <c r="AT58" s="407"/>
      <c r="AU58" s="407">
        <f t="shared" si="71"/>
        <v>-76.098134873149618</v>
      </c>
      <c r="AV58" s="407"/>
      <c r="AW58" s="407"/>
      <c r="AX58" s="407">
        <f t="shared" ref="AX58" si="72">AX49-AX52</f>
        <v>-78.613166426334928</v>
      </c>
      <c r="AY58" s="407"/>
      <c r="AZ58" s="407"/>
      <c r="BA58" s="407">
        <f t="shared" ref="BA58:BD58" si="73">BA49-BA52</f>
        <v>-81.212534810510363</v>
      </c>
      <c r="BB58" s="407"/>
      <c r="BC58" s="407"/>
      <c r="BD58" s="407">
        <f t="shared" si="73"/>
        <v>-83.899093135683742</v>
      </c>
      <c r="BE58" s="407"/>
      <c r="BF58" s="407"/>
      <c r="BG58" s="407">
        <f t="shared" ref="BG58:BJ58" si="74">BG49-BG52</f>
        <v>-86.675791388063089</v>
      </c>
      <c r="BH58" s="407"/>
      <c r="BI58" s="407"/>
      <c r="BJ58" s="407">
        <f t="shared" si="74"/>
        <v>-89.545679720518649</v>
      </c>
    </row>
    <row r="59" spans="1:64" s="377" customFormat="1">
      <c r="K59" s="405"/>
      <c r="AC59" s="416"/>
      <c r="AF59" s="407"/>
      <c r="AI59" s="407"/>
      <c r="AJ59" s="407"/>
      <c r="AK59" s="407"/>
      <c r="AL59" s="407"/>
      <c r="AM59" s="407"/>
      <c r="AN59" s="407"/>
      <c r="AO59" s="407"/>
      <c r="AP59" s="407"/>
      <c r="AQ59" s="407"/>
      <c r="AR59" s="407"/>
      <c r="AS59" s="407"/>
      <c r="AT59" s="407"/>
      <c r="AU59" s="407"/>
      <c r="AV59" s="407"/>
      <c r="AW59" s="407"/>
      <c r="AX59" s="407"/>
      <c r="AY59" s="407"/>
      <c r="AZ59" s="407"/>
      <c r="BA59" s="407"/>
      <c r="BB59" s="407"/>
      <c r="BC59" s="407"/>
      <c r="BD59" s="407"/>
      <c r="BE59" s="407"/>
      <c r="BF59" s="407"/>
      <c r="BG59" s="407"/>
      <c r="BH59" s="407"/>
      <c r="BI59" s="407"/>
      <c r="BJ59" s="407"/>
    </row>
    <row r="60" spans="1:64" s="401" customFormat="1">
      <c r="B60" s="401" t="s">
        <v>824</v>
      </c>
      <c r="C60" s="402"/>
      <c r="D60" s="402"/>
      <c r="E60" s="402"/>
      <c r="F60" s="402"/>
      <c r="G60" s="402"/>
      <c r="H60" s="402"/>
      <c r="I60" s="402"/>
      <c r="J60" s="402"/>
      <c r="K60" s="403"/>
      <c r="L60" s="404"/>
      <c r="M60" s="404"/>
      <c r="N60" s="404"/>
      <c r="O60" s="404"/>
      <c r="P60" s="404"/>
      <c r="Q60" s="404"/>
      <c r="R60" s="404"/>
      <c r="S60" s="404"/>
      <c r="T60" s="402"/>
      <c r="U60" s="404"/>
      <c r="V60" s="404"/>
      <c r="W60" s="402"/>
      <c r="X60" s="404"/>
      <c r="Y60" s="404"/>
      <c r="Z60" s="402"/>
      <c r="AA60" s="404"/>
      <c r="AB60" s="404"/>
      <c r="AC60" s="1384"/>
      <c r="AD60" s="404"/>
      <c r="AE60" s="404"/>
      <c r="AF60" s="427"/>
      <c r="AG60" s="404"/>
      <c r="AH60" s="404"/>
      <c r="AI60" s="427"/>
      <c r="AJ60" s="427"/>
      <c r="AK60" s="427"/>
      <c r="AL60" s="427"/>
      <c r="AM60" s="427"/>
      <c r="AN60" s="427"/>
      <c r="AO60" s="427"/>
      <c r="AP60" s="427"/>
      <c r="AQ60" s="427"/>
      <c r="AR60" s="427"/>
      <c r="AS60" s="427"/>
      <c r="AT60" s="427"/>
      <c r="AU60" s="427"/>
      <c r="AV60" s="427"/>
      <c r="AW60" s="427"/>
      <c r="AX60" s="427"/>
      <c r="AY60" s="427"/>
      <c r="AZ60" s="427"/>
      <c r="BA60" s="427"/>
      <c r="BB60" s="427"/>
      <c r="BC60" s="427"/>
      <c r="BD60" s="427"/>
      <c r="BE60" s="427"/>
      <c r="BF60" s="427"/>
      <c r="BG60" s="427"/>
      <c r="BH60" s="427"/>
      <c r="BI60" s="427"/>
      <c r="BJ60" s="427"/>
      <c r="BK60" s="402"/>
      <c r="BL60" s="402"/>
    </row>
    <row r="61" spans="1:64" s="377" customFormat="1">
      <c r="B61" s="377" t="s">
        <v>827</v>
      </c>
      <c r="K61" s="405"/>
      <c r="N61" s="377">
        <v>-180.2</v>
      </c>
      <c r="O61" s="377">
        <v>-92.9</v>
      </c>
      <c r="Q61" s="377">
        <v>-191.9</v>
      </c>
      <c r="R61" s="377">
        <v>-99.3</v>
      </c>
      <c r="T61" s="406">
        <f>T31</f>
        <v>-207.5</v>
      </c>
      <c r="U61" s="446">
        <v>-105.1</v>
      </c>
      <c r="W61" s="406">
        <f>W31</f>
        <v>-214.6</v>
      </c>
      <c r="X61" s="406">
        <f>X31</f>
        <v>-112.9</v>
      </c>
      <c r="Z61" s="406">
        <f>Z31</f>
        <v>-230.6</v>
      </c>
      <c r="AA61" s="406">
        <f>AA31</f>
        <v>-123.75</v>
      </c>
      <c r="AC61" s="408">
        <f>AC31</f>
        <v>-247.5</v>
      </c>
      <c r="AD61" s="407">
        <f>AD31</f>
        <v>-137.81104044192176</v>
      </c>
      <c r="AF61" s="407">
        <f>AF31</f>
        <v>-275.62208088384352</v>
      </c>
      <c r="AG61" s="407">
        <f>AG31</f>
        <v>-138.1271059285647</v>
      </c>
      <c r="AI61" s="407">
        <f t="shared" ref="AI61:AU61" si="75">AI31</f>
        <v>-276.25421185712941</v>
      </c>
      <c r="AJ61" s="407"/>
      <c r="AK61" s="407"/>
      <c r="AL61" s="407">
        <f>AL31</f>
        <v>-276.8538313751846</v>
      </c>
      <c r="AM61" s="407"/>
      <c r="AN61" s="407"/>
      <c r="AO61" s="407">
        <f t="shared" si="75"/>
        <v>-284.09258726302755</v>
      </c>
      <c r="AP61" s="407"/>
      <c r="AQ61" s="407"/>
      <c r="AR61" s="407">
        <f>AR31</f>
        <v>-291.41792170993318</v>
      </c>
      <c r="AS61" s="407"/>
      <c r="AT61" s="407"/>
      <c r="AU61" s="407">
        <f t="shared" si="75"/>
        <v>-298.82785611226808</v>
      </c>
      <c r="AV61" s="407"/>
      <c r="AW61" s="407"/>
      <c r="AX61" s="407">
        <f t="shared" ref="AX61" si="76">AX31</f>
        <v>-306.32033794447347</v>
      </c>
      <c r="AY61" s="407"/>
      <c r="AZ61" s="407"/>
      <c r="BA61" s="407">
        <f t="shared" ref="BA61:BD61" si="77">BA31</f>
        <v>-313.89324261162665</v>
      </c>
      <c r="BB61" s="407"/>
      <c r="BC61" s="407"/>
      <c r="BD61" s="407">
        <f t="shared" si="77"/>
        <v>-321.54437538737835</v>
      </c>
      <c r="BE61" s="407"/>
      <c r="BF61" s="407"/>
      <c r="BG61" s="407">
        <f t="shared" ref="BG61:BJ61" si="78">BG31</f>
        <v>-329.27147343334917</v>
      </c>
      <c r="BH61" s="407"/>
      <c r="BI61" s="407"/>
      <c r="BJ61" s="407">
        <f t="shared" si="78"/>
        <v>-337.07220789596732</v>
      </c>
    </row>
    <row r="62" spans="1:64" s="377" customFormat="1">
      <c r="B62" s="377" t="s">
        <v>829</v>
      </c>
      <c r="K62" s="405"/>
      <c r="N62" s="377">
        <f>-41.9-0.1-13.9</f>
        <v>-55.9</v>
      </c>
      <c r="O62" s="377">
        <f>-21.6-11.4</f>
        <v>-33</v>
      </c>
      <c r="Q62" s="377">
        <f>Q7</f>
        <v>-69.5</v>
      </c>
      <c r="R62" s="377">
        <f>-23.6-8.1</f>
        <v>-31.700000000000003</v>
      </c>
      <c r="T62" s="406">
        <f>T7</f>
        <v>-65.7</v>
      </c>
      <c r="U62" s="407">
        <f>U63-U61</f>
        <v>-35.599999999999994</v>
      </c>
      <c r="W62" s="406">
        <f>W7</f>
        <v>-74.400000000000006</v>
      </c>
      <c r="X62" s="406">
        <f>X63-X61</f>
        <v>-40.699999999999989</v>
      </c>
      <c r="Z62" s="406">
        <f>Z7</f>
        <v>-81.5</v>
      </c>
      <c r="AA62" s="406">
        <f>AA63-AA61</f>
        <v>-38.349999999999994</v>
      </c>
      <c r="AC62" s="408">
        <f>AC7</f>
        <v>-86.1</v>
      </c>
      <c r="AD62" s="407">
        <f>AD7</f>
        <v>-36.67723927857017</v>
      </c>
      <c r="AF62" s="407">
        <f>AF7</f>
        <v>-73.354478557140339</v>
      </c>
      <c r="AG62" s="407">
        <f>AG7</f>
        <v>-45.072727722983103</v>
      </c>
      <c r="AI62" s="407">
        <f t="shared" ref="AI62:AU62" si="79">AI7</f>
        <v>-90.145455445966206</v>
      </c>
      <c r="AJ62" s="407"/>
      <c r="AK62" s="407"/>
      <c r="AL62" s="407">
        <f>AL7</f>
        <v>-107.62026009207062</v>
      </c>
      <c r="AM62" s="407"/>
      <c r="AN62" s="407"/>
      <c r="AO62" s="407">
        <f>AO7</f>
        <v>-118.05315617832912</v>
      </c>
      <c r="AP62" s="407"/>
      <c r="AQ62" s="407"/>
      <c r="AR62" s="407">
        <f t="shared" si="79"/>
        <v>-127.74375504901695</v>
      </c>
      <c r="AS62" s="407"/>
      <c r="AT62" s="407"/>
      <c r="AU62" s="407">
        <f t="shared" si="79"/>
        <v>-136.40804778386911</v>
      </c>
      <c r="AV62" s="407"/>
      <c r="AW62" s="407"/>
      <c r="AX62" s="407">
        <f t="shared" ref="AX62" si="80">AX7</f>
        <v>-143.93678515465143</v>
      </c>
      <c r="AY62" s="407"/>
      <c r="AZ62" s="407"/>
      <c r="BA62" s="407">
        <f t="shared" ref="BA62:BD62" si="81">BA7</f>
        <v>-151.88090182430113</v>
      </c>
      <c r="BB62" s="407"/>
      <c r="BC62" s="407"/>
      <c r="BD62" s="407">
        <f t="shared" si="81"/>
        <v>-160.25998406950475</v>
      </c>
      <c r="BE62" s="407"/>
      <c r="BF62" s="407"/>
      <c r="BG62" s="407">
        <f t="shared" ref="BG62" si="82">BG7</f>
        <v>-169.09426988226369</v>
      </c>
      <c r="BH62" s="407"/>
      <c r="BI62" s="407"/>
      <c r="BJ62" s="407">
        <f>BJ7</f>
        <v>-178.40466718235081</v>
      </c>
    </row>
    <row r="63" spans="1:64" s="411" customFormat="1">
      <c r="B63" s="411" t="s">
        <v>828</v>
      </c>
      <c r="K63" s="412"/>
      <c r="N63" s="411">
        <f>SUM(N61:N62)</f>
        <v>-236.1</v>
      </c>
      <c r="Q63" s="411">
        <f>SUM(Q61:Q62)</f>
        <v>-261.39999999999998</v>
      </c>
      <c r="R63" s="411">
        <f>SUM(R61:R62)</f>
        <v>-131</v>
      </c>
      <c r="T63" s="413">
        <f>SUM(T61:T62)</f>
        <v>-273.2</v>
      </c>
      <c r="U63" s="447">
        <v>-140.69999999999999</v>
      </c>
      <c r="W63" s="413">
        <f>SUM(W61:W62)</f>
        <v>-289</v>
      </c>
      <c r="X63" s="640">
        <v>-153.6</v>
      </c>
      <c r="Z63" s="413">
        <f>SUM(Z61:Z62)</f>
        <v>-312.10000000000002</v>
      </c>
      <c r="AA63" s="640">
        <v>-162.1</v>
      </c>
      <c r="AC63" s="415">
        <f t="shared" ref="AC63:AX63" si="83">SUM(AC61:AC62)</f>
        <v>-333.6</v>
      </c>
      <c r="AD63" s="414">
        <f>SUM(AD61:AD62)</f>
        <v>-174.48827972049193</v>
      </c>
      <c r="AF63" s="414">
        <f>SUM(AF61:AF62)</f>
        <v>-348.97655944098386</v>
      </c>
      <c r="AG63" s="414">
        <f>SUM(AG61:AG62)</f>
        <v>-183.19983365154781</v>
      </c>
      <c r="AI63" s="414">
        <f t="shared" si="83"/>
        <v>-366.39966730309561</v>
      </c>
      <c r="AJ63" s="414"/>
      <c r="AK63" s="414"/>
      <c r="AL63" s="414">
        <f>SUM(AL61:AL62)</f>
        <v>-384.47409146725522</v>
      </c>
      <c r="AM63" s="414"/>
      <c r="AN63" s="414"/>
      <c r="AO63" s="414">
        <f t="shared" si="83"/>
        <v>-402.14574344135667</v>
      </c>
      <c r="AP63" s="414"/>
      <c r="AQ63" s="414"/>
      <c r="AR63" s="414">
        <f t="shared" si="83"/>
        <v>-419.16167675895014</v>
      </c>
      <c r="AS63" s="414"/>
      <c r="AT63" s="414"/>
      <c r="AU63" s="414">
        <f t="shared" si="83"/>
        <v>-435.23590389613719</v>
      </c>
      <c r="AV63" s="414"/>
      <c r="AW63" s="414"/>
      <c r="AX63" s="414">
        <f t="shared" si="83"/>
        <v>-450.2571230991249</v>
      </c>
      <c r="AY63" s="414"/>
      <c r="AZ63" s="414"/>
      <c r="BA63" s="414">
        <f t="shared" ref="BA63:BD63" si="84">SUM(BA61:BA62)</f>
        <v>-465.77414443592778</v>
      </c>
      <c r="BB63" s="414"/>
      <c r="BC63" s="414"/>
      <c r="BD63" s="414">
        <f t="shared" si="84"/>
        <v>-481.80435945688311</v>
      </c>
      <c r="BE63" s="414"/>
      <c r="BF63" s="414"/>
      <c r="BG63" s="414">
        <f t="shared" ref="BG63" si="85">SUM(BG61:BG62)</f>
        <v>-498.36574331561286</v>
      </c>
      <c r="BH63" s="414"/>
      <c r="BI63" s="414"/>
      <c r="BJ63" s="414">
        <f>SUM(BJ61:BJ62)</f>
        <v>-515.47687507831813</v>
      </c>
    </row>
    <row r="64" spans="1:64">
      <c r="N64" s="124" t="e">
        <f t="shared" ref="N64:AB64" si="86">N63/K63-1</f>
        <v>#DIV/0!</v>
      </c>
      <c r="O64" s="124" t="e">
        <f t="shared" si="86"/>
        <v>#DIV/0!</v>
      </c>
      <c r="P64" s="124" t="e">
        <f t="shared" si="86"/>
        <v>#DIV/0!</v>
      </c>
      <c r="Q64" s="124">
        <f t="shared" si="86"/>
        <v>0.10715798390512488</v>
      </c>
      <c r="R64" s="124" t="e">
        <f t="shared" si="86"/>
        <v>#DIV/0!</v>
      </c>
      <c r="S64" s="124" t="e">
        <f t="shared" si="86"/>
        <v>#DIV/0!</v>
      </c>
      <c r="T64" s="124">
        <f t="shared" si="86"/>
        <v>4.5141545524101101E-2</v>
      </c>
      <c r="U64" s="124">
        <f t="shared" si="86"/>
        <v>7.4045801526717581E-2</v>
      </c>
      <c r="V64" s="124" t="e">
        <f t="shared" si="86"/>
        <v>#DIV/0!</v>
      </c>
      <c r="W64" s="124">
        <f t="shared" si="86"/>
        <v>5.7833089311859487E-2</v>
      </c>
      <c r="X64" s="124">
        <f t="shared" si="86"/>
        <v>9.1684434968017037E-2</v>
      </c>
      <c r="Y64" s="124" t="e">
        <f t="shared" si="86"/>
        <v>#DIV/0!</v>
      </c>
      <c r="Z64" s="124">
        <f t="shared" si="86"/>
        <v>7.9930795847750868E-2</v>
      </c>
      <c r="AA64" s="310">
        <f t="shared" si="86"/>
        <v>5.5338541666666741E-2</v>
      </c>
      <c r="AB64" s="124" t="e">
        <f t="shared" si="86"/>
        <v>#DIV/0!</v>
      </c>
      <c r="AC64" s="434">
        <f>AC63/Z63-1</f>
        <v>6.8888176866388928E-2</v>
      </c>
      <c r="AD64" s="124">
        <f t="shared" ref="AD64:BJ64" si="87">AD63/AA63-1</f>
        <v>7.6423687356520276E-2</v>
      </c>
      <c r="AE64" s="124" t="e">
        <f t="shared" si="87"/>
        <v>#DIV/0!</v>
      </c>
      <c r="AF64" s="124">
        <f t="shared" si="87"/>
        <v>4.6092804079687744E-2</v>
      </c>
      <c r="AG64" s="124">
        <f t="shared" si="87"/>
        <v>4.9926298459762819E-2</v>
      </c>
      <c r="AH64" s="124" t="e">
        <f t="shared" si="87"/>
        <v>#DIV/0!</v>
      </c>
      <c r="AI64" s="124">
        <f t="shared" si="87"/>
        <v>4.9926298459762819E-2</v>
      </c>
      <c r="AJ64" s="124">
        <f t="shared" si="87"/>
        <v>-1</v>
      </c>
      <c r="AK64" s="124" t="e">
        <f t="shared" si="87"/>
        <v>#DIV/0!</v>
      </c>
      <c r="AL64" s="124">
        <f t="shared" si="87"/>
        <v>4.9329805065592369E-2</v>
      </c>
      <c r="AM64" s="124" t="e">
        <f t="shared" si="87"/>
        <v>#DIV/0!</v>
      </c>
      <c r="AN64" s="124" t="e">
        <f t="shared" si="87"/>
        <v>#DIV/0!</v>
      </c>
      <c r="AO64" s="124">
        <f t="shared" si="87"/>
        <v>4.5963180267002413E-2</v>
      </c>
      <c r="AP64" s="124" t="e">
        <f t="shared" si="87"/>
        <v>#DIV/0!</v>
      </c>
      <c r="AQ64" s="124" t="e">
        <f t="shared" si="87"/>
        <v>#DIV/0!</v>
      </c>
      <c r="AR64" s="124">
        <f t="shared" si="87"/>
        <v>4.2312851982417632E-2</v>
      </c>
      <c r="AS64" s="124" t="e">
        <f t="shared" si="87"/>
        <v>#DIV/0!</v>
      </c>
      <c r="AT64" s="124" t="e">
        <f t="shared" si="87"/>
        <v>#DIV/0!</v>
      </c>
      <c r="AU64" s="124">
        <f>AU63/AR63-1</f>
        <v>3.8348513302734366E-2</v>
      </c>
      <c r="AV64" s="124" t="e">
        <f t="shared" si="87"/>
        <v>#DIV/0!</v>
      </c>
      <c r="AW64" s="124" t="e">
        <f t="shared" si="87"/>
        <v>#DIV/0!</v>
      </c>
      <c r="AX64" s="124">
        <f t="shared" si="87"/>
        <v>3.4512821824948414E-2</v>
      </c>
      <c r="AY64" s="124" t="e">
        <f t="shared" si="87"/>
        <v>#DIV/0!</v>
      </c>
      <c r="AZ64" s="124" t="e">
        <f t="shared" si="87"/>
        <v>#DIV/0!</v>
      </c>
      <c r="BA64" s="124">
        <f t="shared" si="87"/>
        <v>3.4462578248621645E-2</v>
      </c>
      <c r="BB64" s="124" t="e">
        <f t="shared" si="87"/>
        <v>#DIV/0!</v>
      </c>
      <c r="BC64" s="124" t="e">
        <f t="shared" si="87"/>
        <v>#DIV/0!</v>
      </c>
      <c r="BD64" s="124">
        <f t="shared" si="87"/>
        <v>3.4416283540960713E-2</v>
      </c>
      <c r="BE64" s="124" t="e">
        <f t="shared" si="87"/>
        <v>#DIV/0!</v>
      </c>
      <c r="BF64" s="124" t="e">
        <f t="shared" si="87"/>
        <v>#DIV/0!</v>
      </c>
      <c r="BG64" s="124">
        <f t="shared" si="87"/>
        <v>3.4373669589454758E-2</v>
      </c>
      <c r="BH64" s="124" t="e">
        <f t="shared" si="87"/>
        <v>#DIV/0!</v>
      </c>
      <c r="BI64" s="124" t="e">
        <f t="shared" si="87"/>
        <v>#DIV/0!</v>
      </c>
      <c r="BJ64" s="124">
        <f t="shared" si="87"/>
        <v>3.4334486252737717E-2</v>
      </c>
    </row>
    <row r="66" spans="2:64" s="401" customFormat="1">
      <c r="B66" s="401" t="s">
        <v>825</v>
      </c>
      <c r="C66" s="402"/>
      <c r="D66" s="402"/>
      <c r="E66" s="402"/>
      <c r="F66" s="402"/>
      <c r="G66" s="402"/>
      <c r="H66" s="402"/>
      <c r="I66" s="402"/>
      <c r="J66" s="402"/>
      <c r="K66" s="403"/>
      <c r="L66" s="404"/>
      <c r="M66" s="404"/>
      <c r="N66" s="404"/>
      <c r="O66" s="404"/>
      <c r="P66" s="404"/>
      <c r="Q66" s="404"/>
      <c r="R66" s="404"/>
      <c r="S66" s="404"/>
      <c r="T66" s="402"/>
      <c r="U66" s="404"/>
      <c r="V66" s="404"/>
      <c r="W66" s="402"/>
      <c r="X66" s="404"/>
      <c r="Y66" s="404"/>
      <c r="Z66" s="402"/>
      <c r="AA66" s="404"/>
      <c r="AB66" s="404"/>
      <c r="AC66" s="1384"/>
      <c r="AD66" s="404"/>
      <c r="AE66" s="404"/>
      <c r="AF66" s="402"/>
      <c r="AG66" s="404"/>
      <c r="AH66" s="404"/>
      <c r="AI66" s="402"/>
      <c r="AJ66" s="402"/>
      <c r="AK66" s="402"/>
      <c r="AL66" s="402"/>
      <c r="AM66" s="402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  <c r="BE66" s="402"/>
      <c r="BF66" s="402"/>
      <c r="BG66" s="402"/>
      <c r="BH66" s="402"/>
      <c r="BI66" s="402"/>
      <c r="BJ66" s="402"/>
      <c r="BK66" s="402"/>
      <c r="BL66" s="402"/>
    </row>
    <row r="67" spans="2:64" s="377" customFormat="1">
      <c r="B67" s="377" t="s">
        <v>843</v>
      </c>
      <c r="K67" s="405"/>
      <c r="N67" s="377">
        <v>0</v>
      </c>
      <c r="O67" s="377">
        <v>0</v>
      </c>
      <c r="Q67" s="377">
        <v>-0.9</v>
      </c>
      <c r="R67" s="377">
        <v>-3.1</v>
      </c>
      <c r="T67" s="377">
        <v>-2</v>
      </c>
      <c r="U67" s="377">
        <v>-0.2</v>
      </c>
      <c r="W67" s="377">
        <v>0</v>
      </c>
      <c r="X67" s="428">
        <v>0.5</v>
      </c>
      <c r="Z67" s="377">
        <v>0</v>
      </c>
      <c r="AA67" s="428">
        <v>0.2</v>
      </c>
      <c r="AC67" s="416">
        <v>0</v>
      </c>
      <c r="AD67" s="377">
        <v>0</v>
      </c>
      <c r="AF67" s="377">
        <v>0</v>
      </c>
      <c r="AG67" s="377">
        <v>0</v>
      </c>
      <c r="AI67" s="377">
        <v>0</v>
      </c>
      <c r="AL67" s="377">
        <v>0</v>
      </c>
      <c r="AO67" s="377">
        <v>0</v>
      </c>
      <c r="AR67" s="377">
        <v>0</v>
      </c>
      <c r="AU67" s="377">
        <v>0</v>
      </c>
      <c r="AX67" s="377">
        <v>0</v>
      </c>
      <c r="BA67" s="377">
        <v>0</v>
      </c>
      <c r="BD67" s="377">
        <v>0</v>
      </c>
      <c r="BG67" s="377">
        <v>0</v>
      </c>
      <c r="BJ67" s="377">
        <v>0</v>
      </c>
    </row>
    <row r="68" spans="2:64" s="377" customFormat="1">
      <c r="B68" s="377" t="s">
        <v>829</v>
      </c>
      <c r="K68" s="405"/>
      <c r="N68" s="377">
        <v>-46.1</v>
      </c>
      <c r="O68" s="377">
        <v>-20.3</v>
      </c>
      <c r="Q68" s="377">
        <v>-38</v>
      </c>
      <c r="R68" s="377">
        <v>-15.6</v>
      </c>
      <c r="T68" s="377">
        <f>T20</f>
        <v>-32</v>
      </c>
      <c r="U68" s="377">
        <v>22.9</v>
      </c>
      <c r="W68" s="377">
        <f>W20</f>
        <v>-40.4</v>
      </c>
      <c r="X68" s="428">
        <v>-15.1</v>
      </c>
      <c r="Z68" s="377">
        <f>Z20</f>
        <v>-26.1</v>
      </c>
      <c r="AA68" s="428">
        <v>-13</v>
      </c>
      <c r="AC68" s="416">
        <f>AC20</f>
        <v>-24.7</v>
      </c>
      <c r="AD68" s="377">
        <f>AD20</f>
        <v>-12.231811200378072</v>
      </c>
      <c r="AF68" s="377">
        <f t="shared" ref="AF68:AX68" si="88">AF20</f>
        <v>-24.463622400756144</v>
      </c>
      <c r="AG68" s="377">
        <f>AG20</f>
        <v>-12.324295979627905</v>
      </c>
      <c r="AI68" s="377">
        <f t="shared" si="88"/>
        <v>-24.64859195925581</v>
      </c>
      <c r="AL68" s="377">
        <f>AL20</f>
        <v>-24.871378199874474</v>
      </c>
      <c r="AO68" s="377">
        <f t="shared" si="88"/>
        <v>-25.12988280394773</v>
      </c>
      <c r="AR68" s="377">
        <f t="shared" si="88"/>
        <v>-25.424875282643328</v>
      </c>
      <c r="AU68" s="377">
        <f t="shared" si="88"/>
        <v>-25.753536944609749</v>
      </c>
      <c r="AX68" s="377">
        <f t="shared" si="88"/>
        <v>-26.112350275365344</v>
      </c>
      <c r="BA68" s="377">
        <f t="shared" ref="BA68:BD68" si="89">BA20</f>
        <v>-26.49738991804459</v>
      </c>
      <c r="BD68" s="377">
        <f t="shared" si="89"/>
        <v>-26.909121101804161</v>
      </c>
      <c r="BG68" s="377">
        <f t="shared" ref="BG68:BJ68" si="90">BG20</f>
        <v>-27.348037109615039</v>
      </c>
      <c r="BJ68" s="377">
        <f t="shared" si="90"/>
        <v>-27.814659873125304</v>
      </c>
    </row>
    <row r="69" spans="2:64" s="411" customFormat="1">
      <c r="B69" s="411" t="s">
        <v>147</v>
      </c>
      <c r="K69" s="412"/>
      <c r="N69" s="411">
        <f>SUM(N67:N68)</f>
        <v>-46.1</v>
      </c>
      <c r="Q69" s="411">
        <f>SUM(Q67:Q68)</f>
        <v>-38.9</v>
      </c>
      <c r="R69" s="411">
        <f>SUM(R67:R68)</f>
        <v>-18.7</v>
      </c>
      <c r="T69" s="411">
        <f>SUM(T67:T68)</f>
        <v>-34</v>
      </c>
      <c r="U69" s="411">
        <f>SUM(U67:U68)</f>
        <v>22.7</v>
      </c>
      <c r="W69" s="411">
        <f>SUM(W67:W68)</f>
        <v>-40.4</v>
      </c>
      <c r="X69" s="411">
        <f>SUM(X67:X68)</f>
        <v>-14.6</v>
      </c>
      <c r="Z69" s="411">
        <f>SUM(Z67:Z68)</f>
        <v>-26.1</v>
      </c>
      <c r="AA69" s="411">
        <f>SUM(AA67:AA68)</f>
        <v>-12.8</v>
      </c>
      <c r="AC69" s="430">
        <f t="shared" ref="AC69:AU69" si="91">SUM(AC67:AC68)</f>
        <v>-24.7</v>
      </c>
      <c r="AD69" s="411">
        <f>SUM(AD67:AD68)</f>
        <v>-12.231811200378072</v>
      </c>
      <c r="AF69" s="411">
        <f t="shared" si="91"/>
        <v>-24.463622400756144</v>
      </c>
      <c r="AG69" s="411">
        <f>SUM(AG67:AG68)</f>
        <v>-12.324295979627905</v>
      </c>
      <c r="AI69" s="411">
        <f t="shared" si="91"/>
        <v>-24.64859195925581</v>
      </c>
      <c r="AL69" s="411">
        <f>SUM(AL67:AL68)</f>
        <v>-24.871378199874474</v>
      </c>
      <c r="AO69" s="411">
        <f t="shared" si="91"/>
        <v>-25.12988280394773</v>
      </c>
      <c r="AR69" s="411">
        <f t="shared" si="91"/>
        <v>-25.424875282643328</v>
      </c>
      <c r="AU69" s="411">
        <f t="shared" si="91"/>
        <v>-25.753536944609749</v>
      </c>
      <c r="AX69" s="411">
        <f t="shared" ref="AX69" si="92">SUM(AX67:AX68)</f>
        <v>-26.112350275365344</v>
      </c>
      <c r="BA69" s="411">
        <f t="shared" ref="BA69:BD69" si="93">SUM(BA67:BA68)</f>
        <v>-26.49738991804459</v>
      </c>
      <c r="BD69" s="411">
        <f t="shared" si="93"/>
        <v>-26.909121101804161</v>
      </c>
      <c r="BG69" s="411">
        <f t="shared" ref="BG69:BJ69" si="94">SUM(BG67:BG68)</f>
        <v>-27.348037109615039</v>
      </c>
      <c r="BJ69" s="411">
        <f t="shared" si="94"/>
        <v>-27.814659873125304</v>
      </c>
    </row>
    <row r="70" spans="2:64" s="411" customFormat="1">
      <c r="K70" s="412"/>
      <c r="AC70" s="430"/>
    </row>
    <row r="71" spans="2:64" s="411" customFormat="1">
      <c r="B71" s="411" t="s">
        <v>848</v>
      </c>
      <c r="K71" s="412"/>
      <c r="Q71" s="411">
        <f>Q63+Q69</f>
        <v>-300.29999999999995</v>
      </c>
      <c r="R71" s="411">
        <f>R63+R69</f>
        <v>-149.69999999999999</v>
      </c>
      <c r="T71" s="411">
        <f>T63+T69</f>
        <v>-307.2</v>
      </c>
      <c r="U71" s="411">
        <f>U63+U69</f>
        <v>-117.99999999999999</v>
      </c>
      <c r="V71" s="411">
        <f>W71-U71</f>
        <v>-211.39999999999998</v>
      </c>
      <c r="W71" s="411">
        <f>W63+W69</f>
        <v>-329.4</v>
      </c>
      <c r="X71" s="411">
        <f t="shared" ref="X71:AU71" si="95">X63+X69</f>
        <v>-168.2</v>
      </c>
      <c r="Y71" s="411">
        <f>Z71-X71</f>
        <v>-170.00000000000006</v>
      </c>
      <c r="Z71" s="411">
        <f>Z63+Z69</f>
        <v>-338.20000000000005</v>
      </c>
      <c r="AA71" s="411">
        <f t="shared" ref="AA71" si="96">AA63+AA69</f>
        <v>-174.9</v>
      </c>
      <c r="AB71" s="411">
        <f>AC71-AA71</f>
        <v>-183.4</v>
      </c>
      <c r="AC71" s="430">
        <f>AC63+AC69</f>
        <v>-358.3</v>
      </c>
      <c r="AD71" s="411">
        <f>AD63+AD69</f>
        <v>-186.72009092087001</v>
      </c>
      <c r="AE71" s="411">
        <f>AF71-AD71</f>
        <v>-186.72009092087001</v>
      </c>
      <c r="AF71" s="411">
        <f>AF63+AF69</f>
        <v>-373.44018184174001</v>
      </c>
      <c r="AG71" s="411">
        <f t="shared" si="95"/>
        <v>-195.5241296311757</v>
      </c>
      <c r="AH71" s="411">
        <f>AI71-AG71</f>
        <v>-195.5241296311757</v>
      </c>
      <c r="AI71" s="411">
        <f t="shared" si="95"/>
        <v>-391.04825926235139</v>
      </c>
      <c r="AL71" s="411">
        <f>AL63+AL69</f>
        <v>-409.34546966712969</v>
      </c>
      <c r="AO71" s="411">
        <f t="shared" si="95"/>
        <v>-427.27562624530441</v>
      </c>
      <c r="AR71" s="411">
        <f>AR63+AR69</f>
        <v>-444.58655204159345</v>
      </c>
      <c r="AU71" s="411">
        <f t="shared" si="95"/>
        <v>-460.98944084074697</v>
      </c>
      <c r="AX71" s="411">
        <f t="shared" ref="AX71" si="97">AX63+AX69</f>
        <v>-476.36947337449021</v>
      </c>
      <c r="BA71" s="411">
        <f t="shared" ref="BA71:BD71" si="98">BA63+BA69</f>
        <v>-492.27153435397236</v>
      </c>
      <c r="BD71" s="411">
        <f t="shared" si="98"/>
        <v>-508.71348055868725</v>
      </c>
      <c r="BG71" s="411">
        <f>BG63+BG69</f>
        <v>-525.71378042522792</v>
      </c>
      <c r="BJ71" s="411">
        <f>BJ63+BJ69</f>
        <v>-543.2915349514434</v>
      </c>
    </row>
    <row r="72" spans="2:64" s="377" customFormat="1">
      <c r="B72" s="377" t="s">
        <v>849</v>
      </c>
      <c r="K72" s="405"/>
      <c r="Q72" s="377">
        <f>MODEL!Q29</f>
        <v>-299.40000000000003</v>
      </c>
      <c r="R72" s="377">
        <f>MODEL!R29</f>
        <v>-146.59999999999997</v>
      </c>
      <c r="T72" s="377">
        <f>MODEL!T29</f>
        <v>-305.19999999999993</v>
      </c>
      <c r="U72" s="377">
        <f>MODEL!U29</f>
        <v>-163.6</v>
      </c>
      <c r="W72" s="377">
        <f>MODEL!W29</f>
        <v>-329.59999999999997</v>
      </c>
      <c r="Z72" s="377">
        <f>MODEL!Z29</f>
        <v>-338.20000000000005</v>
      </c>
      <c r="AC72" s="416">
        <f>MODEL!AC29</f>
        <v>-358.3</v>
      </c>
    </row>
    <row r="73" spans="2:64" s="377" customFormat="1">
      <c r="B73" s="377" t="s">
        <v>850</v>
      </c>
      <c r="K73" s="405"/>
      <c r="Q73" s="377">
        <f>Q72-Q71</f>
        <v>0.89999999999992042</v>
      </c>
      <c r="R73" s="377">
        <f>R72-R71</f>
        <v>3.1000000000000227</v>
      </c>
      <c r="T73" s="377">
        <f>T72-T71</f>
        <v>2.0000000000000568</v>
      </c>
      <c r="U73" s="377">
        <f>U72-U71</f>
        <v>-45.600000000000009</v>
      </c>
      <c r="W73" s="377">
        <f>W72-W71</f>
        <v>-0.19999999999998863</v>
      </c>
      <c r="Z73" s="377">
        <f>Z72-Z71</f>
        <v>0</v>
      </c>
      <c r="AC73" s="416">
        <f>AC72-AC71</f>
        <v>0</v>
      </c>
    </row>
    <row r="74" spans="2:64" s="377" customFormat="1">
      <c r="B74" s="377" t="s">
        <v>908</v>
      </c>
      <c r="K74" s="405"/>
      <c r="T74" s="377">
        <f>Divisionals!T86+Divisionals!T169+Divisionals!T223+Divisionals!T368</f>
        <v>-304.89999999999998</v>
      </c>
      <c r="U74" s="377">
        <f>Divisionals!U86+Divisionals!U169+Divisionals!U223+Divisionals!U368</f>
        <v>-157.69999999999999</v>
      </c>
      <c r="V74" s="377">
        <f>Divisionals!V86+Divisionals!V169+Divisionals!V223+Divisionals!V368</f>
        <v>-168.80455378973105</v>
      </c>
      <c r="W74" s="377">
        <f>Divisionals!W86+Divisionals!W169+Divisionals!W223+Divisionals!W368</f>
        <v>-323.70000000000005</v>
      </c>
      <c r="X74" s="377">
        <f>Divisionals!X86+Divisionals!X169+Divisionals!X223+Divisionals!X368</f>
        <v>-168.60000000000002</v>
      </c>
      <c r="Y74" s="377">
        <f>Divisionals!Y86+Divisionals!Y169+Divisionals!Y223+Divisionals!Y368</f>
        <v>-169.4</v>
      </c>
      <c r="Z74" s="377">
        <f>Divisionals!Z86+Divisionals!Z169+Divisionals!Z223+Divisionals!Z368</f>
        <v>-338</v>
      </c>
      <c r="AA74" s="377">
        <f>Divisionals!AA86+Divisionals!AA169+Divisionals!AA223+Divisionals!AA368</f>
        <v>-175</v>
      </c>
      <c r="AB74" s="377">
        <f>Divisionals!AB86+Divisionals!AB169+Divisionals!AB223+Divisionals!AB368</f>
        <v>-181.60000000000002</v>
      </c>
      <c r="AC74" s="416">
        <f>Divisionals!AC86+Divisionals!AC169+Divisionals!AC223+Divisionals!AC368</f>
        <v>-356.6</v>
      </c>
      <c r="AD74" s="377">
        <f>Divisionals!AD86+Divisionals!AD169+Divisionals!AD223+Divisionals!AD368</f>
        <v>-184.37825173661614</v>
      </c>
      <c r="AE74" s="377">
        <f>Divisionals!AE86+Divisionals!AE169+Divisionals!AE223+Divisionals!AE368</f>
        <v>-189.06193010512388</v>
      </c>
      <c r="AF74" s="407">
        <f>Divisionals!AF86+Divisionals!AF169+Divisionals!AF223+Divisionals!AF368</f>
        <v>-373.44018184174001</v>
      </c>
      <c r="AG74" s="377">
        <f>Divisionals!AG86+Divisionals!AG169+Divisionals!AG223+Divisionals!AG368</f>
        <v>-193.46301494945021</v>
      </c>
      <c r="AH74" s="377">
        <f>Divisionals!AH86+Divisionals!AH169+Divisionals!AH223+Divisionals!AH368</f>
        <v>-197.58524431290124</v>
      </c>
      <c r="AI74" s="407">
        <f>Divisionals!AI86+Divisionals!AI169+Divisionals!AI223+Divisionals!AI368</f>
        <v>-391.04825926235145</v>
      </c>
      <c r="AJ74" s="407"/>
      <c r="AK74" s="407"/>
      <c r="AL74" s="407">
        <f>Divisionals!AL86+Divisionals!AL169+Divisionals!AL223+Divisionals!AL368</f>
        <v>-409.34546966712969</v>
      </c>
      <c r="AM74" s="407"/>
      <c r="AN74" s="407"/>
      <c r="AO74" s="407">
        <f>Divisionals!AO86+Divisionals!AO169+Divisionals!AO223+Divisionals!AO368</f>
        <v>-427.27562624530441</v>
      </c>
      <c r="AP74" s="407"/>
      <c r="AQ74" s="407"/>
      <c r="AR74" s="407">
        <f>Divisionals!AR86+Divisionals!AR169+Divisionals!AR223+Divisionals!AR368</f>
        <v>-444.58655204159345</v>
      </c>
      <c r="AS74" s="407"/>
      <c r="AT74" s="407"/>
      <c r="AU74" s="407">
        <f>Divisionals!AU86+Divisionals!AU169+Divisionals!AU223+Divisionals!AU368</f>
        <v>-460.98944084074697</v>
      </c>
      <c r="AV74" s="407"/>
      <c r="AW74" s="407"/>
      <c r="AX74" s="407">
        <f>Divisionals!AX86+Divisionals!AX169+Divisionals!AX223+Divisionals!AX368</f>
        <v>-476.36947337449021</v>
      </c>
      <c r="AY74" s="407"/>
      <c r="AZ74" s="407"/>
      <c r="BA74" s="407">
        <f>Divisionals!BA86+Divisionals!BA169+Divisionals!BA223+Divisionals!BA368</f>
        <v>-492.27153435397236</v>
      </c>
      <c r="BB74" s="407"/>
      <c r="BC74" s="407"/>
      <c r="BD74" s="407">
        <f>Divisionals!BD86+Divisionals!BD169+Divisionals!BD223+Divisionals!BD368</f>
        <v>-508.71348055868725</v>
      </c>
      <c r="BE74" s="407"/>
      <c r="BF74" s="407"/>
      <c r="BG74" s="407">
        <f>Divisionals!BG86+Divisionals!BG169+Divisionals!BG223+Divisionals!BG368</f>
        <v>-525.71378042522792</v>
      </c>
      <c r="BH74" s="407"/>
      <c r="BI74" s="407"/>
      <c r="BJ74" s="407">
        <f>Divisionals!BJ86+Divisionals!BJ169+Divisionals!BJ223+Divisionals!BJ368</f>
        <v>-543.2915349514434</v>
      </c>
    </row>
    <row r="75" spans="2:64" s="377" customFormat="1">
      <c r="B75" s="377" t="s">
        <v>928</v>
      </c>
      <c r="K75" s="405"/>
      <c r="T75" s="124">
        <f>T71/MODEL!T6</f>
        <v>-8.6510842016333425E-2</v>
      </c>
      <c r="U75" s="124">
        <f>U71/MODEL!U6</f>
        <v>-6.0253267973856196E-2</v>
      </c>
      <c r="V75" s="124">
        <f>V71/MODEL!V6</f>
        <v>-0.11461721969204075</v>
      </c>
      <c r="W75" s="124">
        <f>W71/MODEL!W6</f>
        <v>-8.662038497948879E-2</v>
      </c>
      <c r="X75" s="124">
        <f>X71/MODEL!X6</f>
        <v>-8.3250841417541077E-2</v>
      </c>
      <c r="Y75" s="124">
        <f>Y71/MODEL!Y6</f>
        <v>-9.1280068728522346E-2</v>
      </c>
      <c r="Z75" s="124">
        <f>Z71/MODEL!Z6</f>
        <v>-8.7102091274338114E-2</v>
      </c>
      <c r="AA75" s="310">
        <f>AA71/MODEL!AA6</f>
        <v>-8.3001138952164016E-2</v>
      </c>
      <c r="AB75" s="124">
        <f>AB71/MODEL!AB6</f>
        <v>-9.3205265030238335E-2</v>
      </c>
      <c r="AC75" s="434">
        <f>AC71/MODEL!AC6</f>
        <v>-8.7928538123634936E-2</v>
      </c>
      <c r="AD75" s="124">
        <f>AD71/MODEL!AD6</f>
        <v>-8.5023001869018941E-2</v>
      </c>
      <c r="AE75" s="124">
        <f>AE71/MODEL!AE6</f>
        <v>-8.9685426205050753E-2</v>
      </c>
      <c r="AF75" s="124">
        <f>AF71/MODEL!AF6</f>
        <v>-8.7292001237890424E-2</v>
      </c>
      <c r="AG75" s="124">
        <f>AG71/MODEL!AG6</f>
        <v>-8.5042467988322656E-2</v>
      </c>
      <c r="AH75" s="124">
        <f>AH71/MODEL!AH6</f>
        <v>-8.8992557820950988E-2</v>
      </c>
      <c r="AI75" s="124">
        <f>AI71/MODEL!AI6</f>
        <v>-8.6972685118927376E-2</v>
      </c>
      <c r="AJ75" s="124" t="e">
        <f>AJ71/MODEL!AJ6</f>
        <v>#DIV/0!</v>
      </c>
      <c r="AK75" s="124" t="e">
        <f>AK71/MODEL!AK6</f>
        <v>#DIV/0!</v>
      </c>
      <c r="AL75" s="124">
        <f>AL71/MODEL!AL6</f>
        <v>-8.6894383402150235E-2</v>
      </c>
      <c r="AM75" s="124" t="e">
        <f>AM71/MODEL!AM6</f>
        <v>#DIV/0!</v>
      </c>
      <c r="AN75" s="124" t="e">
        <f>AN71/MODEL!AN6</f>
        <v>#DIV/0!</v>
      </c>
      <c r="AO75" s="124">
        <f>AO71/MODEL!AO6</f>
        <v>-8.6816911605572658E-2</v>
      </c>
      <c r="AP75" s="124" t="e">
        <f>AP71/MODEL!AP6</f>
        <v>#DIV/0!</v>
      </c>
      <c r="AQ75" s="124" t="e">
        <f>AQ71/MODEL!AQ6</f>
        <v>#DIV/0!</v>
      </c>
      <c r="AR75" s="124">
        <f>AR71/MODEL!AR6</f>
        <v>-8.676705716055437E-2</v>
      </c>
      <c r="AS75" s="124" t="e">
        <f>AS71/MODEL!AS6</f>
        <v>#DIV/0!</v>
      </c>
      <c r="AT75" s="124" t="e">
        <f>AT71/MODEL!AT6</f>
        <v>#DIV/0!</v>
      </c>
      <c r="AU75" s="124">
        <f>AU71/MODEL!AU6</f>
        <v>-8.6748102352883216E-2</v>
      </c>
      <c r="AV75" s="124" t="e">
        <f>AV71/MODEL!AV6</f>
        <v>#DIV/0!</v>
      </c>
      <c r="AW75" s="124" t="e">
        <f>AW71/MODEL!AW6</f>
        <v>#DIV/0!</v>
      </c>
      <c r="AX75" s="124">
        <f>AX71/MODEL!AX6</f>
        <v>-8.677440648717466E-2</v>
      </c>
      <c r="AY75" s="124" t="e">
        <f>AY71/MODEL!AY6</f>
        <v>#DIV/0!</v>
      </c>
      <c r="AZ75" s="124" t="e">
        <f>AZ71/MODEL!AZ6</f>
        <v>#DIV/0!</v>
      </c>
      <c r="BA75" s="124">
        <f>BA71/MODEL!BA6</f>
        <v>-8.6800989384172911E-2</v>
      </c>
      <c r="BB75" s="124" t="e">
        <f>BB71/MODEL!BB6</f>
        <v>#DIV/0!</v>
      </c>
      <c r="BC75" s="124" t="e">
        <f>BC71/MODEL!BC6</f>
        <v>#DIV/0!</v>
      </c>
      <c r="BD75" s="124">
        <f>BD71/MODEL!BD6</f>
        <v>-8.6827840079502103E-2</v>
      </c>
      <c r="BE75" s="124" t="e">
        <f>BE71/MODEL!BE6</f>
        <v>#DIV/0!</v>
      </c>
      <c r="BF75" s="124" t="e">
        <f>BF71/MODEL!BF6</f>
        <v>#DIV/0!</v>
      </c>
      <c r="BG75" s="124">
        <f>BG71/MODEL!BG6</f>
        <v>-8.6854947790255099E-2</v>
      </c>
      <c r="BH75" s="124" t="e">
        <f>BH71/MODEL!BH6</f>
        <v>#DIV/0!</v>
      </c>
      <c r="BI75" s="124" t="e">
        <f>BI71/MODEL!BI6</f>
        <v>#DIV/0!</v>
      </c>
      <c r="BJ75" s="124">
        <f>BJ71/MODEL!BJ6</f>
        <v>-8.688230191324306E-2</v>
      </c>
    </row>
    <row r="76" spans="2:64" s="377" customFormat="1">
      <c r="K76" s="405"/>
      <c r="AC76" s="416"/>
      <c r="AF76" s="407"/>
      <c r="AI76" s="407"/>
      <c r="AJ76" s="407"/>
      <c r="AK76" s="407"/>
      <c r="AL76" s="407"/>
      <c r="AM76" s="407"/>
      <c r="AN76" s="407"/>
      <c r="AO76" s="407"/>
      <c r="AP76" s="407"/>
      <c r="AQ76" s="407"/>
      <c r="AR76" s="407"/>
      <c r="AS76" s="407"/>
      <c r="AT76" s="407"/>
      <c r="AU76" s="407"/>
      <c r="AV76" s="407"/>
      <c r="AW76" s="407"/>
      <c r="AX76" s="407"/>
      <c r="AY76" s="407"/>
      <c r="AZ76" s="407"/>
      <c r="BA76" s="407"/>
      <c r="BB76" s="407"/>
      <c r="BC76" s="407"/>
      <c r="BD76" s="407"/>
      <c r="BE76" s="407"/>
      <c r="BF76" s="407"/>
      <c r="BG76" s="407"/>
      <c r="BH76" s="407"/>
      <c r="BI76" s="407"/>
      <c r="BJ76" s="407"/>
    </row>
    <row r="77" spans="2:64" s="401" customFormat="1">
      <c r="B77" s="401" t="s">
        <v>844</v>
      </c>
      <c r="C77" s="402"/>
      <c r="D77" s="402"/>
      <c r="E77" s="402"/>
      <c r="F77" s="402"/>
      <c r="G77" s="402"/>
      <c r="H77" s="402"/>
      <c r="I77" s="402"/>
      <c r="J77" s="402"/>
      <c r="K77" s="403"/>
      <c r="L77" s="404"/>
      <c r="M77" s="404"/>
      <c r="N77" s="404"/>
      <c r="O77" s="404"/>
      <c r="P77" s="404"/>
      <c r="Q77" s="404"/>
      <c r="R77" s="404"/>
      <c r="S77" s="404"/>
      <c r="T77" s="402"/>
      <c r="U77" s="404"/>
      <c r="V77" s="404"/>
      <c r="W77" s="402"/>
      <c r="X77" s="404"/>
      <c r="Y77" s="404"/>
      <c r="Z77" s="402"/>
      <c r="AA77" s="404"/>
      <c r="AB77" s="404"/>
      <c r="AC77" s="1384"/>
      <c r="AD77" s="404"/>
      <c r="AE77" s="404"/>
      <c r="AF77" s="402"/>
      <c r="AG77" s="404"/>
      <c r="AH77" s="404"/>
      <c r="AI77" s="402"/>
      <c r="AJ77" s="402"/>
      <c r="AK77" s="402"/>
      <c r="AL77" s="402"/>
      <c r="AM77" s="402"/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</row>
    <row r="78" spans="2:64" s="377" customFormat="1">
      <c r="B78" s="377" t="s">
        <v>846</v>
      </c>
      <c r="K78" s="405"/>
      <c r="N78" s="377">
        <v>-37.299999999999997</v>
      </c>
      <c r="O78" s="377">
        <v>-3.1</v>
      </c>
      <c r="Q78" s="377">
        <f>Q42</f>
        <v>-35.200000000000003</v>
      </c>
      <c r="R78" s="377">
        <v>-3.2</v>
      </c>
      <c r="T78" s="377">
        <f>T42-1.2</f>
        <v>-40.1</v>
      </c>
      <c r="U78" s="428">
        <v>-20.8</v>
      </c>
      <c r="V78" s="377">
        <f>W78-U78</f>
        <v>-22.400000000000002</v>
      </c>
      <c r="W78" s="428">
        <v>-43.2</v>
      </c>
      <c r="X78" s="428">
        <f>X42</f>
        <v>-25</v>
      </c>
      <c r="Y78" s="377">
        <f>Z78-X78</f>
        <v>-28.9</v>
      </c>
      <c r="Z78" s="428">
        <v>-53.9</v>
      </c>
      <c r="AA78" s="428">
        <f>AA42</f>
        <v>-29.3</v>
      </c>
      <c r="AB78" s="377">
        <f>AC78-AA78</f>
        <v>-35.5</v>
      </c>
      <c r="AC78" s="429">
        <v>-64.8</v>
      </c>
      <c r="AD78" s="377">
        <f t="shared" ref="AD78:AX78" si="99">AD42</f>
        <v>-32.439750000000004</v>
      </c>
      <c r="AE78" s="377">
        <f t="shared" si="99"/>
        <v>0</v>
      </c>
      <c r="AF78" s="377">
        <f t="shared" si="99"/>
        <v>-64.879500000000007</v>
      </c>
      <c r="AG78" s="377">
        <f t="shared" ref="AG78:AH78" si="100">AG42</f>
        <v>-31.908342123200896</v>
      </c>
      <c r="AH78" s="377">
        <f t="shared" si="100"/>
        <v>0</v>
      </c>
      <c r="AI78" s="377">
        <f t="shared" si="99"/>
        <v>-63.816684246401792</v>
      </c>
      <c r="AL78" s="377">
        <f t="shared" si="99"/>
        <v>-65.039042081221169</v>
      </c>
      <c r="AO78" s="377">
        <f t="shared" si="99"/>
        <v>-64.554347821781121</v>
      </c>
      <c r="AR78" s="377">
        <f t="shared" si="99"/>
        <v>-66.420244709540086</v>
      </c>
      <c r="AU78" s="377">
        <f t="shared" si="99"/>
        <v>-68.268471012266119</v>
      </c>
      <c r="AX78" s="377">
        <f t="shared" si="99"/>
        <v>-70.087879058683413</v>
      </c>
      <c r="BA78" s="377">
        <f t="shared" ref="BA78:BD78" si="101">BA42</f>
        <v>-71.866322988773973</v>
      </c>
      <c r="BD78" s="377">
        <f t="shared" si="101"/>
        <v>-73.590605428320458</v>
      </c>
      <c r="BG78" s="377">
        <f t="shared" ref="BG78:BJ78" si="102">BG42</f>
        <v>-75.246422157396779</v>
      </c>
      <c r="BJ78" s="377">
        <f t="shared" si="102"/>
        <v>-76.818304712012917</v>
      </c>
    </row>
    <row r="79" spans="2:64" s="377" customFormat="1">
      <c r="B79" s="377" t="s">
        <v>845</v>
      </c>
      <c r="K79" s="405"/>
      <c r="N79" s="428">
        <v>-17.8</v>
      </c>
      <c r="O79" s="377">
        <v>-18</v>
      </c>
      <c r="Q79" s="428">
        <v>-5.8</v>
      </c>
      <c r="R79" s="377">
        <v>-18.600000000000001</v>
      </c>
      <c r="T79" s="428">
        <v>-6.9</v>
      </c>
      <c r="U79" s="377">
        <v>-1.8</v>
      </c>
      <c r="V79" s="377">
        <f t="shared" ref="V79:V81" si="103">W79-U79</f>
        <v>-2.4000000000000004</v>
      </c>
      <c r="W79" s="428">
        <v>-4.2</v>
      </c>
      <c r="X79" s="428">
        <v>-2</v>
      </c>
      <c r="Y79" s="377">
        <f>Debt!Y13</f>
        <v>0</v>
      </c>
      <c r="Z79" s="428">
        <v>-3.9</v>
      </c>
      <c r="AA79" s="428">
        <v>-3</v>
      </c>
      <c r="AB79" s="377">
        <f>Debt!AB13</f>
        <v>0</v>
      </c>
      <c r="AC79" s="429">
        <v>-5.5</v>
      </c>
      <c r="AD79" s="377">
        <f>Debt!AD13</f>
        <v>-3</v>
      </c>
      <c r="AE79" s="377">
        <f>Debt!AE13</f>
        <v>0</v>
      </c>
      <c r="AF79" s="377">
        <f>Debt!AF13</f>
        <v>-5.5</v>
      </c>
      <c r="AG79" s="377">
        <f>Debt!AG13</f>
        <v>-3</v>
      </c>
      <c r="AH79" s="377">
        <f>Debt!AH13</f>
        <v>0</v>
      </c>
      <c r="AI79" s="377">
        <f>Debt!AI13</f>
        <v>-5.5</v>
      </c>
      <c r="AL79" s="377">
        <f>Debt!AL13</f>
        <v>-5.5</v>
      </c>
      <c r="AO79" s="377">
        <f>Debt!AO13</f>
        <v>-5.5</v>
      </c>
      <c r="AR79" s="377">
        <f>Debt!AR13</f>
        <v>-5.5</v>
      </c>
      <c r="AU79" s="377">
        <f>Debt!AU13</f>
        <v>-5.5</v>
      </c>
      <c r="AX79" s="377">
        <f>Debt!AX13</f>
        <v>-5.5</v>
      </c>
      <c r="BA79" s="377">
        <f>Debt!BA13</f>
        <v>-5.5</v>
      </c>
      <c r="BD79" s="377">
        <f>Debt!BD13</f>
        <v>-5.5</v>
      </c>
      <c r="BG79" s="377">
        <f>Debt!BG13</f>
        <v>-5.5</v>
      </c>
      <c r="BJ79" s="377">
        <f>Debt!BJ13</f>
        <v>-5.5</v>
      </c>
    </row>
    <row r="80" spans="2:64" s="377" customFormat="1">
      <c r="B80" s="377" t="s">
        <v>993</v>
      </c>
      <c r="K80" s="405"/>
      <c r="W80" s="428">
        <v>4.2</v>
      </c>
      <c r="X80" s="428"/>
      <c r="Z80" s="428">
        <v>8.1999999999999993</v>
      </c>
      <c r="AA80" s="428">
        <v>2.2999999999999998</v>
      </c>
      <c r="AC80" s="429">
        <v>3.3</v>
      </c>
      <c r="AD80" s="377">
        <f>Debt!AD16</f>
        <v>5.0309999999999997</v>
      </c>
      <c r="AE80" s="377">
        <f>Debt!AE16</f>
        <v>0</v>
      </c>
      <c r="AF80" s="377">
        <f>Debt!AF16</f>
        <v>1.8989999999999998</v>
      </c>
      <c r="AG80" s="377">
        <f>Debt!AG16</f>
        <v>4.0127732326930214</v>
      </c>
      <c r="AH80" s="377">
        <f>Debt!AH16</f>
        <v>2.8344221532841298</v>
      </c>
      <c r="AI80" s="377">
        <f>Debt!AI16</f>
        <v>2.8344221532841298</v>
      </c>
      <c r="AL80" s="377">
        <f>Debt!AL16</f>
        <v>4.8377539001033325</v>
      </c>
      <c r="AO80" s="377">
        <f>Debt!AO16</f>
        <v>6.8937611394322937</v>
      </c>
      <c r="AR80" s="377">
        <f>Debt!AR16</f>
        <v>9.1123746449148424</v>
      </c>
      <c r="AU80" s="377">
        <f>Debt!AU16</f>
        <v>11.504595446653308</v>
      </c>
      <c r="AX80" s="377">
        <f>Debt!AX16</f>
        <v>14.146766377884598</v>
      </c>
      <c r="BA80" s="377">
        <f>Debt!BA16</f>
        <v>16.920998886398284</v>
      </c>
      <c r="BD80" s="377">
        <f>Debt!BD16</f>
        <v>19.843629676208931</v>
      </c>
      <c r="BG80" s="377">
        <f>Debt!BG16</f>
        <v>22.919441244181705</v>
      </c>
      <c r="BJ80" s="377">
        <f>Debt!BJ16</f>
        <v>26.152988394846798</v>
      </c>
    </row>
    <row r="81" spans="2:62" s="411" customFormat="1">
      <c r="B81" s="411" t="s">
        <v>847</v>
      </c>
      <c r="K81" s="412"/>
      <c r="N81" s="411">
        <f>SUM(N78:N79)</f>
        <v>-55.099999999999994</v>
      </c>
      <c r="O81" s="448">
        <f>SUM(O78:O79)</f>
        <v>-21.1</v>
      </c>
      <c r="Q81" s="411">
        <f>SUM(Q78:Q79)</f>
        <v>-41</v>
      </c>
      <c r="R81" s="411">
        <f t="shared" ref="R81:U81" si="104">SUM(R78:R79)</f>
        <v>-21.8</v>
      </c>
      <c r="S81" s="411">
        <f t="shared" si="104"/>
        <v>0</v>
      </c>
      <c r="T81" s="411">
        <f t="shared" si="104"/>
        <v>-47</v>
      </c>
      <c r="U81" s="411">
        <f t="shared" si="104"/>
        <v>-22.6</v>
      </c>
      <c r="V81" s="411">
        <f t="shared" si="103"/>
        <v>-24.800000000000004</v>
      </c>
      <c r="W81" s="411">
        <f>SUM(W78:W79)</f>
        <v>-47.400000000000006</v>
      </c>
      <c r="X81" s="411">
        <f t="shared" ref="X81:Y81" si="105">SUM(X78:X79)</f>
        <v>-27</v>
      </c>
      <c r="Y81" s="411">
        <f t="shared" si="105"/>
        <v>-28.9</v>
      </c>
      <c r="Z81" s="411">
        <f>SUM(Z78:Z80)</f>
        <v>-49.599999999999994</v>
      </c>
      <c r="AA81" s="411">
        <f t="shared" ref="AA81:BG81" si="106">SUM(AA78:AA80)</f>
        <v>-29.999999999999996</v>
      </c>
      <c r="AB81" s="411">
        <f t="shared" ref="AB81" si="107">SUM(AB78:AB79)</f>
        <v>-35.5</v>
      </c>
      <c r="AC81" s="430">
        <f t="shared" si="106"/>
        <v>-67</v>
      </c>
      <c r="AD81" s="411">
        <f t="shared" si="106"/>
        <v>-30.408750000000005</v>
      </c>
      <c r="AE81" s="411">
        <f t="shared" si="106"/>
        <v>0</v>
      </c>
      <c r="AF81" s="411">
        <f t="shared" si="106"/>
        <v>-68.480500000000006</v>
      </c>
      <c r="AG81" s="411">
        <f t="shared" ref="AG81:AH81" si="108">SUM(AG78:AG80)</f>
        <v>-30.895568890507874</v>
      </c>
      <c r="AH81" s="411">
        <f t="shared" si="108"/>
        <v>2.8344221532841298</v>
      </c>
      <c r="AI81" s="411">
        <f t="shared" si="106"/>
        <v>-66.482262093117669</v>
      </c>
      <c r="AL81" s="411">
        <f t="shared" si="106"/>
        <v>-65.701288181117832</v>
      </c>
      <c r="AO81" s="411">
        <f t="shared" si="106"/>
        <v>-63.160586682348828</v>
      </c>
      <c r="AR81" s="411">
        <f t="shared" si="106"/>
        <v>-62.807870064625241</v>
      </c>
      <c r="AU81" s="411">
        <f t="shared" si="106"/>
        <v>-62.263875565612807</v>
      </c>
      <c r="AX81" s="411">
        <f t="shared" si="106"/>
        <v>-61.441112680798817</v>
      </c>
      <c r="BA81" s="411">
        <f t="shared" si="106"/>
        <v>-60.445324102375693</v>
      </c>
      <c r="BD81" s="411">
        <f t="shared" si="106"/>
        <v>-59.246975752111524</v>
      </c>
      <c r="BG81" s="411">
        <f t="shared" si="106"/>
        <v>-57.826980913215074</v>
      </c>
      <c r="BJ81" s="411">
        <f t="shared" ref="BJ81" si="109">SUM(BJ78:BJ80)</f>
        <v>-56.165316317166116</v>
      </c>
    </row>
    <row r="84" spans="2:62">
      <c r="N84" s="377"/>
      <c r="O84" s="377"/>
      <c r="P84" s="377"/>
      <c r="Q84" s="377"/>
      <c r="T84" s="377"/>
      <c r="U84" s="449"/>
      <c r="V84" s="449"/>
      <c r="W84" s="377"/>
      <c r="X84" s="377"/>
      <c r="Y84" s="377"/>
      <c r="Z84" s="377"/>
      <c r="AA84" s="377"/>
      <c r="AB84" s="377"/>
      <c r="AC84" s="416"/>
      <c r="AD84" s="377"/>
      <c r="AE84" s="377"/>
      <c r="AG84" s="377"/>
      <c r="AH84" s="377"/>
    </row>
    <row r="85" spans="2:62">
      <c r="N85" s="377"/>
      <c r="O85" s="377"/>
      <c r="P85" s="377"/>
      <c r="Q85" s="377"/>
      <c r="T85" s="377"/>
      <c r="W85" s="377"/>
      <c r="Y85" s="449"/>
      <c r="Z85" s="377"/>
      <c r="AB85" s="449"/>
      <c r="AC85" s="416"/>
      <c r="AD85" s="377"/>
      <c r="AE85" s="377"/>
      <c r="AG85" s="377"/>
      <c r="AH85" s="377"/>
    </row>
    <row r="86" spans="2:62">
      <c r="N86" s="377"/>
      <c r="O86" s="377"/>
      <c r="P86" s="377"/>
      <c r="Q86" s="377"/>
      <c r="R86" s="377"/>
      <c r="S86" s="377"/>
      <c r="T86" s="377"/>
      <c r="U86" s="377"/>
      <c r="V86" s="377"/>
      <c r="W86" s="377"/>
      <c r="X86" s="377"/>
      <c r="Y86" s="377"/>
      <c r="Z86" s="377"/>
      <c r="AA86" s="377"/>
      <c r="AB86" s="377"/>
      <c r="AC86" s="416"/>
      <c r="AD86" s="377"/>
      <c r="AE86" s="377"/>
      <c r="AG86" s="377"/>
      <c r="AH86" s="377"/>
    </row>
    <row r="87" spans="2:62">
      <c r="E87" s="310"/>
      <c r="F87" s="310"/>
      <c r="G87" s="310"/>
      <c r="H87" s="310"/>
      <c r="I87" s="310"/>
      <c r="J87" s="310"/>
      <c r="K87" s="310"/>
      <c r="N87" s="310"/>
      <c r="O87" s="124"/>
      <c r="P87" s="124"/>
      <c r="Q87" s="310"/>
      <c r="R87" s="310"/>
      <c r="S87" s="310"/>
      <c r="T87" s="310"/>
      <c r="U87" s="124"/>
      <c r="V87" s="124"/>
      <c r="W87" s="310"/>
      <c r="X87" s="310"/>
      <c r="Y87" s="124"/>
      <c r="Z87" s="310"/>
      <c r="AA87" s="310"/>
      <c r="AB87" s="124"/>
      <c r="AC87" s="434"/>
      <c r="AD87" s="310"/>
      <c r="AE87" s="310"/>
      <c r="AG87" s="310"/>
      <c r="AH87" s="310"/>
    </row>
  </sheetData>
  <conditionalFormatting sqref="E2 H2 K2 R2:T2">
    <cfRule type="cellIs" dxfId="89" priority="45" stopIfTrue="1" operator="equal">
      <formula>"Balance"</formula>
    </cfRule>
    <cfRule type="cellIs" dxfId="88" priority="46" stopIfTrue="1" operator="equal">
      <formula>"Error"</formula>
    </cfRule>
  </conditionalFormatting>
  <conditionalFormatting sqref="D2">
    <cfRule type="cellIs" dxfId="87" priority="43" stopIfTrue="1" operator="equal">
      <formula>"Balance"</formula>
    </cfRule>
    <cfRule type="cellIs" dxfId="86" priority="44" stopIfTrue="1" operator="equal">
      <formula>"Error"</formula>
    </cfRule>
  </conditionalFormatting>
  <conditionalFormatting sqref="C2">
    <cfRule type="cellIs" dxfId="85" priority="41" stopIfTrue="1" operator="equal">
      <formula>"Balance"</formula>
    </cfRule>
    <cfRule type="cellIs" dxfId="84" priority="42" stopIfTrue="1" operator="equal">
      <formula>"Error"</formula>
    </cfRule>
  </conditionalFormatting>
  <conditionalFormatting sqref="F2:G2">
    <cfRule type="cellIs" dxfId="83" priority="39" stopIfTrue="1" operator="equal">
      <formula>"Balance"</formula>
    </cfRule>
    <cfRule type="cellIs" dxfId="82" priority="40" stopIfTrue="1" operator="equal">
      <formula>"Error"</formula>
    </cfRule>
  </conditionalFormatting>
  <conditionalFormatting sqref="J2">
    <cfRule type="cellIs" dxfId="81" priority="37" stopIfTrue="1" operator="equal">
      <formula>"Balance"</formula>
    </cfRule>
    <cfRule type="cellIs" dxfId="80" priority="38" stopIfTrue="1" operator="equal">
      <formula>"Error"</formula>
    </cfRule>
  </conditionalFormatting>
  <conditionalFormatting sqref="I2">
    <cfRule type="cellIs" dxfId="79" priority="35" stopIfTrue="1" operator="equal">
      <formula>"Balance"</formula>
    </cfRule>
    <cfRule type="cellIs" dxfId="78" priority="36" stopIfTrue="1" operator="equal">
      <formula>"Error"</formula>
    </cfRule>
  </conditionalFormatting>
  <conditionalFormatting sqref="N2">
    <cfRule type="cellIs" dxfId="77" priority="33" stopIfTrue="1" operator="equal">
      <formula>"Balance"</formula>
    </cfRule>
    <cfRule type="cellIs" dxfId="76" priority="34" stopIfTrue="1" operator="equal">
      <formula>"Error"</formula>
    </cfRule>
  </conditionalFormatting>
  <conditionalFormatting sqref="M2">
    <cfRule type="cellIs" dxfId="75" priority="31" stopIfTrue="1" operator="equal">
      <formula>"Balance"</formula>
    </cfRule>
    <cfRule type="cellIs" dxfId="74" priority="32" stopIfTrue="1" operator="equal">
      <formula>"Error"</formula>
    </cfRule>
  </conditionalFormatting>
  <conditionalFormatting sqref="L2">
    <cfRule type="cellIs" dxfId="73" priority="29" stopIfTrue="1" operator="equal">
      <formula>"Balance"</formula>
    </cfRule>
    <cfRule type="cellIs" dxfId="72" priority="30" stopIfTrue="1" operator="equal">
      <formula>"Error"</formula>
    </cfRule>
  </conditionalFormatting>
  <conditionalFormatting sqref="Q2">
    <cfRule type="cellIs" dxfId="71" priority="27" stopIfTrue="1" operator="equal">
      <formula>"Balance"</formula>
    </cfRule>
    <cfRule type="cellIs" dxfId="70" priority="28" stopIfTrue="1" operator="equal">
      <formula>"Error"</formula>
    </cfRule>
  </conditionalFormatting>
  <conditionalFormatting sqref="P2">
    <cfRule type="cellIs" dxfId="69" priority="25" stopIfTrue="1" operator="equal">
      <formula>"Balance"</formula>
    </cfRule>
    <cfRule type="cellIs" dxfId="68" priority="26" stopIfTrue="1" operator="equal">
      <formula>"Error"</formula>
    </cfRule>
  </conditionalFormatting>
  <conditionalFormatting sqref="O2">
    <cfRule type="cellIs" dxfId="67" priority="23" stopIfTrue="1" operator="equal">
      <formula>"Balance"</formula>
    </cfRule>
    <cfRule type="cellIs" dxfId="66" priority="24" stopIfTrue="1" operator="equal">
      <formula>"Error"</formula>
    </cfRule>
  </conditionalFormatting>
  <conditionalFormatting sqref="U2:V2">
    <cfRule type="cellIs" dxfId="65" priority="21" stopIfTrue="1" operator="equal">
      <formula>"Balance"</formula>
    </cfRule>
    <cfRule type="cellIs" dxfId="64" priority="22" stopIfTrue="1" operator="equal">
      <formula>"Error"</formula>
    </cfRule>
  </conditionalFormatting>
  <conditionalFormatting sqref="Y2">
    <cfRule type="cellIs" dxfId="63" priority="19" stopIfTrue="1" operator="equal">
      <formula>"Balance"</formula>
    </cfRule>
    <cfRule type="cellIs" dxfId="62" priority="20" stopIfTrue="1" operator="equal">
      <formula>"Error"</formula>
    </cfRule>
  </conditionalFormatting>
  <conditionalFormatting sqref="W2">
    <cfRule type="cellIs" dxfId="61" priority="17" stopIfTrue="1" operator="equal">
      <formula>"Balance"</formula>
    </cfRule>
    <cfRule type="cellIs" dxfId="60" priority="18" stopIfTrue="1" operator="equal">
      <formula>"Error"</formula>
    </cfRule>
  </conditionalFormatting>
  <conditionalFormatting sqref="X2">
    <cfRule type="cellIs" dxfId="59" priority="13" stopIfTrue="1" operator="equal">
      <formula>"Balance"</formula>
    </cfRule>
    <cfRule type="cellIs" dxfId="58" priority="14" stopIfTrue="1" operator="equal">
      <formula>"Error"</formula>
    </cfRule>
  </conditionalFormatting>
  <conditionalFormatting sqref="AD2:AE2">
    <cfRule type="cellIs" dxfId="57" priority="11" stopIfTrue="1" operator="equal">
      <formula>"Balance"</formula>
    </cfRule>
    <cfRule type="cellIs" dxfId="56" priority="12" stopIfTrue="1" operator="equal">
      <formula>"Error"</formula>
    </cfRule>
  </conditionalFormatting>
  <conditionalFormatting sqref="Z2">
    <cfRule type="cellIs" dxfId="55" priority="9" stopIfTrue="1" operator="equal">
      <formula>"Balance"</formula>
    </cfRule>
    <cfRule type="cellIs" dxfId="54" priority="10" stopIfTrue="1" operator="equal">
      <formula>"Error"</formula>
    </cfRule>
  </conditionalFormatting>
  <conditionalFormatting sqref="AA2">
    <cfRule type="cellIs" dxfId="53" priority="7" stopIfTrue="1" operator="equal">
      <formula>"Balance"</formula>
    </cfRule>
    <cfRule type="cellIs" dxfId="52" priority="8" stopIfTrue="1" operator="equal">
      <formula>"Error"</formula>
    </cfRule>
  </conditionalFormatting>
  <conditionalFormatting sqref="AG2:AH2">
    <cfRule type="cellIs" dxfId="51" priority="5" stopIfTrue="1" operator="equal">
      <formula>"Balance"</formula>
    </cfRule>
    <cfRule type="cellIs" dxfId="50" priority="6" stopIfTrue="1" operator="equal">
      <formula>"Error"</formula>
    </cfRule>
  </conditionalFormatting>
  <conditionalFormatting sqref="AC2">
    <cfRule type="cellIs" dxfId="49" priority="3" stopIfTrue="1" operator="equal">
      <formula>"Balance"</formula>
    </cfRule>
    <cfRule type="cellIs" dxfId="48" priority="4" stopIfTrue="1" operator="equal">
      <formula>"Error"</formula>
    </cfRule>
  </conditionalFormatting>
  <conditionalFormatting sqref="AB2">
    <cfRule type="cellIs" dxfId="47" priority="1" stopIfTrue="1" operator="equal">
      <formula>"Balance"</formula>
    </cfRule>
    <cfRule type="cellIs" dxfId="46" priority="2" stopIfTrue="1" operator="equal">
      <formula>"Error"</formula>
    </cfRule>
  </conditionalFormatting>
  <pageMargins left="0.7" right="0.7" top="0.75" bottom="0.75" header="0.3" footer="0.3"/>
  <pageSetup paperSize="9" orientation="portrait" r:id="rId1"/>
  <customProperties>
    <customPr name="Qube.Worksheet.Visibility" r:id="rId2"/>
  </customProperties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4"/>
  </sheetPr>
  <dimension ref="A1:BL17"/>
  <sheetViews>
    <sheetView topLeftCell="B1" zoomScale="85" zoomScaleNormal="85" workbookViewId="0">
      <selection activeCell="AO61" sqref="AO61"/>
    </sheetView>
  </sheetViews>
  <sheetFormatPr defaultRowHeight="12.75" outlineLevelCol="1"/>
  <cols>
    <col min="1" max="1" width="0" style="122" hidden="1" customWidth="1"/>
    <col min="2" max="2" width="16.5703125" style="122" customWidth="1"/>
    <col min="3" max="4" width="0" style="122" hidden="1" customWidth="1" outlineLevel="1"/>
    <col min="5" max="5" width="9.140625" style="122" collapsed="1"/>
    <col min="6" max="7" width="0" style="122" hidden="1" customWidth="1" outlineLevel="1"/>
    <col min="8" max="8" width="9.140625" style="122" collapsed="1"/>
    <col min="9" max="10" width="0" style="122" hidden="1" customWidth="1" outlineLevel="1"/>
    <col min="11" max="11" width="9.140625" style="433" collapsed="1"/>
    <col min="12" max="13" width="0" style="122" hidden="1" customWidth="1" outlineLevel="1"/>
    <col min="14" max="14" width="9.140625" style="122" collapsed="1"/>
    <col min="15" max="16" width="0" style="122" hidden="1" customWidth="1" outlineLevel="1"/>
    <col min="17" max="17" width="9.140625" style="122" collapsed="1"/>
    <col min="18" max="19" width="0" style="122" hidden="1" customWidth="1" outlineLevel="1"/>
    <col min="20" max="20" width="9.140625" style="122" collapsed="1"/>
    <col min="21" max="22" width="9.140625" style="122" hidden="1" customWidth="1" outlineLevel="1"/>
    <col min="23" max="23" width="9.140625" style="122" collapsed="1"/>
    <col min="24" max="25" width="9.140625" style="122" hidden="1" customWidth="1" outlineLevel="1"/>
    <col min="26" max="26" width="9.140625" style="122" collapsed="1"/>
    <col min="27" max="28" width="9.140625" style="122" hidden="1" customWidth="1" outlineLevel="1"/>
    <col min="29" max="29" width="9.140625" style="435" collapsed="1"/>
    <col min="30" max="31" width="9.140625" style="122" hidden="1" customWidth="1" outlineLevel="1"/>
    <col min="32" max="32" width="9.140625" style="122" collapsed="1"/>
    <col min="33" max="34" width="0" style="122" hidden="1" customWidth="1" outlineLevel="1"/>
    <col min="35" max="35" width="9.140625" style="122" collapsed="1"/>
    <col min="36" max="37" width="0" style="122" hidden="1" customWidth="1" outlineLevel="1"/>
    <col min="38" max="38" width="9.140625" style="122" collapsed="1"/>
    <col min="39" max="40" width="0" style="122" hidden="1" customWidth="1" outlineLevel="1"/>
    <col min="41" max="41" width="9.140625" style="122" collapsed="1"/>
    <col min="42" max="43" width="0" style="122" hidden="1" customWidth="1" outlineLevel="1"/>
    <col min="44" max="44" width="9.140625" style="122" collapsed="1"/>
    <col min="45" max="46" width="0" style="122" hidden="1" customWidth="1" outlineLevel="1"/>
    <col min="47" max="47" width="9.140625" style="122" collapsed="1"/>
    <col min="48" max="49" width="0" style="122" hidden="1" customWidth="1" outlineLevel="1"/>
    <col min="50" max="50" width="9.140625" style="122" collapsed="1"/>
    <col min="51" max="52" width="0" style="122" hidden="1" customWidth="1" outlineLevel="1"/>
    <col min="53" max="53" width="9.140625" style="122" collapsed="1"/>
    <col min="54" max="55" width="0" style="122" hidden="1" customWidth="1" outlineLevel="1"/>
    <col min="56" max="56" width="9.140625" style="122" collapsed="1"/>
    <col min="57" max="58" width="0" style="122" hidden="1" customWidth="1" outlineLevel="1"/>
    <col min="59" max="59" width="9.140625" style="122" collapsed="1"/>
    <col min="60" max="61" width="0" style="122" hidden="1" customWidth="1" outlineLevel="1"/>
    <col min="62" max="62" width="9.140625" style="122" collapsed="1"/>
    <col min="63" max="16384" width="9.140625" style="122"/>
  </cols>
  <sheetData>
    <row r="1" spans="1:64" s="128" customFormat="1">
      <c r="A1" s="183"/>
      <c r="B1" s="183"/>
      <c r="C1" s="183"/>
      <c r="D1" s="183"/>
      <c r="E1" s="183"/>
      <c r="F1" s="183"/>
      <c r="G1" s="183"/>
      <c r="H1" s="183"/>
      <c r="I1" s="183"/>
      <c r="J1" s="183"/>
      <c r="K1" s="392"/>
      <c r="L1" s="183" t="s">
        <v>826</v>
      </c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39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183"/>
      <c r="AY1" s="183"/>
      <c r="AZ1" s="183"/>
      <c r="BA1" s="183"/>
      <c r="BB1" s="183"/>
      <c r="BC1" s="183"/>
      <c r="BD1" s="183"/>
      <c r="BE1" s="183"/>
      <c r="BF1" s="183"/>
      <c r="BG1" s="183"/>
      <c r="BH1" s="183"/>
      <c r="BI1" s="183"/>
      <c r="BJ1" s="183"/>
    </row>
    <row r="2" spans="1:64" s="128" customFormat="1" ht="51">
      <c r="A2" s="183"/>
      <c r="B2" s="183"/>
      <c r="C2" s="394"/>
      <c r="D2" s="394"/>
      <c r="E2" s="394" t="s">
        <v>256</v>
      </c>
      <c r="F2" s="394"/>
      <c r="G2" s="394"/>
      <c r="H2" s="394" t="s">
        <v>256</v>
      </c>
      <c r="I2" s="394" t="s">
        <v>280</v>
      </c>
      <c r="J2" s="394" t="s">
        <v>280</v>
      </c>
      <c r="K2" s="395" t="s">
        <v>256</v>
      </c>
      <c r="L2" s="394" t="s">
        <v>280</v>
      </c>
      <c r="M2" s="394" t="s">
        <v>280</v>
      </c>
      <c r="N2" s="394" t="s">
        <v>256</v>
      </c>
      <c r="O2" s="394" t="s">
        <v>280</v>
      </c>
      <c r="P2" s="394" t="s">
        <v>280</v>
      </c>
      <c r="Q2" s="394" t="s">
        <v>256</v>
      </c>
      <c r="R2" s="394" t="s">
        <v>280</v>
      </c>
      <c r="S2" s="396" t="s">
        <v>784</v>
      </c>
      <c r="T2" s="394"/>
      <c r="U2" s="394"/>
      <c r="V2" s="396" t="s">
        <v>785</v>
      </c>
      <c r="W2" s="394"/>
      <c r="X2" s="394"/>
      <c r="Y2" s="396" t="s">
        <v>785</v>
      </c>
      <c r="Z2" s="398"/>
      <c r="AA2" s="394"/>
      <c r="AB2" s="396" t="s">
        <v>785</v>
      </c>
      <c r="AC2" s="455"/>
      <c r="AD2" s="394"/>
      <c r="AE2" s="396" t="s">
        <v>785</v>
      </c>
      <c r="AF2" s="398"/>
      <c r="AG2" s="394"/>
      <c r="AH2" s="396" t="s">
        <v>785</v>
      </c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398"/>
      <c r="BB2" s="398"/>
      <c r="BC2" s="398"/>
      <c r="BD2" s="398"/>
      <c r="BE2" s="398"/>
      <c r="BF2" s="398"/>
      <c r="BG2" s="398"/>
      <c r="BH2" s="398"/>
      <c r="BI2" s="398"/>
      <c r="BJ2" s="398"/>
      <c r="BK2" s="636"/>
      <c r="BL2" s="390"/>
    </row>
    <row r="3" spans="1:64" s="128" customFormat="1">
      <c r="A3" s="183"/>
      <c r="B3" s="183"/>
      <c r="C3" s="399" t="s">
        <v>427</v>
      </c>
      <c r="D3" s="399" t="s">
        <v>428</v>
      </c>
      <c r="E3" s="399" t="str">
        <f>MODEL!E3</f>
        <v>FY17</v>
      </c>
      <c r="F3" s="399" t="str">
        <f>MODEL!F3</f>
        <v>1H18</v>
      </c>
      <c r="G3" s="399" t="str">
        <f>MODEL!G3</f>
        <v>2H18</v>
      </c>
      <c r="H3" s="399" t="str">
        <f>MODEL!H3</f>
        <v>FY18</v>
      </c>
      <c r="I3" s="399" t="str">
        <f>MODEL!I3</f>
        <v>1H19</v>
      </c>
      <c r="J3" s="399" t="str">
        <f>MODEL!J3</f>
        <v>2H19</v>
      </c>
      <c r="K3" s="399" t="str">
        <f>MODEL!K3</f>
        <v>FY19</v>
      </c>
      <c r="L3" s="399" t="str">
        <f>MODEL!L3</f>
        <v>1HFY</v>
      </c>
      <c r="M3" s="399" t="str">
        <f>MODEL!M3</f>
        <v>2HFY</v>
      </c>
      <c r="N3" s="399" t="str">
        <f>MODEL!N3</f>
        <v>FY20</v>
      </c>
      <c r="O3" s="399" t="str">
        <f>MODEL!O3</f>
        <v>1H21</v>
      </c>
      <c r="P3" s="399" t="str">
        <f>MODEL!P3</f>
        <v>2H21</v>
      </c>
      <c r="Q3" s="399" t="str">
        <f>MODEL!Q3</f>
        <v>FY21</v>
      </c>
      <c r="R3" s="399" t="str">
        <f>MODEL!R3</f>
        <v>1H22</v>
      </c>
      <c r="S3" s="399" t="str">
        <f>MODEL!S3</f>
        <v>2H22</v>
      </c>
      <c r="T3" s="399" t="str">
        <f>MODEL!T3</f>
        <v>FY22</v>
      </c>
      <c r="U3" s="399" t="str">
        <f>MODEL!U3</f>
        <v>1H23</v>
      </c>
      <c r="V3" s="399" t="str">
        <f>MODEL!V3</f>
        <v>2H23</v>
      </c>
      <c r="W3" s="399" t="str">
        <f>MODEL!W3</f>
        <v>FY23</v>
      </c>
      <c r="X3" s="399" t="str">
        <f>MODEL!X3</f>
        <v>1H24</v>
      </c>
      <c r="Y3" s="399" t="str">
        <f>MODEL!Y3</f>
        <v>2H24</v>
      </c>
      <c r="Z3" s="399" t="str">
        <f>MODEL!Z3</f>
        <v>FY24</v>
      </c>
      <c r="AA3" s="399" t="str">
        <f>MODEL!AA3</f>
        <v>1H25</v>
      </c>
      <c r="AB3" s="399" t="str">
        <f>MODEL!AB3</f>
        <v>2H25</v>
      </c>
      <c r="AC3" s="400" t="str">
        <f>MODEL!AC3</f>
        <v>FY25</v>
      </c>
      <c r="AD3" s="399" t="str">
        <f>MODEL!AD3</f>
        <v>1H26</v>
      </c>
      <c r="AE3" s="399" t="str">
        <f>MODEL!AE3</f>
        <v>2H26</v>
      </c>
      <c r="AF3" s="399" t="str">
        <f>MODEL!AF3</f>
        <v>FY26e</v>
      </c>
      <c r="AG3" s="399" t="str">
        <f>MODEL!AG3</f>
        <v>1H27</v>
      </c>
      <c r="AH3" s="399" t="str">
        <f>MODEL!AH3</f>
        <v>2H27</v>
      </c>
      <c r="AI3" s="399" t="str">
        <f>MODEL!AI3</f>
        <v>FY27e</v>
      </c>
      <c r="AJ3" s="399"/>
      <c r="AK3" s="399"/>
      <c r="AL3" s="399" t="str">
        <f>MODEL!AL3</f>
        <v>FY28e</v>
      </c>
      <c r="AM3" s="399"/>
      <c r="AN3" s="399"/>
      <c r="AO3" s="399" t="str">
        <f>MODEL!AO3</f>
        <v>FY29e</v>
      </c>
      <c r="AP3" s="399"/>
      <c r="AQ3" s="399"/>
      <c r="AR3" s="399" t="str">
        <f>MODEL!AR3</f>
        <v>FY30e</v>
      </c>
      <c r="AS3" s="399"/>
      <c r="AT3" s="399"/>
      <c r="AU3" s="399" t="str">
        <f>MODEL!AU3</f>
        <v>FY31e</v>
      </c>
      <c r="AV3" s="399"/>
      <c r="AW3" s="399"/>
      <c r="AX3" s="399" t="str">
        <f>MODEL!AX3</f>
        <v>FY32e</v>
      </c>
      <c r="AY3" s="399"/>
      <c r="AZ3" s="399"/>
      <c r="BA3" s="399" t="str">
        <f>MODEL!BA3</f>
        <v>FY33e</v>
      </c>
      <c r="BB3" s="399"/>
      <c r="BC3" s="399"/>
      <c r="BD3" s="399" t="str">
        <f>MODEL!BD3</f>
        <v>FY34e</v>
      </c>
      <c r="BE3" s="399"/>
      <c r="BF3" s="399"/>
      <c r="BG3" s="399" t="str">
        <f>MODEL!BG3</f>
        <v>FY35e</v>
      </c>
      <c r="BH3" s="399"/>
      <c r="BI3" s="399"/>
      <c r="BJ3" s="399" t="str">
        <f>MODEL!BJ3</f>
        <v>FY36e</v>
      </c>
      <c r="BK3" s="636"/>
      <c r="BL3" s="636"/>
    </row>
    <row r="4" spans="1:64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634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635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217"/>
      <c r="AP4" s="217"/>
      <c r="AQ4" s="217"/>
      <c r="AR4" s="217"/>
      <c r="AS4" s="217"/>
      <c r="AT4" s="217"/>
      <c r="AU4" s="217"/>
      <c r="AV4" s="217"/>
      <c r="AW4" s="217"/>
      <c r="AX4" s="217"/>
      <c r="AY4" s="217"/>
      <c r="AZ4" s="217"/>
      <c r="BA4" s="217"/>
      <c r="BB4" s="217"/>
      <c r="BC4" s="217"/>
      <c r="BD4" s="217"/>
      <c r="BE4" s="217"/>
      <c r="BF4" s="217"/>
      <c r="BG4" s="217"/>
      <c r="BH4" s="217"/>
      <c r="BI4" s="217"/>
      <c r="BJ4" s="217"/>
    </row>
    <row r="5" spans="1:64">
      <c r="B5" s="122" t="s">
        <v>835</v>
      </c>
      <c r="H5" s="122">
        <f>E8</f>
        <v>400.6</v>
      </c>
      <c r="K5" s="433">
        <f>H8</f>
        <v>438.1</v>
      </c>
      <c r="N5" s="122">
        <f>K8</f>
        <v>394.2</v>
      </c>
      <c r="Q5" s="122">
        <f>N8</f>
        <v>247.8</v>
      </c>
      <c r="R5" s="122">
        <f>O8</f>
        <v>0</v>
      </c>
      <c r="S5" s="122">
        <f>P8</f>
        <v>0</v>
      </c>
      <c r="T5" s="122">
        <f>Q8</f>
        <v>0</v>
      </c>
      <c r="W5" s="122">
        <f>T8</f>
        <v>0</v>
      </c>
      <c r="Z5" s="122">
        <f>W8</f>
        <v>0</v>
      </c>
      <c r="AC5" s="435">
        <f>Z8</f>
        <v>0</v>
      </c>
      <c r="AF5" s="122">
        <f>AC8</f>
        <v>0</v>
      </c>
      <c r="AI5" s="122">
        <f>AF8</f>
        <v>0</v>
      </c>
      <c r="AL5" s="122">
        <f>AI8</f>
        <v>0</v>
      </c>
      <c r="AO5" s="122">
        <f>AL8</f>
        <v>0</v>
      </c>
      <c r="AR5" s="122">
        <f t="shared" ref="AR5" si="0">AO8</f>
        <v>0</v>
      </c>
      <c r="AU5" s="122">
        <f>AR8</f>
        <v>0</v>
      </c>
      <c r="AX5" s="122">
        <f>AU8</f>
        <v>0</v>
      </c>
      <c r="BA5" s="122">
        <f>AX8</f>
        <v>0</v>
      </c>
      <c r="BD5" s="122">
        <f>BA8</f>
        <v>0</v>
      </c>
      <c r="BG5" s="122">
        <f>BD8</f>
        <v>0</v>
      </c>
      <c r="BJ5" s="122">
        <f t="shared" ref="BJ5" si="1">BG8</f>
        <v>0</v>
      </c>
    </row>
    <row r="6" spans="1:64">
      <c r="B6" s="122" t="s">
        <v>857</v>
      </c>
      <c r="H6" s="122">
        <f>MODEL!H122</f>
        <v>36.299999999999997</v>
      </c>
      <c r="K6" s="433">
        <f>MODEL!K122</f>
        <v>-42.4</v>
      </c>
      <c r="N6" s="122">
        <f>MODEL!N122</f>
        <v>-140</v>
      </c>
      <c r="Q6" s="122">
        <f>MODEL!Q122</f>
        <v>-250</v>
      </c>
      <c r="R6" s="122">
        <f>MODEL!R122</f>
        <v>0</v>
      </c>
      <c r="S6" s="122">
        <f>MODEL!S122</f>
        <v>0</v>
      </c>
      <c r="T6" s="122">
        <f>MODEL!T122</f>
        <v>0</v>
      </c>
      <c r="U6" s="279"/>
      <c r="V6" s="279"/>
      <c r="W6" s="122">
        <v>0</v>
      </c>
      <c r="X6" s="279"/>
      <c r="Y6" s="279"/>
      <c r="Z6" s="122">
        <v>0</v>
      </c>
      <c r="AB6" s="279"/>
      <c r="AC6" s="435">
        <v>0</v>
      </c>
      <c r="AD6" s="279"/>
      <c r="AE6" s="279"/>
      <c r="AF6" s="279">
        <v>0</v>
      </c>
      <c r="AG6" s="279"/>
      <c r="AH6" s="279"/>
      <c r="AI6" s="279">
        <v>0</v>
      </c>
      <c r="AJ6" s="279"/>
      <c r="AK6" s="279"/>
      <c r="AL6" s="279">
        <v>0</v>
      </c>
      <c r="AM6" s="279"/>
      <c r="AN6" s="279"/>
      <c r="AO6" s="279">
        <v>0</v>
      </c>
      <c r="AP6" s="279"/>
      <c r="AQ6" s="279"/>
      <c r="AR6" s="279">
        <v>0</v>
      </c>
      <c r="AS6" s="279"/>
      <c r="AT6" s="279"/>
      <c r="AU6" s="279">
        <v>0</v>
      </c>
      <c r="AV6" s="279"/>
      <c r="AW6" s="279"/>
      <c r="AX6" s="279">
        <v>0</v>
      </c>
      <c r="AY6" s="279"/>
      <c r="AZ6" s="279"/>
      <c r="BA6" s="279">
        <v>0</v>
      </c>
      <c r="BB6" s="279"/>
      <c r="BC6" s="279"/>
      <c r="BD6" s="279">
        <v>0</v>
      </c>
      <c r="BE6" s="279"/>
      <c r="BF6" s="279"/>
      <c r="BG6" s="279">
        <v>0</v>
      </c>
      <c r="BH6" s="279"/>
      <c r="BI6" s="279"/>
      <c r="BJ6" s="279">
        <v>0</v>
      </c>
    </row>
    <row r="7" spans="1:64">
      <c r="B7" s="122" t="s">
        <v>72</v>
      </c>
      <c r="H7" s="122">
        <f>H8-SUM(H5:H6)</f>
        <v>1.1999999999999886</v>
      </c>
      <c r="K7" s="433">
        <f>K8-SUM(K5:K6)</f>
        <v>-1.5000000000000568</v>
      </c>
      <c r="N7" s="122">
        <f>N8-SUM(N5:N6)</f>
        <v>-6.3999999999999773</v>
      </c>
      <c r="Q7" s="122">
        <f>Q8-SUM(Q5:Q6)</f>
        <v>2.1999999999999886</v>
      </c>
      <c r="R7" s="122">
        <f>R8-SUM(R5:R6)</f>
        <v>0</v>
      </c>
      <c r="S7" s="122">
        <f>S8-SUM(S5:S6)</f>
        <v>0</v>
      </c>
      <c r="T7" s="122">
        <f>T8-SUM(T5:T6)</f>
        <v>0</v>
      </c>
      <c r="U7" s="279"/>
      <c r="V7" s="279"/>
      <c r="W7" s="122">
        <v>0</v>
      </c>
      <c r="X7" s="279"/>
      <c r="Y7" s="279"/>
      <c r="Z7" s="122">
        <v>0</v>
      </c>
      <c r="AB7" s="279"/>
      <c r="AC7" s="435">
        <v>0</v>
      </c>
      <c r="AD7" s="279"/>
      <c r="AE7" s="279"/>
      <c r="AF7" s="279">
        <v>0</v>
      </c>
      <c r="AG7" s="279"/>
      <c r="AH7" s="279"/>
      <c r="AI7" s="279">
        <v>0</v>
      </c>
      <c r="AJ7" s="279"/>
      <c r="AK7" s="279"/>
      <c r="AL7" s="279">
        <v>0</v>
      </c>
      <c r="AM7" s="279"/>
      <c r="AN7" s="279"/>
      <c r="AO7" s="279">
        <v>0</v>
      </c>
      <c r="AP7" s="279"/>
      <c r="AQ7" s="279"/>
      <c r="AR7" s="279">
        <v>0</v>
      </c>
      <c r="AS7" s="279"/>
      <c r="AT7" s="279"/>
      <c r="AU7" s="279">
        <v>0</v>
      </c>
      <c r="AV7" s="279"/>
      <c r="AW7" s="279"/>
      <c r="AX7" s="279">
        <v>0</v>
      </c>
      <c r="AY7" s="279"/>
      <c r="AZ7" s="279"/>
      <c r="BA7" s="279">
        <v>0</v>
      </c>
      <c r="BB7" s="279"/>
      <c r="BC7" s="279"/>
      <c r="BD7" s="279">
        <v>0</v>
      </c>
      <c r="BE7" s="279"/>
      <c r="BF7" s="279"/>
      <c r="BG7" s="279">
        <v>0</v>
      </c>
      <c r="BH7" s="279"/>
      <c r="BI7" s="279"/>
      <c r="BJ7" s="279">
        <v>0</v>
      </c>
    </row>
    <row r="8" spans="1:64" s="125" customFormat="1">
      <c r="B8" s="456" t="s">
        <v>833</v>
      </c>
      <c r="C8" s="456">
        <f t="shared" ref="C8:P8" si="2">SUM(C10:C11)</f>
        <v>271.79999999999995</v>
      </c>
      <c r="D8" s="456">
        <f t="shared" si="2"/>
        <v>400.6</v>
      </c>
      <c r="E8" s="456">
        <f t="shared" si="2"/>
        <v>400.6</v>
      </c>
      <c r="F8" s="456">
        <f t="shared" si="2"/>
        <v>229.5</v>
      </c>
      <c r="G8" s="456">
        <f t="shared" si="2"/>
        <v>438.1</v>
      </c>
      <c r="H8" s="456">
        <f t="shared" si="2"/>
        <v>438.1</v>
      </c>
      <c r="I8" s="456">
        <f t="shared" si="2"/>
        <v>357.40000000000003</v>
      </c>
      <c r="J8" s="456">
        <f t="shared" si="2"/>
        <v>394.2</v>
      </c>
      <c r="K8" s="457">
        <f t="shared" si="2"/>
        <v>394.2</v>
      </c>
      <c r="L8" s="456">
        <f t="shared" si="2"/>
        <v>303.39999999999998</v>
      </c>
      <c r="M8" s="456">
        <f t="shared" si="2"/>
        <v>247.8</v>
      </c>
      <c r="N8" s="456">
        <f>SUM(N10:N11)</f>
        <v>247.8</v>
      </c>
      <c r="O8" s="456">
        <f t="shared" si="2"/>
        <v>0</v>
      </c>
      <c r="P8" s="456">
        <f t="shared" si="2"/>
        <v>0</v>
      </c>
      <c r="Q8" s="456">
        <f>SUM(Q10:Q11)</f>
        <v>0</v>
      </c>
      <c r="R8" s="456">
        <f>SUM(R10:R11)</f>
        <v>0</v>
      </c>
      <c r="S8" s="456">
        <f>SUM(S10:S11)</f>
        <v>0</v>
      </c>
      <c r="T8" s="456">
        <f>SUM(T10:T11)</f>
        <v>0</v>
      </c>
      <c r="U8" s="456"/>
      <c r="V8" s="456"/>
      <c r="W8" s="1308">
        <f>SUM(W5:W7)</f>
        <v>0</v>
      </c>
      <c r="X8" s="1308"/>
      <c r="Y8" s="1308"/>
      <c r="Z8" s="1308">
        <f>SUM(Z5:Z7)</f>
        <v>0</v>
      </c>
      <c r="AA8" s="1308"/>
      <c r="AB8" s="1308"/>
      <c r="AC8" s="1381">
        <f t="shared" ref="AC8:AU8" si="3">SUM(AC5:AC7)</f>
        <v>0</v>
      </c>
      <c r="AD8" s="1308"/>
      <c r="AE8" s="1308"/>
      <c r="AF8" s="1308">
        <f t="shared" si="3"/>
        <v>0</v>
      </c>
      <c r="AG8" s="456"/>
      <c r="AH8" s="456"/>
      <c r="AI8" s="456">
        <f t="shared" si="3"/>
        <v>0</v>
      </c>
      <c r="AJ8" s="1308"/>
      <c r="AK8" s="1308"/>
      <c r="AL8" s="456">
        <f t="shared" si="3"/>
        <v>0</v>
      </c>
      <c r="AM8" s="1308"/>
      <c r="AN8" s="1308"/>
      <c r="AO8" s="456">
        <f t="shared" si="3"/>
        <v>0</v>
      </c>
      <c r="AP8" s="1308"/>
      <c r="AQ8" s="1308"/>
      <c r="AR8" s="456">
        <f t="shared" si="3"/>
        <v>0</v>
      </c>
      <c r="AS8" s="1308"/>
      <c r="AT8" s="1308"/>
      <c r="AU8" s="456">
        <f t="shared" si="3"/>
        <v>0</v>
      </c>
      <c r="AV8" s="1308"/>
      <c r="AW8" s="1308"/>
      <c r="AX8" s="456">
        <f t="shared" ref="AX8:BA8" si="4">SUM(AX5:AX7)</f>
        <v>0</v>
      </c>
      <c r="AY8" s="1308"/>
      <c r="AZ8" s="1308"/>
      <c r="BA8" s="456">
        <f t="shared" si="4"/>
        <v>0</v>
      </c>
      <c r="BB8" s="1308"/>
      <c r="BC8" s="1308"/>
      <c r="BD8" s="456">
        <f t="shared" ref="BD8:BG8" si="5">SUM(BD5:BD7)</f>
        <v>0</v>
      </c>
      <c r="BE8" s="1308"/>
      <c r="BF8" s="1308"/>
      <c r="BG8" s="456">
        <f t="shared" si="5"/>
        <v>0</v>
      </c>
      <c r="BH8" s="1308"/>
      <c r="BI8" s="1308"/>
      <c r="BJ8" s="456">
        <f t="shared" ref="BJ8" si="6">SUM(BJ5:BJ7)</f>
        <v>0</v>
      </c>
    </row>
    <row r="10" spans="1:64">
      <c r="B10" s="122" t="s">
        <v>853</v>
      </c>
      <c r="C10" s="122">
        <f>MODEL!C168</f>
        <v>0.4</v>
      </c>
      <c r="D10" s="122">
        <f>E10</f>
        <v>2.6</v>
      </c>
      <c r="E10" s="122">
        <f>MODEL!E168</f>
        <v>2.6</v>
      </c>
      <c r="F10" s="122">
        <f>MODEL!F168</f>
        <v>2.6</v>
      </c>
      <c r="G10" s="122">
        <f>H10</f>
        <v>3</v>
      </c>
      <c r="H10" s="122">
        <f>MODEL!H168</f>
        <v>3</v>
      </c>
      <c r="I10" s="122">
        <f>MODEL!I168</f>
        <v>3.3</v>
      </c>
      <c r="J10" s="122">
        <f>K10</f>
        <v>3.4</v>
      </c>
      <c r="K10" s="433">
        <f>MODEL!K168</f>
        <v>3.4</v>
      </c>
      <c r="L10" s="122">
        <f>MODEL!L168</f>
        <v>0</v>
      </c>
      <c r="M10" s="122">
        <f>N10</f>
        <v>0</v>
      </c>
      <c r="N10" s="122">
        <f>MODEL!N168</f>
        <v>0</v>
      </c>
      <c r="O10" s="122">
        <f>MODEL!O168</f>
        <v>0</v>
      </c>
      <c r="P10" s="122">
        <f>MODEL!P168</f>
        <v>0</v>
      </c>
      <c r="Q10" s="122">
        <f>MODEL!Q168</f>
        <v>0</v>
      </c>
      <c r="R10" s="122">
        <f>MODEL!R168</f>
        <v>0</v>
      </c>
      <c r="S10" s="122">
        <f>MODEL!S168</f>
        <v>0</v>
      </c>
      <c r="T10" s="122">
        <f>MODEL!T168</f>
        <v>0</v>
      </c>
      <c r="U10" s="279"/>
      <c r="V10" s="279"/>
      <c r="W10" s="122">
        <v>0</v>
      </c>
      <c r="X10" s="279"/>
      <c r="Y10" s="279"/>
      <c r="Z10" s="122">
        <v>0</v>
      </c>
      <c r="AB10" s="279"/>
      <c r="AC10" s="435">
        <v>0</v>
      </c>
      <c r="AD10" s="279"/>
      <c r="AE10" s="279"/>
      <c r="AF10" s="279">
        <v>0</v>
      </c>
      <c r="AG10" s="279"/>
      <c r="AH10" s="279"/>
      <c r="AI10" s="279">
        <v>0</v>
      </c>
      <c r="AJ10" s="279"/>
      <c r="AK10" s="279"/>
      <c r="AL10" s="279">
        <v>0</v>
      </c>
      <c r="AM10" s="279"/>
      <c r="AN10" s="279"/>
      <c r="AO10" s="279">
        <v>0</v>
      </c>
      <c r="AP10" s="279"/>
      <c r="AQ10" s="279"/>
      <c r="AR10" s="279">
        <v>0</v>
      </c>
      <c r="AS10" s="279"/>
      <c r="AT10" s="279"/>
      <c r="AU10" s="279">
        <v>0</v>
      </c>
      <c r="AV10" s="279"/>
      <c r="AW10" s="279"/>
      <c r="AX10" s="279">
        <v>0</v>
      </c>
      <c r="AY10" s="279"/>
      <c r="AZ10" s="279"/>
      <c r="BA10" s="279">
        <v>0</v>
      </c>
      <c r="BB10" s="279"/>
      <c r="BC10" s="279"/>
      <c r="BD10" s="279">
        <v>0</v>
      </c>
      <c r="BE10" s="279"/>
      <c r="BF10" s="279"/>
      <c r="BG10" s="279">
        <v>0</v>
      </c>
      <c r="BH10" s="279"/>
      <c r="BI10" s="279"/>
      <c r="BJ10" s="279">
        <v>0</v>
      </c>
    </row>
    <row r="11" spans="1:64">
      <c r="B11" s="122" t="s">
        <v>854</v>
      </c>
      <c r="C11" s="122">
        <f>MODEL!C176</f>
        <v>271.39999999999998</v>
      </c>
      <c r="D11" s="122">
        <f>E11</f>
        <v>398</v>
      </c>
      <c r="E11" s="122">
        <f>MODEL!E176</f>
        <v>398</v>
      </c>
      <c r="F11" s="122">
        <f>MODEL!F176</f>
        <v>226.9</v>
      </c>
      <c r="G11" s="122">
        <f>H11</f>
        <v>435.1</v>
      </c>
      <c r="H11" s="122">
        <f>MODEL!H176</f>
        <v>435.1</v>
      </c>
      <c r="I11" s="122">
        <f>MODEL!I176</f>
        <v>354.1</v>
      </c>
      <c r="J11" s="122">
        <f>K11</f>
        <v>390.8</v>
      </c>
      <c r="K11" s="433">
        <f>MODEL!K176</f>
        <v>390.8</v>
      </c>
      <c r="L11" s="122">
        <f>MODEL!L176</f>
        <v>303.39999999999998</v>
      </c>
      <c r="M11" s="122">
        <f>N11</f>
        <v>247.8</v>
      </c>
      <c r="N11" s="122">
        <f>MODEL!N176</f>
        <v>247.8</v>
      </c>
      <c r="O11" s="122">
        <f>MODEL!O176</f>
        <v>0</v>
      </c>
      <c r="P11" s="122">
        <f>MODEL!P176</f>
        <v>0</v>
      </c>
      <c r="Q11" s="122">
        <f>MODEL!Q176</f>
        <v>0</v>
      </c>
      <c r="R11" s="122">
        <f>MODEL!R176</f>
        <v>0</v>
      </c>
      <c r="S11" s="122">
        <f>MODEL!S176</f>
        <v>0</v>
      </c>
      <c r="T11" s="122">
        <f>MODEL!T176</f>
        <v>0</v>
      </c>
      <c r="W11" s="122">
        <f>W8-W10</f>
        <v>0</v>
      </c>
      <c r="Z11" s="122">
        <f t="shared" ref="Z11:AU11" si="7">Z8-Z10</f>
        <v>0</v>
      </c>
      <c r="AC11" s="435">
        <f t="shared" si="7"/>
        <v>0</v>
      </c>
      <c r="AF11" s="122">
        <f t="shared" si="7"/>
        <v>0</v>
      </c>
      <c r="AI11" s="122">
        <f t="shared" si="7"/>
        <v>0</v>
      </c>
      <c r="AL11" s="122">
        <f t="shared" si="7"/>
        <v>0</v>
      </c>
      <c r="AO11" s="122">
        <f t="shared" si="7"/>
        <v>0</v>
      </c>
      <c r="AR11" s="122">
        <f t="shared" si="7"/>
        <v>0</v>
      </c>
      <c r="AU11" s="122">
        <f t="shared" si="7"/>
        <v>0</v>
      </c>
      <c r="AX11" s="122">
        <f t="shared" ref="AX11:BA11" si="8">AX8-AX10</f>
        <v>0</v>
      </c>
      <c r="BA11" s="122">
        <f t="shared" si="8"/>
        <v>0</v>
      </c>
      <c r="BD11" s="122">
        <f t="shared" ref="BD11:BG11" si="9">BD8-BD10</f>
        <v>0</v>
      </c>
      <c r="BG11" s="122">
        <f t="shared" si="9"/>
        <v>0</v>
      </c>
      <c r="BJ11" s="122">
        <f t="shared" ref="BJ11" si="10">BJ8-BJ10</f>
        <v>0</v>
      </c>
    </row>
    <row r="13" spans="1:64">
      <c r="B13" s="125" t="s">
        <v>855</v>
      </c>
      <c r="C13" s="125"/>
      <c r="D13" s="125"/>
      <c r="E13" s="125"/>
      <c r="F13" s="125"/>
      <c r="G13" s="125"/>
      <c r="H13" s="125"/>
      <c r="I13" s="125"/>
      <c r="J13" s="125"/>
      <c r="K13" s="451"/>
      <c r="L13" s="125"/>
      <c r="M13" s="125"/>
      <c r="N13" s="125">
        <f>'PPE &amp; Leases'!N79</f>
        <v>-17.8</v>
      </c>
      <c r="O13" s="125"/>
      <c r="P13" s="125"/>
      <c r="Q13" s="125">
        <f>'PPE &amp; Leases'!Q79</f>
        <v>-5.8</v>
      </c>
      <c r="R13" s="125"/>
      <c r="S13" s="125"/>
      <c r="T13" s="125">
        <f>'PPE &amp; Leases'!T79</f>
        <v>-6.9</v>
      </c>
      <c r="U13" s="125">
        <f>W13/2</f>
        <v>-2.1</v>
      </c>
      <c r="V13" s="125"/>
      <c r="W13" s="125">
        <f>'PPE &amp; Leases'!W79</f>
        <v>-4.2</v>
      </c>
      <c r="X13" s="125">
        <f>Z13/2</f>
        <v>-1.95</v>
      </c>
      <c r="Y13" s="125"/>
      <c r="Z13" s="125">
        <f>'PPE &amp; Leases'!Z79</f>
        <v>-3.9</v>
      </c>
      <c r="AA13" s="641">
        <v>-3</v>
      </c>
      <c r="AB13" s="125"/>
      <c r="AC13" s="1382">
        <f>'PPE &amp; Leases'!AC79</f>
        <v>-5.5</v>
      </c>
      <c r="AD13" s="460">
        <f t="shared" ref="AD13:AE13" si="11">AA13</f>
        <v>-3</v>
      </c>
      <c r="AE13" s="460">
        <f t="shared" si="11"/>
        <v>0</v>
      </c>
      <c r="AF13" s="460">
        <f>AC13</f>
        <v>-5.5</v>
      </c>
      <c r="AG13" s="460">
        <f t="shared" ref="AG13" si="12">AD13</f>
        <v>-3</v>
      </c>
      <c r="AH13" s="460">
        <f t="shared" ref="AH13" si="13">AE13</f>
        <v>0</v>
      </c>
      <c r="AI13" s="460">
        <f>AF13</f>
        <v>-5.5</v>
      </c>
      <c r="AJ13" s="460"/>
      <c r="AK13" s="460"/>
      <c r="AL13" s="460">
        <f>AI13</f>
        <v>-5.5</v>
      </c>
      <c r="AM13" s="460"/>
      <c r="AN13" s="460"/>
      <c r="AO13" s="460">
        <f>AL13</f>
        <v>-5.5</v>
      </c>
      <c r="AP13" s="460"/>
      <c r="AQ13" s="460"/>
      <c r="AR13" s="460">
        <f>AO13</f>
        <v>-5.5</v>
      </c>
      <c r="AS13" s="460"/>
      <c r="AT13" s="460"/>
      <c r="AU13" s="460">
        <f>AR13</f>
        <v>-5.5</v>
      </c>
      <c r="AV13" s="460"/>
      <c r="AW13" s="460"/>
      <c r="AX13" s="460">
        <f>AU13</f>
        <v>-5.5</v>
      </c>
      <c r="AY13" s="460"/>
      <c r="AZ13" s="460"/>
      <c r="BA13" s="460">
        <f>AX13</f>
        <v>-5.5</v>
      </c>
      <c r="BB13" s="460"/>
      <c r="BC13" s="460"/>
      <c r="BD13" s="460">
        <f>BA13</f>
        <v>-5.5</v>
      </c>
      <c r="BE13" s="460"/>
      <c r="BF13" s="460"/>
      <c r="BG13" s="460">
        <f>BD13</f>
        <v>-5.5</v>
      </c>
      <c r="BH13" s="460"/>
      <c r="BI13" s="460"/>
      <c r="BJ13" s="460">
        <f t="shared" ref="BJ13" si="14">BG13</f>
        <v>-5.5</v>
      </c>
    </row>
    <row r="14" spans="1:64">
      <c r="B14" s="122" t="s">
        <v>856</v>
      </c>
      <c r="N14" s="452">
        <f>N13/AVERAGE(K11,N11)</f>
        <v>-5.5746946445349201E-2</v>
      </c>
      <c r="Q14" s="452">
        <f>Q13/AVERAGE(N11,Q11)</f>
        <v>-4.6811945117029859E-2</v>
      </c>
      <c r="T14" s="157">
        <v>-0.05</v>
      </c>
      <c r="W14" s="157">
        <v>0.05</v>
      </c>
      <c r="Z14" s="157">
        <v>-0.05</v>
      </c>
      <c r="AC14" s="453"/>
      <c r="AF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</row>
    <row r="16" spans="1:64">
      <c r="B16" s="125" t="s">
        <v>993</v>
      </c>
      <c r="W16" s="477">
        <v>4.2</v>
      </c>
      <c r="Z16" s="1380">
        <v>8.1999999999999993</v>
      </c>
      <c r="AA16" s="642">
        <v>2</v>
      </c>
      <c r="AC16" s="458">
        <v>3.3</v>
      </c>
      <c r="AD16" s="459">
        <f>AVERAGE(MODEL!AA150)*AD17</f>
        <v>5.0309999999999997</v>
      </c>
      <c r="AE16" s="459">
        <f>AVERAGE(MODEL!AB150)*AE17</f>
        <v>0</v>
      </c>
      <c r="AF16" s="1379">
        <f>AVERAGE(MODEL!AC150)*AF17</f>
        <v>1.8989999999999998</v>
      </c>
      <c r="AG16" s="459">
        <f>AVERAGE(MODEL!AD150)*AG17</f>
        <v>4.0127732326930214</v>
      </c>
      <c r="AH16" s="459">
        <f>AVERAGE(MODEL!AE150)*AH17</f>
        <v>2.8344221532841298</v>
      </c>
      <c r="AI16" s="459">
        <f>AVERAGE(MODEL!AF150)*AI17</f>
        <v>2.8344221532841298</v>
      </c>
      <c r="AJ16" s="459"/>
      <c r="AK16" s="459"/>
      <c r="AL16" s="459">
        <f>AVERAGE(MODEL!AI150)*AL17</f>
        <v>4.8377539001033325</v>
      </c>
      <c r="AM16" s="459"/>
      <c r="AN16" s="459"/>
      <c r="AO16" s="459">
        <f>AVERAGE(MODEL!AL150)*AO17</f>
        <v>6.8937611394322937</v>
      </c>
      <c r="AP16" s="459"/>
      <c r="AQ16" s="459"/>
      <c r="AR16" s="459">
        <f>AVERAGE(MODEL!AO150)*AR17</f>
        <v>9.1123746449148424</v>
      </c>
      <c r="AS16" s="459"/>
      <c r="AT16" s="459"/>
      <c r="AU16" s="459">
        <f>AVERAGE(MODEL!AR150)*AU17</f>
        <v>11.504595446653308</v>
      </c>
      <c r="AV16" s="459"/>
      <c r="AW16" s="459"/>
      <c r="AX16" s="459">
        <f>AVERAGE(MODEL!AU150)*AX17</f>
        <v>14.146766377884598</v>
      </c>
      <c r="AY16" s="459"/>
      <c r="AZ16" s="459"/>
      <c r="BA16" s="459">
        <f>AVERAGE(MODEL!AX150)*BA17</f>
        <v>16.920998886398284</v>
      </c>
      <c r="BB16" s="459"/>
      <c r="BC16" s="459"/>
      <c r="BD16" s="459">
        <f>AVERAGE(MODEL!BA150)*BD17</f>
        <v>19.843629676208931</v>
      </c>
      <c r="BE16" s="459"/>
      <c r="BF16" s="459"/>
      <c r="BG16" s="459">
        <f>AVERAGE(MODEL!BD150)*BG17</f>
        <v>22.919441244181705</v>
      </c>
      <c r="BH16" s="459"/>
      <c r="BI16" s="459"/>
      <c r="BJ16" s="459">
        <f>AVERAGE(MODEL!BG150)*BJ17</f>
        <v>26.152988394846798</v>
      </c>
    </row>
    <row r="17" spans="23:62">
      <c r="W17" s="133">
        <f>W16/AVERAGE(MODEL!T150,MODEL!U150,MODEL!W150)</f>
        <v>3.0165190327986636E-2</v>
      </c>
      <c r="Z17" s="133">
        <f>Z16/AVERAGE(MODEL!W150,MODEL!X150,MODEL!Z150)</f>
        <v>3.3638725557226884E-2</v>
      </c>
      <c r="AA17" s="454">
        <v>0.03</v>
      </c>
      <c r="AC17" s="1339">
        <f>AC16/AVERAGE(MODEL!Z150,MODEL!AA150,MODEL!AC150)</f>
        <v>2.2058823529411773E-2</v>
      </c>
      <c r="AD17" s="454">
        <f t="shared" ref="AD17:AE17" si="15">AA17</f>
        <v>0.03</v>
      </c>
      <c r="AE17" s="454">
        <f t="shared" si="15"/>
        <v>0</v>
      </c>
      <c r="AF17" s="454">
        <v>0.03</v>
      </c>
      <c r="AG17" s="454">
        <v>0.03</v>
      </c>
      <c r="AH17" s="454">
        <v>0.03</v>
      </c>
      <c r="AI17" s="454">
        <v>0.03</v>
      </c>
      <c r="AJ17" s="454">
        <v>0.03</v>
      </c>
      <c r="AK17" s="454">
        <v>0.03</v>
      </c>
      <c r="AL17" s="454">
        <v>0.03</v>
      </c>
      <c r="AM17" s="454">
        <v>0.03</v>
      </c>
      <c r="AN17" s="454">
        <v>0.03</v>
      </c>
      <c r="AO17" s="454">
        <v>0.03</v>
      </c>
      <c r="AP17" s="454">
        <v>0.03</v>
      </c>
      <c r="AQ17" s="454">
        <v>0.03</v>
      </c>
      <c r="AR17" s="454">
        <v>0.03</v>
      </c>
      <c r="AS17" s="454">
        <v>0.03</v>
      </c>
      <c r="AT17" s="454">
        <v>0.03</v>
      </c>
      <c r="AU17" s="454">
        <v>0.03</v>
      </c>
      <c r="AV17" s="454">
        <v>0.03</v>
      </c>
      <c r="AW17" s="454">
        <v>0.03</v>
      </c>
      <c r="AX17" s="454">
        <v>0.03</v>
      </c>
      <c r="AY17" s="454">
        <v>0.03</v>
      </c>
      <c r="AZ17" s="454">
        <v>0.03</v>
      </c>
      <c r="BA17" s="454">
        <v>0.03</v>
      </c>
      <c r="BB17" s="454">
        <v>0.03</v>
      </c>
      <c r="BC17" s="454">
        <v>0.03</v>
      </c>
      <c r="BD17" s="454">
        <v>0.03</v>
      </c>
      <c r="BE17" s="454">
        <v>0.03</v>
      </c>
      <c r="BF17" s="454">
        <v>0.03</v>
      </c>
      <c r="BG17" s="454">
        <v>0.03</v>
      </c>
      <c r="BH17" s="454">
        <v>0.03</v>
      </c>
      <c r="BI17" s="454">
        <v>0.03</v>
      </c>
      <c r="BJ17" s="454">
        <v>0.03</v>
      </c>
    </row>
  </sheetData>
  <conditionalFormatting sqref="E2 H2 K2 R2:T2">
    <cfRule type="cellIs" dxfId="45" priority="37" stopIfTrue="1" operator="equal">
      <formula>"Balance"</formula>
    </cfRule>
    <cfRule type="cellIs" dxfId="44" priority="38" stopIfTrue="1" operator="equal">
      <formula>"Error"</formula>
    </cfRule>
  </conditionalFormatting>
  <conditionalFormatting sqref="D2">
    <cfRule type="cellIs" dxfId="43" priority="35" stopIfTrue="1" operator="equal">
      <formula>"Balance"</formula>
    </cfRule>
    <cfRule type="cellIs" dxfId="42" priority="36" stopIfTrue="1" operator="equal">
      <formula>"Error"</formula>
    </cfRule>
  </conditionalFormatting>
  <conditionalFormatting sqref="C2">
    <cfRule type="cellIs" dxfId="41" priority="33" stopIfTrue="1" operator="equal">
      <formula>"Balance"</formula>
    </cfRule>
    <cfRule type="cellIs" dxfId="40" priority="34" stopIfTrue="1" operator="equal">
      <formula>"Error"</formula>
    </cfRule>
  </conditionalFormatting>
  <conditionalFormatting sqref="F2:G2">
    <cfRule type="cellIs" dxfId="39" priority="31" stopIfTrue="1" operator="equal">
      <formula>"Balance"</formula>
    </cfRule>
    <cfRule type="cellIs" dxfId="38" priority="32" stopIfTrue="1" operator="equal">
      <formula>"Error"</formula>
    </cfRule>
  </conditionalFormatting>
  <conditionalFormatting sqref="J2">
    <cfRule type="cellIs" dxfId="37" priority="29" stopIfTrue="1" operator="equal">
      <formula>"Balance"</formula>
    </cfRule>
    <cfRule type="cellIs" dxfId="36" priority="30" stopIfTrue="1" operator="equal">
      <formula>"Error"</formula>
    </cfRule>
  </conditionalFormatting>
  <conditionalFormatting sqref="I2">
    <cfRule type="cellIs" dxfId="35" priority="27" stopIfTrue="1" operator="equal">
      <formula>"Balance"</formula>
    </cfRule>
    <cfRule type="cellIs" dxfId="34" priority="28" stopIfTrue="1" operator="equal">
      <formula>"Error"</formula>
    </cfRule>
  </conditionalFormatting>
  <conditionalFormatting sqref="N2">
    <cfRule type="cellIs" dxfId="33" priority="25" stopIfTrue="1" operator="equal">
      <formula>"Balance"</formula>
    </cfRule>
    <cfRule type="cellIs" dxfId="32" priority="26" stopIfTrue="1" operator="equal">
      <formula>"Error"</formula>
    </cfRule>
  </conditionalFormatting>
  <conditionalFormatting sqref="M2">
    <cfRule type="cellIs" dxfId="31" priority="23" stopIfTrue="1" operator="equal">
      <formula>"Balance"</formula>
    </cfRule>
    <cfRule type="cellIs" dxfId="30" priority="24" stopIfTrue="1" operator="equal">
      <formula>"Error"</formula>
    </cfRule>
  </conditionalFormatting>
  <conditionalFormatting sqref="L2">
    <cfRule type="cellIs" dxfId="29" priority="21" stopIfTrue="1" operator="equal">
      <formula>"Balance"</formula>
    </cfRule>
    <cfRule type="cellIs" dxfId="28" priority="22" stopIfTrue="1" operator="equal">
      <formula>"Error"</formula>
    </cfRule>
  </conditionalFormatting>
  <conditionalFormatting sqref="Q2">
    <cfRule type="cellIs" dxfId="27" priority="19" stopIfTrue="1" operator="equal">
      <formula>"Balance"</formula>
    </cfRule>
    <cfRule type="cellIs" dxfId="26" priority="20" stopIfTrue="1" operator="equal">
      <formula>"Error"</formula>
    </cfRule>
  </conditionalFormatting>
  <conditionalFormatting sqref="P2">
    <cfRule type="cellIs" dxfId="25" priority="17" stopIfTrue="1" operator="equal">
      <formula>"Balance"</formula>
    </cfRule>
    <cfRule type="cellIs" dxfId="24" priority="18" stopIfTrue="1" operator="equal">
      <formula>"Error"</formula>
    </cfRule>
  </conditionalFormatting>
  <conditionalFormatting sqref="O2">
    <cfRule type="cellIs" dxfId="23" priority="15" stopIfTrue="1" operator="equal">
      <formula>"Balance"</formula>
    </cfRule>
    <cfRule type="cellIs" dxfId="22" priority="16" stopIfTrue="1" operator="equal">
      <formula>"Error"</formula>
    </cfRule>
  </conditionalFormatting>
  <conditionalFormatting sqref="U2:V2">
    <cfRule type="cellIs" dxfId="21" priority="13" stopIfTrue="1" operator="equal">
      <formula>"Balance"</formula>
    </cfRule>
    <cfRule type="cellIs" dxfId="20" priority="14" stopIfTrue="1" operator="equal">
      <formula>"Error"</formula>
    </cfRule>
  </conditionalFormatting>
  <conditionalFormatting sqref="X2:Y2">
    <cfRule type="cellIs" dxfId="19" priority="11" stopIfTrue="1" operator="equal">
      <formula>"Balance"</formula>
    </cfRule>
    <cfRule type="cellIs" dxfId="18" priority="12" stopIfTrue="1" operator="equal">
      <formula>"Error"</formula>
    </cfRule>
  </conditionalFormatting>
  <conditionalFormatting sqref="W2">
    <cfRule type="cellIs" dxfId="17" priority="9" stopIfTrue="1" operator="equal">
      <formula>"Balance"</formula>
    </cfRule>
    <cfRule type="cellIs" dxfId="16" priority="10" stopIfTrue="1" operator="equal">
      <formula>"Error"</formula>
    </cfRule>
  </conditionalFormatting>
  <conditionalFormatting sqref="AA2">
    <cfRule type="cellIs" dxfId="15" priority="7" stopIfTrue="1" operator="equal">
      <formula>"Balance"</formula>
    </cfRule>
    <cfRule type="cellIs" dxfId="14" priority="8" stopIfTrue="1" operator="equal">
      <formula>"Error"</formula>
    </cfRule>
  </conditionalFormatting>
  <conditionalFormatting sqref="AD2:AE2">
    <cfRule type="cellIs" dxfId="13" priority="5" stopIfTrue="1" operator="equal">
      <formula>"Balance"</formula>
    </cfRule>
    <cfRule type="cellIs" dxfId="12" priority="6" stopIfTrue="1" operator="equal">
      <formula>"Error"</formula>
    </cfRule>
  </conditionalFormatting>
  <conditionalFormatting sqref="AG2:AH2">
    <cfRule type="cellIs" dxfId="11" priority="3" stopIfTrue="1" operator="equal">
      <formula>"Balance"</formula>
    </cfRule>
    <cfRule type="cellIs" dxfId="10" priority="4" stopIfTrue="1" operator="equal">
      <formula>"Error"</formula>
    </cfRule>
  </conditionalFormatting>
  <conditionalFormatting sqref="AB2">
    <cfRule type="cellIs" dxfId="9" priority="1" stopIfTrue="1" operator="equal">
      <formula>"Balance"</formula>
    </cfRule>
    <cfRule type="cellIs" dxfId="8" priority="2" stopIfTrue="1" operator="equal">
      <formula>"Error"</formula>
    </cfRule>
  </conditionalFormatting>
  <pageMargins left="0.7" right="0.7" top="0.75" bottom="0.75" header="0.3" footer="0.3"/>
  <pageSetup paperSize="0" orientation="portrait" r:id="rId1"/>
  <customProperties>
    <customPr name="Qube.Worksheet.Visibility" r:id="rId2"/>
  </customProperties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9"/>
  </sheetPr>
  <dimension ref="A1"/>
  <sheetViews>
    <sheetView workbookViewId="0"/>
  </sheetViews>
  <sheetFormatPr defaultRowHeight="12.75"/>
  <sheetData/>
  <pageMargins left="0.7" right="0.7" top="0.75" bottom="0.75" header="0.3" footer="0.3"/>
  <pageSetup paperSize="0" orientation="portrait" r:id="rId1"/>
  <customProperties>
    <customPr name="Qube.Worksheet.Visibility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theme="3"/>
    <pageSetUpPr fitToPage="1"/>
  </sheetPr>
  <dimension ref="A1:AA215"/>
  <sheetViews>
    <sheetView workbookViewId="0"/>
  </sheetViews>
  <sheetFormatPr defaultColWidth="9.140625" defaultRowHeight="12.75" outlineLevelRow="1"/>
  <cols>
    <col min="1" max="1" width="9.140625" style="122"/>
    <col min="2" max="2" width="23.42578125" style="122" customWidth="1"/>
    <col min="3" max="10" width="13" style="122" customWidth="1"/>
    <col min="11" max="11" width="13" style="122" hidden="1" customWidth="1"/>
    <col min="12" max="15" width="13" style="122" customWidth="1"/>
    <col min="16" max="16" width="9.140625" style="122"/>
    <col min="17" max="18" width="9.140625" style="122" customWidth="1"/>
    <col min="19" max="21" width="9.140625" style="122"/>
    <col min="22" max="22" width="25.5703125" style="122" bestFit="1" customWidth="1"/>
    <col min="23" max="16384" width="9.140625" style="122"/>
  </cols>
  <sheetData>
    <row r="1" spans="1:27">
      <c r="B1" s="122" t="s">
        <v>734</v>
      </c>
      <c r="C1" s="122">
        <f>MATCH(B1,MODEL!3:3,0)</f>
        <v>21</v>
      </c>
      <c r="D1" s="120" t="s">
        <v>555</v>
      </c>
      <c r="E1" s="120"/>
      <c r="F1" s="120"/>
      <c r="G1" s="128"/>
      <c r="M1" s="128" t="s">
        <v>554</v>
      </c>
    </row>
    <row r="2" spans="1:27">
      <c r="B2" s="185"/>
      <c r="C2" s="185"/>
      <c r="D2" s="185"/>
      <c r="E2" s="185"/>
      <c r="F2" s="185"/>
      <c r="G2" s="190"/>
      <c r="H2" s="185"/>
      <c r="I2" s="185"/>
      <c r="J2" s="185"/>
      <c r="K2" s="185"/>
      <c r="L2" s="185"/>
      <c r="M2" s="190" t="s">
        <v>555</v>
      </c>
      <c r="N2" s="185"/>
    </row>
    <row r="4" spans="1:27">
      <c r="B4" s="1402" t="s">
        <v>558</v>
      </c>
      <c r="C4" s="1403"/>
      <c r="D4" s="240" t="s">
        <v>556</v>
      </c>
      <c r="E4" s="241"/>
      <c r="F4" s="242" t="s">
        <v>778</v>
      </c>
      <c r="G4" s="242"/>
      <c r="H4" s="243" t="s">
        <v>779</v>
      </c>
      <c r="I4" s="244"/>
      <c r="J4" s="245"/>
    </row>
    <row r="5" spans="1:27">
      <c r="B5" s="246" t="s">
        <v>275</v>
      </c>
      <c r="C5" s="129"/>
      <c r="D5" s="206">
        <v>12.74</v>
      </c>
      <c r="E5" s="230"/>
      <c r="F5" s="207">
        <v>15</v>
      </c>
      <c r="G5" s="207"/>
      <c r="H5" s="231">
        <f>F5/D5-1</f>
        <v>0.17739403453689162</v>
      </c>
      <c r="J5" s="247"/>
    </row>
    <row r="6" spans="1:27">
      <c r="B6" s="248"/>
      <c r="C6" s="1404" t="s">
        <v>776</v>
      </c>
      <c r="D6" s="1404"/>
      <c r="E6" s="1404"/>
      <c r="F6" s="1405" t="s">
        <v>777</v>
      </c>
      <c r="G6" s="1406"/>
      <c r="H6" s="1406"/>
      <c r="I6" s="1406"/>
      <c r="J6" s="1407"/>
    </row>
    <row r="7" spans="1:27">
      <c r="B7" s="248" t="s">
        <v>557</v>
      </c>
      <c r="C7" s="228" t="str">
        <f>IF(RIGHT(B1,1)="e",LEFT(B1,4),B1)&amp;"a"</f>
        <v>1H23a</v>
      </c>
      <c r="D7" s="228" t="str">
        <f>IF(RIGHT(B1,1)="e",LEFT(B1,4),B1)&amp;"e"</f>
        <v>1H23e</v>
      </c>
      <c r="E7" s="228" t="s">
        <v>758</v>
      </c>
      <c r="F7" s="234" t="s">
        <v>772</v>
      </c>
      <c r="G7" s="227" t="s">
        <v>718</v>
      </c>
      <c r="H7" s="229" t="s">
        <v>758</v>
      </c>
      <c r="I7" s="122" t="s">
        <v>552</v>
      </c>
      <c r="J7" s="249" t="s">
        <v>759</v>
      </c>
    </row>
    <row r="8" spans="1:27">
      <c r="A8" s="122" t="e">
        <f>ROW(MODEL!#REF!)</f>
        <v>#REF!</v>
      </c>
      <c r="B8" s="250" t="s">
        <v>349</v>
      </c>
      <c r="C8" s="215">
        <f>IF($D$1="Model",INDEX(Model,$A8,$C$1),$C36)</f>
        <v>616.1</v>
      </c>
      <c r="D8" s="123">
        <v>585.14798162327713</v>
      </c>
      <c r="E8" s="218">
        <f>C8/D8-1</f>
        <v>5.2896052535049254E-2</v>
      </c>
      <c r="F8" s="235">
        <f>IF($D$1="Model",INDEX(Model,$A8,$C$1),H36)</f>
        <v>616.1</v>
      </c>
      <c r="G8" s="123">
        <v>585.14798162327713</v>
      </c>
      <c r="H8" s="221">
        <f>F8/G8-1</f>
        <v>5.2896052535049254E-2</v>
      </c>
      <c r="I8" s="123" t="e">
        <f>MODEL!#REF!</f>
        <v>#REF!</v>
      </c>
      <c r="J8" s="251" t="e">
        <f>F8/I8-1</f>
        <v>#REF!</v>
      </c>
    </row>
    <row r="9" spans="1:27">
      <c r="A9" s="122" t="e">
        <f>ROW(MODEL!#REF!)</f>
        <v>#REF!</v>
      </c>
      <c r="B9" s="250" t="s">
        <v>413</v>
      </c>
      <c r="C9" s="215">
        <f>IF($D$1="Model",INDEX(Model,$A9,$C$1),$C37)</f>
        <v>484</v>
      </c>
      <c r="D9" s="123">
        <v>464.47242405302939</v>
      </c>
      <c r="E9" s="218">
        <f>C9/D9-1</f>
        <v>4.2042487208543422E-2</v>
      </c>
      <c r="F9" s="235">
        <f>IF($D$1="Model",INDEX(Model,$A9,$C$1),H37)</f>
        <v>484</v>
      </c>
      <c r="G9" s="123">
        <v>464.47242405302939</v>
      </c>
      <c r="H9" s="221">
        <f t="shared" ref="H9:H32" si="0">F9/G9-1</f>
        <v>4.2042487208543422E-2</v>
      </c>
      <c r="I9" s="123" t="e">
        <f>MODEL!#REF!</f>
        <v>#REF!</v>
      </c>
      <c r="J9" s="251" t="e">
        <f t="shared" ref="J9:J18" si="1">F9/I9-1</f>
        <v>#REF!</v>
      </c>
    </row>
    <row r="10" spans="1:27">
      <c r="A10" s="122" t="e">
        <f>ROW(MODEL!#REF!)</f>
        <v>#REF!</v>
      </c>
      <c r="B10" s="250" t="s">
        <v>414</v>
      </c>
      <c r="C10" s="215">
        <f>IF($D$1="Model",INDEX(Model,$A10,$C$1),$C38)</f>
        <v>605.6</v>
      </c>
      <c r="D10" s="123">
        <v>538.53994514018689</v>
      </c>
      <c r="E10" s="218">
        <f>C10/D10-1</f>
        <v>0.12452196993921549</v>
      </c>
      <c r="F10" s="235">
        <f>IF($D$1="Model",INDEX(Model,$A10,$C$1),$H38)</f>
        <v>605.6</v>
      </c>
      <c r="G10" s="123">
        <v>538.539945140187</v>
      </c>
      <c r="H10" s="221">
        <f t="shared" si="0"/>
        <v>0.12452196993921527</v>
      </c>
      <c r="I10" s="123" t="e">
        <f>MODEL!#REF!</f>
        <v>#REF!</v>
      </c>
      <c r="J10" s="251" t="e">
        <f t="shared" si="1"/>
        <v>#REF!</v>
      </c>
    </row>
    <row r="11" spans="1:27" ht="12.75" hidden="1" customHeight="1">
      <c r="A11" s="122" t="e">
        <f>ROW(MODEL!#REF!)</f>
        <v>#REF!</v>
      </c>
      <c r="B11" s="250" t="s">
        <v>72</v>
      </c>
      <c r="C11" s="215">
        <f>IF($D$1="Model",INDEX(Model,$A11,$C$1),$C39)</f>
        <v>-0.6</v>
      </c>
      <c r="D11" s="123">
        <v>0</v>
      </c>
      <c r="E11" s="232" t="s">
        <v>589</v>
      </c>
      <c r="F11" s="235">
        <f>IF($D$1="Model",INDEX(Model,$A11,$C$1),$H39)</f>
        <v>-0.6</v>
      </c>
      <c r="G11" s="123">
        <v>0</v>
      </c>
      <c r="H11" s="222" t="s">
        <v>589</v>
      </c>
      <c r="I11" s="123"/>
      <c r="J11" s="251" t="e">
        <f t="shared" si="1"/>
        <v>#DIV/0!</v>
      </c>
    </row>
    <row r="12" spans="1:27" s="125" customFormat="1">
      <c r="A12" s="125">
        <f>ROW(MODEL!B6)</f>
        <v>6</v>
      </c>
      <c r="B12" s="252" t="s">
        <v>415</v>
      </c>
      <c r="C12" s="216">
        <f>IF($D$1="Model",INDEX(Model,$A12,$C$1),$C40)</f>
        <v>1705.1</v>
      </c>
      <c r="D12" s="126">
        <v>1588.1603508164935</v>
      </c>
      <c r="E12" s="233">
        <f>C12/D12-1</f>
        <v>7.3632142449209459E-2</v>
      </c>
      <c r="F12" s="236">
        <f>IF($D$1="Model",INDEX(Model,$A12,$C$1),$H40)</f>
        <v>1705.1</v>
      </c>
      <c r="G12" s="126">
        <v>1588.1603508164935</v>
      </c>
      <c r="H12" s="223">
        <f t="shared" si="0"/>
        <v>7.3632142449209459E-2</v>
      </c>
      <c r="I12" s="126" t="e">
        <f>SUM(I8:I10)</f>
        <v>#REF!</v>
      </c>
      <c r="J12" s="253" t="e">
        <f t="shared" si="1"/>
        <v>#REF!</v>
      </c>
      <c r="S12" s="185"/>
      <c r="AA12" s="122"/>
    </row>
    <row r="13" spans="1:27">
      <c r="B13" s="250"/>
      <c r="C13" s="217"/>
      <c r="E13" s="217"/>
      <c r="F13" s="237"/>
      <c r="H13" s="224"/>
      <c r="J13" s="254"/>
      <c r="AA13" s="125"/>
    </row>
    <row r="14" spans="1:27">
      <c r="A14" s="122" t="e">
        <f>ROW(MODEL!#REF!)</f>
        <v>#REF!</v>
      </c>
      <c r="B14" s="250" t="s">
        <v>349</v>
      </c>
      <c r="C14" s="215">
        <f>IF($D$1="Model",INDEX(Model,$A14,$C$1),$C42)</f>
        <v>78.2</v>
      </c>
      <c r="D14" s="123">
        <v>76.229868202143933</v>
      </c>
      <c r="E14" s="218">
        <f>C14/D14-1</f>
        <v>2.584461765868129E-2</v>
      </c>
      <c r="F14" s="235">
        <f>IF($D$1="Model",INDEX(Model,$A14,$C$1)+INDEX(Model,ROW(MODEL!B229),$C$1),$H42)</f>
        <v>82.9</v>
      </c>
      <c r="G14" s="123">
        <v>81.690578918245379</v>
      </c>
      <c r="H14" s="221">
        <f>F14/G14-1</f>
        <v>1.4804902814619547E-2</v>
      </c>
      <c r="I14" s="123" t="e">
        <f>MODEL!#REF!</f>
        <v>#REF!</v>
      </c>
      <c r="J14" s="251" t="e">
        <f t="shared" si="1"/>
        <v>#REF!</v>
      </c>
    </row>
    <row r="15" spans="1:27">
      <c r="A15" s="122" t="e">
        <f>ROW(MODEL!#REF!)</f>
        <v>#REF!</v>
      </c>
      <c r="B15" s="250" t="s">
        <v>413</v>
      </c>
      <c r="C15" s="215">
        <f>IF($D$1="Model",INDEX(Model,$A15,$C$1),$C43)</f>
        <v>31.4</v>
      </c>
      <c r="D15" s="123">
        <v>26.142127854760886</v>
      </c>
      <c r="E15" s="218">
        <f>C15/D15-1</f>
        <v>0.20112640311647678</v>
      </c>
      <c r="F15" s="235">
        <f>IF($D$1="Model",INDEX(Model,$A15,$C$1)+INDEX(Model,ROW(MODEL!B230),$C$1),$H43)</f>
        <v>34.800000000000004</v>
      </c>
      <c r="G15" s="123">
        <v>30.476671633453979</v>
      </c>
      <c r="H15" s="221">
        <f t="shared" si="0"/>
        <v>0.14185697239328277</v>
      </c>
      <c r="I15" s="123" t="e">
        <f>MODEL!#REF!</f>
        <v>#REF!</v>
      </c>
      <c r="J15" s="251" t="e">
        <f t="shared" si="1"/>
        <v>#REF!</v>
      </c>
    </row>
    <row r="16" spans="1:27">
      <c r="A16" s="122" t="e">
        <f>ROW(MODEL!#REF!)</f>
        <v>#REF!</v>
      </c>
      <c r="B16" s="250" t="s">
        <v>414</v>
      </c>
      <c r="C16" s="215">
        <f>IF($D$1="Model",INDEX(Model,$A16,$C$1),$C44)</f>
        <v>68.2</v>
      </c>
      <c r="D16" s="123">
        <v>74.691268071989725</v>
      </c>
      <c r="E16" s="218">
        <f>C16/D16-1</f>
        <v>-8.6907991249167704E-2</v>
      </c>
      <c r="F16" s="235">
        <f>IF($D$1="Model",INDEX(Model,$A16,$C$1)+INDEX(Model,ROW(MODEL!B231),$C$1),$H44)</f>
        <v>74.8</v>
      </c>
      <c r="G16" s="123">
        <v>79.717023849729074</v>
      </c>
      <c r="H16" s="221">
        <f t="shared" si="0"/>
        <v>-6.1680976186440861E-2</v>
      </c>
      <c r="I16" s="123" t="e">
        <f>MODEL!#REF!</f>
        <v>#REF!</v>
      </c>
      <c r="J16" s="251" t="e">
        <f t="shared" si="1"/>
        <v>#REF!</v>
      </c>
      <c r="S16" s="125"/>
    </row>
    <row r="17" spans="1:27">
      <c r="A17" s="122" t="e">
        <f>ROW(MODEL!#REF!)</f>
        <v>#REF!</v>
      </c>
      <c r="B17" s="250" t="s">
        <v>72</v>
      </c>
      <c r="C17" s="215">
        <f>IF($D$1="Model",INDEX(Model,$A17,$C$1),$C45)</f>
        <v>-9.6999999999999993</v>
      </c>
      <c r="D17" s="123">
        <v>-13.2</v>
      </c>
      <c r="E17" s="218">
        <f>C17/D17-1</f>
        <v>-0.26515151515151514</v>
      </c>
      <c r="F17" s="235">
        <f>IF($D$1="Model",INDEX(Model,$A17,$C$1),$H45)</f>
        <v>-9.6999999999999993</v>
      </c>
      <c r="G17" s="123">
        <v>-13.2</v>
      </c>
      <c r="H17" s="221">
        <f t="shared" si="0"/>
        <v>-0.26515151515151514</v>
      </c>
      <c r="I17" s="123" t="e">
        <f>MODEL!#REF!</f>
        <v>#REF!</v>
      </c>
      <c r="J17" s="251" t="e">
        <f t="shared" si="1"/>
        <v>#REF!</v>
      </c>
    </row>
    <row r="18" spans="1:27" s="125" customFormat="1">
      <c r="A18" s="125">
        <f>ROW(MODEL!B31)</f>
        <v>31</v>
      </c>
      <c r="B18" s="252" t="s">
        <v>140</v>
      </c>
      <c r="C18" s="216">
        <f>SUM(C14:C17)</f>
        <v>168.10000000000002</v>
      </c>
      <c r="D18" s="126">
        <v>163.86326412889457</v>
      </c>
      <c r="E18" s="233">
        <f>C18/D18-1</f>
        <v>2.5855312315595347E-2</v>
      </c>
      <c r="F18" s="236">
        <f>IF($D$1="Model",INDEX(Model,$A18,$C$1),$H46)</f>
        <v>182.8</v>
      </c>
      <c r="G18" s="126">
        <v>178.68427440142847</v>
      </c>
      <c r="H18" s="223">
        <f t="shared" si="0"/>
        <v>2.3033507634394601E-2</v>
      </c>
      <c r="I18" s="126" t="e">
        <f>SUM(I14:I17)</f>
        <v>#REF!</v>
      </c>
      <c r="J18" s="253" t="e">
        <f t="shared" si="1"/>
        <v>#REF!</v>
      </c>
      <c r="S18" s="122"/>
      <c r="AA18" s="122"/>
    </row>
    <row r="19" spans="1:27" hidden="1">
      <c r="B19" s="250"/>
      <c r="C19" s="217"/>
      <c r="E19" s="217"/>
      <c r="F19" s="237"/>
      <c r="H19" s="224"/>
      <c r="J19" s="254"/>
      <c r="S19" s="211"/>
      <c r="AA19" s="125"/>
    </row>
    <row r="20" spans="1:27" hidden="1">
      <c r="A20" s="122">
        <f>ROW(MODEL!B37)</f>
        <v>37</v>
      </c>
      <c r="B20" s="250" t="s">
        <v>416</v>
      </c>
      <c r="C20" s="215"/>
      <c r="D20" s="225"/>
      <c r="E20" s="218"/>
      <c r="F20" s="235">
        <f>IF($D$1="Model",INDEX(Model,$A20,$C$1),$H48)</f>
        <v>21.8</v>
      </c>
      <c r="G20" s="123">
        <v>18.350824895172561</v>
      </c>
      <c r="H20" s="221">
        <f t="shared" si="0"/>
        <v>0.18795749643574844</v>
      </c>
      <c r="I20" s="123"/>
      <c r="J20" s="251" t="e">
        <f>F20/#REF!-1</f>
        <v>#REF!</v>
      </c>
      <c r="S20" s="205" t="s">
        <v>774</v>
      </c>
    </row>
    <row r="21" spans="1:27" hidden="1">
      <c r="A21" s="122">
        <f>ROW(MODEL!B41)</f>
        <v>41</v>
      </c>
      <c r="B21" s="250" t="s">
        <v>417</v>
      </c>
      <c r="C21" s="215"/>
      <c r="D21" s="123"/>
      <c r="E21" s="218"/>
      <c r="F21" s="235">
        <f>IF($D$1="Model",INDEX(Model,$A21,$C$1),$H49)</f>
        <v>48.2</v>
      </c>
      <c r="G21" s="123">
        <v>47.459878353159731</v>
      </c>
      <c r="H21" s="221">
        <f t="shared" si="0"/>
        <v>1.55946806549494E-2</v>
      </c>
      <c r="I21" s="123"/>
      <c r="J21" s="251" t="e">
        <f>F21/#REF!-1</f>
        <v>#REF!</v>
      </c>
      <c r="S21" s="211" t="e">
        <f>ROUND((M44-R44)*(10^4),0)&amp;"bps"</f>
        <v>#REF!</v>
      </c>
    </row>
    <row r="22" spans="1:27" ht="12.75" hidden="1" customHeight="1">
      <c r="A22" s="122">
        <f>ROW(MODEL!B42)</f>
        <v>42</v>
      </c>
      <c r="B22" s="250" t="s">
        <v>93</v>
      </c>
      <c r="C22" s="215">
        <f>IF($D$1="Model",INDEX(Model,$A22,$C$1),$C50)</f>
        <v>0</v>
      </c>
      <c r="D22" s="123">
        <v>0</v>
      </c>
      <c r="E22" s="232" t="s">
        <v>589</v>
      </c>
      <c r="F22" s="235">
        <f>IF($D$1="Model",INDEX(Model,$A22,$C$1),$H50)</f>
        <v>0</v>
      </c>
      <c r="G22" s="123">
        <v>0</v>
      </c>
      <c r="H22" s="222" t="s">
        <v>589</v>
      </c>
      <c r="I22" s="123"/>
      <c r="J22" s="251" t="s">
        <v>589</v>
      </c>
      <c r="S22" s="211" t="e">
        <f>ROUND((M45-R45)*(10^4),0)&amp;"bps"</f>
        <v>#REF!</v>
      </c>
    </row>
    <row r="23" spans="1:27">
      <c r="B23" s="250"/>
      <c r="C23" s="217"/>
      <c r="E23" s="217"/>
      <c r="F23" s="237"/>
      <c r="H23" s="224"/>
      <c r="J23" s="254"/>
      <c r="S23" s="211"/>
    </row>
    <row r="24" spans="1:27" s="125" customFormat="1">
      <c r="A24" s="125">
        <f>ROW(MODEL!B43)</f>
        <v>43</v>
      </c>
      <c r="B24" s="252" t="s">
        <v>586</v>
      </c>
      <c r="C24" s="216">
        <f>IF($D$1="Model",INDEX(Model,$A24,$C$1),$C52)</f>
        <v>115.5</v>
      </c>
      <c r="D24" s="126">
        <v>112.87357115309618</v>
      </c>
      <c r="E24" s="233">
        <f>C24/D24-1</f>
        <v>2.3268767170850468E-2</v>
      </c>
      <c r="F24" s="236">
        <f>IF($D$1="Model",INDEX(Model,$A24,$C$1),$H52)</f>
        <v>112.8</v>
      </c>
      <c r="G24" s="126">
        <v>112.87357115309618</v>
      </c>
      <c r="H24" s="223">
        <f t="shared" si="0"/>
        <v>-6.5180141236420575E-4</v>
      </c>
      <c r="I24" s="126">
        <f>MODEL!O43</f>
        <v>175.6</v>
      </c>
      <c r="J24" s="253">
        <f>F24/I24-1</f>
        <v>-0.35763097949886102</v>
      </c>
      <c r="S24" s="211"/>
      <c r="AA24" s="122"/>
    </row>
    <row r="25" spans="1:27" hidden="1">
      <c r="A25" s="122">
        <f>ROW(MODEL!B50)</f>
        <v>50</v>
      </c>
      <c r="B25" s="250" t="s">
        <v>419</v>
      </c>
      <c r="C25" s="215"/>
      <c r="D25" s="123"/>
      <c r="E25" s="232"/>
      <c r="F25" s="235">
        <f>IF($D$1="Model",INDEX(Model,$A25,$C$1),$H53)</f>
        <v>-2</v>
      </c>
      <c r="G25" s="123">
        <v>0</v>
      </c>
      <c r="H25" s="222" t="s">
        <v>589</v>
      </c>
      <c r="I25" s="123"/>
      <c r="J25" s="251"/>
      <c r="S25" s="214"/>
      <c r="AA25" s="125"/>
    </row>
    <row r="26" spans="1:27" hidden="1">
      <c r="A26" s="122">
        <f>ROW(MODEL!B51)</f>
        <v>51</v>
      </c>
      <c r="B26" s="250" t="s">
        <v>420</v>
      </c>
      <c r="C26" s="215"/>
      <c r="D26" s="123"/>
      <c r="E26" s="218"/>
      <c r="F26" s="235">
        <f>IF($D$1="Model",INDEX(Model,$A26,$C$1),$H54)</f>
        <v>110.8</v>
      </c>
      <c r="G26" s="123">
        <v>112.87357115309618</v>
      </c>
      <c r="H26" s="221">
        <f t="shared" si="0"/>
        <v>-1.8370741103634347E-2</v>
      </c>
      <c r="I26" s="123"/>
      <c r="J26" s="251"/>
    </row>
    <row r="27" spans="1:27">
      <c r="B27" s="250"/>
      <c r="C27" s="217"/>
      <c r="E27" s="217"/>
      <c r="F27" s="237"/>
      <c r="H27" s="224"/>
      <c r="J27" s="254"/>
    </row>
    <row r="28" spans="1:27" s="125" customFormat="1">
      <c r="A28" s="125">
        <f>ROW(MODEL!B77)</f>
        <v>77</v>
      </c>
      <c r="B28" s="252" t="s">
        <v>421</v>
      </c>
      <c r="C28" s="216">
        <f>IF($D$1="Model",INDEX(Model,$A28,$C$1),$C56)</f>
        <v>50.661561034022199</v>
      </c>
      <c r="D28" s="126">
        <v>49.538343166537466</v>
      </c>
      <c r="E28" s="233">
        <f>C28/D28-1</f>
        <v>2.267370678322278E-2</v>
      </c>
      <c r="F28" s="236">
        <f>IF($D$1="Model",INDEX(Model,$A28,$C$1),$H56)</f>
        <v>49.477264802058045</v>
      </c>
      <c r="G28" s="126">
        <v>49.538343166537466</v>
      </c>
      <c r="H28" s="223">
        <f t="shared" si="0"/>
        <v>-1.2329512974240675E-3</v>
      </c>
      <c r="I28" s="126">
        <f>MODEL!O77</f>
        <v>77.138210350118641</v>
      </c>
      <c r="J28" s="253">
        <f>F28/I28-1</f>
        <v>-0.35858941272440414</v>
      </c>
      <c r="S28" s="122"/>
      <c r="AA28" s="122"/>
    </row>
    <row r="29" spans="1:27">
      <c r="A29" s="122">
        <f>ROW(MODEL!B92)</f>
        <v>92</v>
      </c>
      <c r="B29" s="262" t="str">
        <f>IF(IFERROR(VALUE(LEFT(B1,4)),"Interim")="Interim","Interim","Final")&amp;" DPS (A¢)"</f>
        <v>Interim DPS (A¢)</v>
      </c>
      <c r="C29" s="256">
        <f>IF($D$1="Model",IF(LEFT(B29,5)="Final",INDEX(Model,$A29,$C$1),INDEX(Model,$A30,$C$1)),C57)</f>
        <v>27</v>
      </c>
      <c r="D29" s="263">
        <v>28.072386329648889</v>
      </c>
      <c r="E29" s="264">
        <f>C29/D29-1</f>
        <v>-3.8200754187978636E-2</v>
      </c>
      <c r="F29" s="265">
        <f>C29</f>
        <v>27</v>
      </c>
      <c r="G29" s="263">
        <v>28.072386329648889</v>
      </c>
      <c r="H29" s="266">
        <f t="shared" si="0"/>
        <v>-3.8200754187978636E-2</v>
      </c>
      <c r="I29" s="263">
        <f>MODEL!O91</f>
        <v>33</v>
      </c>
      <c r="J29" s="267">
        <f>F29/I29-1</f>
        <v>-0.18181818181818177</v>
      </c>
      <c r="S29" s="125"/>
      <c r="AA29" s="125"/>
    </row>
    <row r="30" spans="1:27">
      <c r="A30" s="122">
        <f>A29-1</f>
        <v>91</v>
      </c>
      <c r="B30" s="250"/>
      <c r="C30" s="217"/>
      <c r="D30" s="123"/>
      <c r="E30" s="217"/>
      <c r="F30" s="237"/>
      <c r="H30" s="224"/>
      <c r="J30" s="254"/>
    </row>
    <row r="31" spans="1:27">
      <c r="A31" s="122">
        <f>ROW(MODEL!B132)</f>
        <v>132</v>
      </c>
      <c r="B31" s="250" t="s">
        <v>31</v>
      </c>
      <c r="C31" s="215">
        <f>IF($D$1="Model",INDEX(Model,$A31,$C$1),$C59)</f>
        <v>-94.1</v>
      </c>
      <c r="D31" s="123">
        <v>-405.8856418647257</v>
      </c>
      <c r="E31" s="218">
        <f>C31/D31-1</f>
        <v>-0.7681612989124611</v>
      </c>
      <c r="F31" s="235">
        <f>IF($D$1="Model",INDEX(Model,$A31,$C$1)+INDEX(Model,ROW(MODEL!B169),$C$1)+INDEX(Model,ROW(MODEL!B177),$C$1),$H59)</f>
        <v>918.30000000000007</v>
      </c>
      <c r="G31" s="123">
        <v>587.13402712332231</v>
      </c>
      <c r="H31" s="221">
        <f t="shared" si="0"/>
        <v>0.56403812005111265</v>
      </c>
      <c r="I31" s="123">
        <f>-MODEL!O150+MODEL!O168+MODEL!O169+MODEL!O177</f>
        <v>468.99999999999994</v>
      </c>
      <c r="J31" s="251">
        <f>F31/I31-1</f>
        <v>0.95799573560767626</v>
      </c>
    </row>
    <row r="32" spans="1:27" s="125" customFormat="1">
      <c r="A32" s="125">
        <f>ROW(MODEL!B111)</f>
        <v>111</v>
      </c>
      <c r="B32" s="255" t="s">
        <v>422</v>
      </c>
      <c r="C32" s="256">
        <f>IF($D$1="Model",INDEX(Model,$A32,$C$1)+INDEX(Model,ROW(MODEL!B124),$C$1),$C60)</f>
        <v>59.8</v>
      </c>
      <c r="D32" s="257">
        <v>292.60486621821229</v>
      </c>
      <c r="E32" s="258">
        <f>C32/D32-1</f>
        <v>-0.79562882609271546</v>
      </c>
      <c r="F32" s="259">
        <f>IF($D$1="Model",INDEX(Model,$A32,$C$1),$H60)</f>
        <v>135.9</v>
      </c>
      <c r="G32" s="257">
        <v>378.56795069884367</v>
      </c>
      <c r="H32" s="260">
        <f t="shared" si="0"/>
        <v>-0.64101556999443288</v>
      </c>
      <c r="I32" s="257">
        <f>MODEL!O111</f>
        <v>504.6</v>
      </c>
      <c r="J32" s="261">
        <f>F32/I32-1</f>
        <v>-0.73067776456599287</v>
      </c>
      <c r="S32" s="122"/>
    </row>
    <row r="33" spans="2:19">
      <c r="H33" s="123"/>
      <c r="Q33" s="122" t="s">
        <v>692</v>
      </c>
      <c r="S33" s="125"/>
    </row>
    <row r="34" spans="2:19">
      <c r="C34" s="122" t="s">
        <v>736</v>
      </c>
      <c r="H34" s="122" t="s">
        <v>737</v>
      </c>
    </row>
    <row r="35" spans="2:19">
      <c r="B35" s="1410" t="s">
        <v>559</v>
      </c>
      <c r="C35" s="1410"/>
      <c r="H35" s="121" t="s">
        <v>559</v>
      </c>
      <c r="L35" s="185"/>
      <c r="M35" s="185"/>
      <c r="N35" s="185"/>
      <c r="O35" s="185"/>
      <c r="P35" s="185"/>
      <c r="Q35" s="185"/>
      <c r="R35" s="185"/>
    </row>
    <row r="36" spans="2:19">
      <c r="B36" s="122" t="s">
        <v>349</v>
      </c>
      <c r="C36" s="123">
        <v>616.1</v>
      </c>
      <c r="D36" s="122" t="s">
        <v>742</v>
      </c>
      <c r="H36" s="123">
        <f>C36</f>
        <v>616.1</v>
      </c>
      <c r="L36" s="130" t="s">
        <v>588</v>
      </c>
      <c r="M36" s="205" t="s">
        <v>718</v>
      </c>
      <c r="N36" s="1408" t="s">
        <v>772</v>
      </c>
      <c r="O36" s="1409"/>
      <c r="P36" s="208" t="s">
        <v>775</v>
      </c>
    </row>
    <row r="37" spans="2:19">
      <c r="B37" s="122" t="s">
        <v>413</v>
      </c>
      <c r="C37" s="123">
        <f>418.5+65.5</f>
        <v>484</v>
      </c>
      <c r="D37" s="122" t="s">
        <v>743</v>
      </c>
      <c r="H37" s="123">
        <f>C37</f>
        <v>484</v>
      </c>
      <c r="L37" s="130"/>
      <c r="M37" s="205" t="s">
        <v>773</v>
      </c>
      <c r="N37" s="208" t="s">
        <v>773</v>
      </c>
      <c r="O37" s="219" t="s">
        <v>774</v>
      </c>
      <c r="P37" s="208"/>
    </row>
    <row r="38" spans="2:19">
      <c r="B38" s="122" t="s">
        <v>414</v>
      </c>
      <c r="C38" s="123">
        <v>605.6</v>
      </c>
      <c r="D38" s="122" t="s">
        <v>744</v>
      </c>
      <c r="H38" s="123">
        <f>C38</f>
        <v>605.6</v>
      </c>
      <c r="L38" s="122" t="s">
        <v>612</v>
      </c>
      <c r="M38" s="238">
        <f>Divisionals!R57</f>
        <v>-7.3451473769156839E-2</v>
      </c>
      <c r="N38" s="209">
        <v>-7.6999999999999999E-2</v>
      </c>
      <c r="O38" s="220">
        <v>0.10100000000000001</v>
      </c>
      <c r="P38" s="212" t="str">
        <f>ROUND((N38-M38)*(10^4),0)&amp;"bps"</f>
        <v>-35bps</v>
      </c>
    </row>
    <row r="39" spans="2:19">
      <c r="B39" s="122" t="s">
        <v>72</v>
      </c>
      <c r="C39" s="123">
        <v>-0.6</v>
      </c>
      <c r="D39" s="122" t="s">
        <v>741</v>
      </c>
      <c r="H39" s="123">
        <f>C39</f>
        <v>-0.6</v>
      </c>
      <c r="L39" s="122" t="s">
        <v>692</v>
      </c>
      <c r="M39" s="238">
        <f>Divisionals!R334</f>
        <v>2.6076388725682076E-3</v>
      </c>
      <c r="N39" s="209">
        <v>-5.8999999999999997E-2</v>
      </c>
      <c r="O39" s="220">
        <v>0.1</v>
      </c>
      <c r="P39" s="212" t="str">
        <f>ROUND((N39-M39)*(10^4),0)&amp;"bps"</f>
        <v>-616bps</v>
      </c>
    </row>
    <row r="40" spans="2:19">
      <c r="B40" s="125" t="s">
        <v>415</v>
      </c>
      <c r="C40" s="126">
        <f>SUM(C36:C39)+J40</f>
        <v>1705.1</v>
      </c>
      <c r="H40" s="126">
        <f>SUM(H36:H39)</f>
        <v>1705.1</v>
      </c>
      <c r="L40" s="122" t="s">
        <v>150</v>
      </c>
      <c r="M40" s="238">
        <f>Divisionals!R148</f>
        <v>-5.3899432911961753E-2</v>
      </c>
      <c r="N40" s="209">
        <v>-3.6999999999999998E-2</v>
      </c>
      <c r="O40" s="220">
        <v>0.40600000000000003</v>
      </c>
      <c r="P40" s="212" t="str">
        <f>ROUND((N40-M40)*(10^4),0)&amp;"bps"</f>
        <v>169bps</v>
      </c>
    </row>
    <row r="41" spans="2:19">
      <c r="L41" s="122" t="s">
        <v>246</v>
      </c>
      <c r="M41" s="238">
        <f>Divisionals!R199</f>
        <v>-5.0994575045208101E-2</v>
      </c>
      <c r="N41" s="209">
        <v>-1.0999999999999999E-2</v>
      </c>
      <c r="O41" s="220">
        <v>-5.3999999999999999E-2</v>
      </c>
      <c r="P41" s="212" t="str">
        <f>ROUND((N41-M41)*(10^4),0)&amp;"bps"</f>
        <v>400bps</v>
      </c>
    </row>
    <row r="42" spans="2:19">
      <c r="B42" s="122" t="s">
        <v>349</v>
      </c>
      <c r="C42" s="122">
        <v>78.2</v>
      </c>
      <c r="D42" s="122" t="s">
        <v>746</v>
      </c>
      <c r="H42" s="122">
        <v>82.9</v>
      </c>
      <c r="I42" s="187" t="s">
        <v>757</v>
      </c>
      <c r="J42" s="125" t="s">
        <v>750</v>
      </c>
      <c r="M42" s="211"/>
      <c r="N42" s="211"/>
      <c r="O42" s="211"/>
      <c r="P42" s="211"/>
      <c r="Q42" s="211"/>
      <c r="R42" s="211"/>
    </row>
    <row r="43" spans="2:19">
      <c r="B43" s="122" t="s">
        <v>413</v>
      </c>
      <c r="C43" s="122">
        <f>32.3-0.9</f>
        <v>31.4</v>
      </c>
      <c r="D43" s="122" t="s">
        <v>746</v>
      </c>
      <c r="H43" s="122">
        <f>35.6-0.8</f>
        <v>34.800000000000004</v>
      </c>
      <c r="I43" s="187" t="s">
        <v>757</v>
      </c>
      <c r="J43" s="187">
        <f>476.8-443.3</f>
        <v>33.5</v>
      </c>
      <c r="K43" s="187" t="s">
        <v>756</v>
      </c>
      <c r="L43" s="130" t="s">
        <v>782</v>
      </c>
      <c r="M43" s="219" t="s">
        <v>278</v>
      </c>
      <c r="N43" s="205" t="s">
        <v>552</v>
      </c>
      <c r="O43" s="208" t="s">
        <v>653</v>
      </c>
      <c r="P43" s="205" t="s">
        <v>780</v>
      </c>
      <c r="Q43" s="205" t="s">
        <v>781</v>
      </c>
      <c r="R43" s="211"/>
    </row>
    <row r="44" spans="2:19">
      <c r="B44" s="122" t="s">
        <v>414</v>
      </c>
      <c r="C44" s="122">
        <v>68.2</v>
      </c>
      <c r="D44" s="122" t="s">
        <v>746</v>
      </c>
      <c r="H44" s="122">
        <v>74.8</v>
      </c>
      <c r="I44" s="187" t="s">
        <v>757</v>
      </c>
      <c r="L44" s="122" t="s">
        <v>612</v>
      </c>
      <c r="M44" s="268" t="e">
        <f>Divisionals!#REF!</f>
        <v>#REF!</v>
      </c>
      <c r="N44" s="210" t="e">
        <f>Divisionals!#REF!</f>
        <v>#REF!</v>
      </c>
      <c r="O44" s="209">
        <f>G14/G8</f>
        <v>0.13960670032839387</v>
      </c>
      <c r="P44" s="211" t="e">
        <f>ROUND((O44-N44)*(10^4),0)&amp;"bps"</f>
        <v>#REF!</v>
      </c>
      <c r="Q44" s="211" t="e">
        <f>ROUND((O44-M44)*(10^4),0)&amp;"bps"</f>
        <v>#REF!</v>
      </c>
      <c r="R44" s="211"/>
    </row>
    <row r="45" spans="2:19">
      <c r="B45" s="122" t="s">
        <v>72</v>
      </c>
      <c r="C45" s="122">
        <v>-9.6999999999999993</v>
      </c>
      <c r="D45" s="122" t="s">
        <v>746</v>
      </c>
      <c r="H45" s="122">
        <v>-9.6999999999999993</v>
      </c>
      <c r="I45" s="187" t="s">
        <v>757</v>
      </c>
      <c r="L45" s="122" t="s">
        <v>692</v>
      </c>
      <c r="M45" s="268" t="e">
        <f>Divisionals!#REF!</f>
        <v>#REF!</v>
      </c>
      <c r="N45" s="210" t="e">
        <f>Divisionals!#REF!</f>
        <v>#REF!</v>
      </c>
      <c r="O45" s="209">
        <f>G16/G10</f>
        <v>0.14802434725427469</v>
      </c>
      <c r="P45" s="211" t="e">
        <f>ROUND((O45-N45)*(10^4),0)&amp;"bps"</f>
        <v>#REF!</v>
      </c>
      <c r="Q45" s="211" t="e">
        <f>ROUND((O45-M45)*(10^4),0)&amp;"bps"</f>
        <v>#REF!</v>
      </c>
      <c r="R45" s="211"/>
    </row>
    <row r="46" spans="2:19">
      <c r="B46" s="125" t="s">
        <v>140</v>
      </c>
      <c r="C46" s="125">
        <f>SUM(C42:C45)</f>
        <v>168.10000000000002</v>
      </c>
      <c r="H46" s="125">
        <f>SUM(H42:H45)</f>
        <v>182.8</v>
      </c>
      <c r="L46" s="122" t="s">
        <v>573</v>
      </c>
      <c r="M46" s="268" t="e">
        <f>Divisionals!#REF!</f>
        <v>#REF!</v>
      </c>
      <c r="N46" s="210" t="e">
        <f>Divisionals!#REF!</f>
        <v>#REF!</v>
      </c>
      <c r="O46" s="209">
        <f>G15/G9</f>
        <v>6.5615675022236461E-2</v>
      </c>
      <c r="P46" s="211" t="e">
        <f>ROUND((O46-N46)*(10^4),0)&amp;"bps"</f>
        <v>#REF!</v>
      </c>
      <c r="Q46" s="211" t="e">
        <f>ROUND((O46-M46)*(10^4),0)&amp;"bps"</f>
        <v>#REF!</v>
      </c>
      <c r="R46" s="211"/>
    </row>
    <row r="47" spans="2:19">
      <c r="L47" s="125" t="s">
        <v>157</v>
      </c>
      <c r="M47" s="269">
        <f>MODEL!L33</f>
        <v>8.8736492103075645E-2</v>
      </c>
      <c r="N47" s="239">
        <f>MODEL!O33</f>
        <v>0.15303652839533965</v>
      </c>
      <c r="O47" s="213">
        <f>F18/F12</f>
        <v>0.10720778839950737</v>
      </c>
      <c r="P47" s="214" t="str">
        <f>ROUND((O47-N47)*(10^4),0)&amp;"bps"</f>
        <v>-458bps</v>
      </c>
      <c r="Q47" s="214" t="str">
        <f>ROUND((O47-M47)*(10^4),0)&amp;"bps"</f>
        <v>185bps</v>
      </c>
      <c r="R47" s="211"/>
    </row>
    <row r="48" spans="2:19">
      <c r="B48" s="122" t="s">
        <v>416</v>
      </c>
      <c r="C48" s="186">
        <v>21.1</v>
      </c>
      <c r="H48" s="122">
        <v>21.8</v>
      </c>
      <c r="I48" s="187" t="s">
        <v>749</v>
      </c>
      <c r="P48" s="214"/>
      <c r="Q48" s="214"/>
      <c r="R48" s="211"/>
    </row>
    <row r="49" spans="2:18">
      <c r="B49" s="122" t="s">
        <v>417</v>
      </c>
      <c r="C49" s="186">
        <v>49.4</v>
      </c>
      <c r="H49" s="185">
        <v>48.2</v>
      </c>
      <c r="I49" s="185" t="s">
        <v>748</v>
      </c>
      <c r="P49" s="211"/>
      <c r="Q49" s="211"/>
      <c r="R49" s="211"/>
    </row>
    <row r="50" spans="2:18" hidden="1">
      <c r="B50" s="122" t="s">
        <v>93</v>
      </c>
      <c r="C50" s="186"/>
      <c r="L50" s="125"/>
      <c r="P50" s="211"/>
      <c r="Q50" s="211"/>
      <c r="R50" s="211"/>
    </row>
    <row r="51" spans="2:18">
      <c r="L51" s="130" t="s">
        <v>738</v>
      </c>
      <c r="M51" s="183" t="s">
        <v>659</v>
      </c>
      <c r="N51" s="183" t="s">
        <v>660</v>
      </c>
      <c r="O51" s="125"/>
      <c r="P51" s="211"/>
      <c r="Q51" s="211"/>
      <c r="R51" s="211"/>
    </row>
    <row r="52" spans="2:18">
      <c r="B52" s="122" t="s">
        <v>418</v>
      </c>
      <c r="C52" s="187">
        <v>115.5</v>
      </c>
      <c r="D52" s="187"/>
      <c r="E52" s="187"/>
      <c r="F52" s="187"/>
      <c r="H52" s="187">
        <v>112.8</v>
      </c>
      <c r="I52" s="187" t="s">
        <v>745</v>
      </c>
      <c r="L52" s="122" t="s">
        <v>612</v>
      </c>
    </row>
    <row r="53" spans="2:18">
      <c r="B53" s="122" t="s">
        <v>419</v>
      </c>
      <c r="C53" s="186"/>
      <c r="H53" s="187">
        <v>-2</v>
      </c>
      <c r="I53" s="187" t="s">
        <v>745</v>
      </c>
      <c r="L53" s="122" t="s">
        <v>168</v>
      </c>
    </row>
    <row r="54" spans="2:18">
      <c r="B54" s="125" t="s">
        <v>420</v>
      </c>
      <c r="C54" s="186"/>
      <c r="H54" s="187">
        <v>110.8</v>
      </c>
      <c r="I54" s="187" t="s">
        <v>747</v>
      </c>
      <c r="L54" s="122" t="s">
        <v>150</v>
      </c>
    </row>
    <row r="55" spans="2:18">
      <c r="L55" s="122" t="s">
        <v>246</v>
      </c>
      <c r="Q55" s="125"/>
    </row>
    <row r="56" spans="2:18">
      <c r="B56" s="125" t="s">
        <v>421</v>
      </c>
      <c r="C56" s="123">
        <f>C52/C62*100</f>
        <v>50.661561034022199</v>
      </c>
      <c r="H56" s="123">
        <f>H52/H62*100</f>
        <v>49.477264802058045</v>
      </c>
    </row>
    <row r="57" spans="2:18">
      <c r="B57" s="122" t="str">
        <f>B29</f>
        <v>Interim DPS (A¢)</v>
      </c>
      <c r="C57" s="123">
        <v>27</v>
      </c>
      <c r="D57" s="122" t="s">
        <v>747</v>
      </c>
      <c r="H57" s="123">
        <f>C57</f>
        <v>27</v>
      </c>
    </row>
    <row r="59" spans="2:18">
      <c r="B59" s="122" t="s">
        <v>31</v>
      </c>
      <c r="C59" s="188">
        <v>-94.1</v>
      </c>
      <c r="D59" s="187" t="s">
        <v>754</v>
      </c>
      <c r="E59" s="187"/>
      <c r="F59" s="187"/>
      <c r="H59" s="188">
        <f>-94.1+191.2+821.2</f>
        <v>918.30000000000007</v>
      </c>
      <c r="I59" s="187" t="s">
        <v>755</v>
      </c>
      <c r="P59" s="123"/>
    </row>
    <row r="60" spans="2:18">
      <c r="B60" s="125" t="s">
        <v>422</v>
      </c>
      <c r="C60" s="123">
        <f>157-97.2</f>
        <v>59.8</v>
      </c>
      <c r="D60" s="123" t="s">
        <v>753</v>
      </c>
      <c r="E60" s="123"/>
      <c r="F60" s="123"/>
      <c r="H60" s="226">
        <f>157-21.1</f>
        <v>135.9</v>
      </c>
      <c r="I60" s="187" t="s">
        <v>752</v>
      </c>
    </row>
    <row r="62" spans="2:18">
      <c r="B62" s="122" t="s">
        <v>204</v>
      </c>
      <c r="C62" s="122">
        <f>H62</f>
        <v>227.98349999999999</v>
      </c>
      <c r="D62" s="122" t="s">
        <v>751</v>
      </c>
      <c r="H62" s="122">
        <v>227.98349999999999</v>
      </c>
    </row>
    <row r="64" spans="2:18">
      <c r="H64" s="122">
        <f>110.8/48.6</f>
        <v>2.2798353909465021</v>
      </c>
    </row>
    <row r="65" spans="2:10" ht="13.5" thickBot="1"/>
    <row r="66" spans="2:10">
      <c r="B66" s="311" t="s">
        <v>558</v>
      </c>
      <c r="C66" s="312"/>
      <c r="D66" s="240"/>
      <c r="E66" s="241"/>
      <c r="F66" s="242"/>
      <c r="G66" s="242"/>
      <c r="H66" s="243"/>
      <c r="I66" s="244"/>
      <c r="J66" s="245"/>
    </row>
    <row r="67" spans="2:10" ht="13.5" thickBot="1">
      <c r="B67" s="248" t="s">
        <v>275</v>
      </c>
      <c r="C67" s="291"/>
      <c r="D67" s="292"/>
      <c r="E67" s="293"/>
      <c r="F67" s="286"/>
      <c r="G67" s="286"/>
      <c r="H67" s="231"/>
      <c r="J67" s="247"/>
    </row>
    <row r="68" spans="2:10">
      <c r="B68" s="294" t="s">
        <v>557</v>
      </c>
      <c r="C68" s="295" t="s">
        <v>914</v>
      </c>
      <c r="D68" s="296" t="s">
        <v>912</v>
      </c>
      <c r="E68" s="297" t="s">
        <v>758</v>
      </c>
      <c r="F68" s="295" t="s">
        <v>915</v>
      </c>
      <c r="G68" s="298" t="s">
        <v>916</v>
      </c>
      <c r="I68" s="122" t="s">
        <v>552</v>
      </c>
      <c r="J68" s="249" t="s">
        <v>759</v>
      </c>
    </row>
    <row r="69" spans="2:10">
      <c r="B69" s="299" t="s">
        <v>247</v>
      </c>
      <c r="C69" s="215">
        <v>728</v>
      </c>
      <c r="D69" s="139">
        <f>Divisionals!U$7</f>
        <v>728.6</v>
      </c>
      <c r="E69" s="280">
        <f t="shared" ref="E69:E74" si="2">C69/D69-1</f>
        <v>-8.2349711776008583E-4</v>
      </c>
      <c r="F69" s="287"/>
      <c r="G69" s="300"/>
      <c r="I69" s="123" t="e">
        <f>MODEL!#REF!</f>
        <v>#REF!</v>
      </c>
      <c r="J69" s="251" t="e">
        <f>F69/I69-1</f>
        <v>#REF!</v>
      </c>
    </row>
    <row r="70" spans="2:10">
      <c r="B70" s="299" t="s">
        <v>150</v>
      </c>
      <c r="C70" s="215">
        <v>447</v>
      </c>
      <c r="D70" s="139">
        <f>Divisionals!U$8</f>
        <v>447.6</v>
      </c>
      <c r="E70" s="280">
        <f t="shared" si="2"/>
        <v>-1.3404825737265424E-3</v>
      </c>
      <c r="F70" s="287"/>
      <c r="G70" s="300"/>
      <c r="I70" s="123" t="e">
        <f>MODEL!#REF!</f>
        <v>#REF!</v>
      </c>
      <c r="J70" s="251" t="e">
        <f t="shared" ref="J70:J73" si="3">F70/I70-1</f>
        <v>#REF!</v>
      </c>
    </row>
    <row r="71" spans="2:10">
      <c r="B71" s="299" t="s">
        <v>246</v>
      </c>
      <c r="C71" s="215">
        <v>101</v>
      </c>
      <c r="D71" s="139">
        <f>Divisionals!U$9</f>
        <v>101.4</v>
      </c>
      <c r="E71" s="280">
        <f t="shared" si="2"/>
        <v>-3.9447731755424265E-3</v>
      </c>
      <c r="F71" s="287"/>
      <c r="G71" s="300"/>
      <c r="I71" s="123" t="e">
        <f>MODEL!#REF!</f>
        <v>#REF!</v>
      </c>
      <c r="J71" s="251" t="e">
        <f t="shared" si="3"/>
        <v>#REF!</v>
      </c>
    </row>
    <row r="72" spans="2:10">
      <c r="B72" s="299" t="s">
        <v>248</v>
      </c>
      <c r="C72" s="215">
        <v>682</v>
      </c>
      <c r="D72" s="139">
        <f>Divisionals!U$10</f>
        <v>681.9</v>
      </c>
      <c r="E72" s="280">
        <f t="shared" si="2"/>
        <v>1.4664906877848161E-4</v>
      </c>
      <c r="F72" s="287"/>
      <c r="G72" s="301"/>
      <c r="I72" s="123"/>
      <c r="J72" s="251" t="e">
        <f t="shared" si="3"/>
        <v>#DIV/0!</v>
      </c>
    </row>
    <row r="73" spans="2:10">
      <c r="B73" s="302" t="s">
        <v>415</v>
      </c>
      <c r="C73" s="216">
        <v>1958</v>
      </c>
      <c r="D73" s="290">
        <f>Divisionals!U$12</f>
        <v>1958.4</v>
      </c>
      <c r="E73" s="288">
        <f t="shared" si="2"/>
        <v>-2.0424836601307117E-4</v>
      </c>
      <c r="F73" s="289">
        <v>1893</v>
      </c>
      <c r="G73" s="303">
        <f>C73/F73-1</f>
        <v>3.433703116745912E-2</v>
      </c>
      <c r="I73" s="126" t="e">
        <f>SUM(I69:I71)</f>
        <v>#REF!</v>
      </c>
      <c r="J73" s="253" t="e">
        <f t="shared" si="3"/>
        <v>#REF!</v>
      </c>
    </row>
    <row r="74" spans="2:10" ht="13.5" thickBot="1">
      <c r="B74" s="304" t="s">
        <v>917</v>
      </c>
      <c r="C74" s="305">
        <v>215</v>
      </c>
      <c r="D74" s="306">
        <f>MODEL!U$39</f>
        <v>218.3</v>
      </c>
      <c r="E74" s="307">
        <f t="shared" si="2"/>
        <v>-1.5116811726981316E-2</v>
      </c>
      <c r="F74" s="308">
        <v>182</v>
      </c>
      <c r="G74" s="309">
        <f>C74/F74-1</f>
        <v>0.18131868131868134</v>
      </c>
      <c r="J74" s="254"/>
    </row>
    <row r="75" spans="2:10">
      <c r="B75" s="252"/>
      <c r="C75" s="217"/>
      <c r="E75" s="217"/>
      <c r="F75" s="237"/>
      <c r="G75" s="224"/>
      <c r="J75" s="254"/>
    </row>
    <row r="76" spans="2:10">
      <c r="B76" s="250" t="s">
        <v>247</v>
      </c>
      <c r="C76" s="215" t="e">
        <f>IF($D$1="Model",INDEX(Model,$A76,$C$1),#REF!)</f>
        <v>#REF!</v>
      </c>
      <c r="D76" s="123">
        <f>Divisionals!U$33</f>
        <v>115.69999999999999</v>
      </c>
      <c r="E76" s="218" t="e">
        <f t="shared" ref="E76:E81" si="4">C76/D76-1</f>
        <v>#REF!</v>
      </c>
      <c r="F76" s="235">
        <v>100.7</v>
      </c>
      <c r="G76" s="221" t="e">
        <f>F76/#REF!-1</f>
        <v>#REF!</v>
      </c>
      <c r="I76" s="123" t="e">
        <f>MODEL!#REF!</f>
        <v>#REF!</v>
      </c>
      <c r="J76" s="251" t="e">
        <f t="shared" ref="J76:J81" si="5">F76/I76-1</f>
        <v>#REF!</v>
      </c>
    </row>
    <row r="77" spans="2:10">
      <c r="B77" s="250" t="s">
        <v>150</v>
      </c>
      <c r="C77" s="215" t="e">
        <f>IF($D$1="Model",INDEX(Model,$A77,$C$1),#REF!)</f>
        <v>#REF!</v>
      </c>
      <c r="D77" s="123">
        <f>Divisionals!U$34</f>
        <v>35.9</v>
      </c>
      <c r="E77" s="218" t="e">
        <f t="shared" si="4"/>
        <v>#REF!</v>
      </c>
      <c r="F77" s="235">
        <v>31.4</v>
      </c>
      <c r="G77" s="221" t="e">
        <f>F77/#REF!-1</f>
        <v>#REF!</v>
      </c>
      <c r="I77" s="123" t="e">
        <f>MODEL!#REF!</f>
        <v>#REF!</v>
      </c>
      <c r="J77" s="251" t="e">
        <f t="shared" si="5"/>
        <v>#REF!</v>
      </c>
    </row>
    <row r="78" spans="2:10">
      <c r="B78" s="250" t="s">
        <v>246</v>
      </c>
      <c r="C78" s="215" t="e">
        <f>IF($D$1="Model",INDEX(Model,$A78,$C$1),#REF!)</f>
        <v>#REF!</v>
      </c>
      <c r="D78" s="123">
        <f>Divisionals!U$35</f>
        <v>16.5</v>
      </c>
      <c r="E78" s="218" t="e">
        <f t="shared" si="4"/>
        <v>#REF!</v>
      </c>
      <c r="F78" s="235">
        <v>7.8</v>
      </c>
      <c r="G78" s="221" t="e">
        <f>F78/#REF!-1</f>
        <v>#REF!</v>
      </c>
      <c r="I78" s="123" t="e">
        <f>MODEL!#REF!</f>
        <v>#REF!</v>
      </c>
      <c r="J78" s="251" t="e">
        <f t="shared" si="5"/>
        <v>#REF!</v>
      </c>
    </row>
    <row r="79" spans="2:10">
      <c r="B79" s="250" t="s">
        <v>248</v>
      </c>
      <c r="C79" s="215" t="e">
        <f>IF($D$1="Model",INDEX(Model,$A79,$C$1),#REF!)</f>
        <v>#REF!</v>
      </c>
      <c r="D79" s="123">
        <f>Divisionals!U$36</f>
        <v>91.399999999999991</v>
      </c>
      <c r="E79" s="218" t="e">
        <f t="shared" si="4"/>
        <v>#REF!</v>
      </c>
      <c r="F79" s="235">
        <v>84.2</v>
      </c>
      <c r="G79" s="221" t="e">
        <f>F79/#REF!-1</f>
        <v>#REF!</v>
      </c>
      <c r="I79" s="123" t="e">
        <f>MODEL!#REF!</f>
        <v>#REF!</v>
      </c>
      <c r="J79" s="251" t="e">
        <f t="shared" si="5"/>
        <v>#REF!</v>
      </c>
    </row>
    <row r="80" spans="2:10">
      <c r="B80" s="250" t="s">
        <v>72</v>
      </c>
      <c r="C80" s="215" t="e">
        <f>IF($D$1="Model",INDEX(Model,$A80,$C$1),#REF!)</f>
        <v>#REF!</v>
      </c>
      <c r="D80" s="123">
        <f>Divisionals!U$37</f>
        <v>-18.599999999999994</v>
      </c>
      <c r="E80" s="218" t="e">
        <f t="shared" si="4"/>
        <v>#REF!</v>
      </c>
      <c r="F80" s="235">
        <v>-20.6</v>
      </c>
      <c r="G80" s="221" t="e">
        <f>F80/#REF!-1</f>
        <v>#REF!</v>
      </c>
      <c r="I80" s="123" t="e">
        <f>MODEL!#REF!</f>
        <v>#REF!</v>
      </c>
      <c r="J80" s="251" t="e">
        <f t="shared" ref="J80" si="6">F80/I80-1</f>
        <v>#REF!</v>
      </c>
    </row>
    <row r="81" spans="2:10">
      <c r="B81" s="252" t="s">
        <v>140</v>
      </c>
      <c r="C81" s="216" t="e">
        <f>SUM(C76:C79)</f>
        <v>#REF!</v>
      </c>
      <c r="D81" s="126">
        <v>163.86326412889457</v>
      </c>
      <c r="E81" s="233" t="e">
        <f t="shared" si="4"/>
        <v>#REF!</v>
      </c>
      <c r="F81" s="236">
        <f>SUM(F76:F80)</f>
        <v>203.50000000000003</v>
      </c>
      <c r="G81" s="223" t="e">
        <f>F81/#REF!-1</f>
        <v>#REF!</v>
      </c>
      <c r="I81" s="126" t="e">
        <f>SUM(I76:I79)</f>
        <v>#REF!</v>
      </c>
      <c r="J81" s="253" t="e">
        <f t="shared" si="5"/>
        <v>#REF!</v>
      </c>
    </row>
    <row r="82" spans="2:10">
      <c r="B82" s="250"/>
      <c r="C82" s="217"/>
      <c r="E82" s="217"/>
      <c r="F82" s="237"/>
      <c r="G82" s="224"/>
      <c r="J82" s="254"/>
    </row>
    <row r="83" spans="2:10">
      <c r="B83" s="250" t="s">
        <v>416</v>
      </c>
      <c r="C83" s="215"/>
      <c r="D83" s="225"/>
      <c r="E83" s="218"/>
      <c r="F83" s="235">
        <f>IF($D$1="Model",INDEX(Model,$A83,$C$1),$H111)</f>
        <v>0</v>
      </c>
      <c r="G83" s="221" t="e">
        <f>F83/#REF!-1</f>
        <v>#REF!</v>
      </c>
      <c r="I83" s="123"/>
      <c r="J83" s="251" t="e">
        <f>F83/#REF!-1</f>
        <v>#REF!</v>
      </c>
    </row>
    <row r="84" spans="2:10">
      <c r="B84" s="250" t="s">
        <v>417</v>
      </c>
      <c r="C84" s="215"/>
      <c r="D84" s="123"/>
      <c r="E84" s="218"/>
      <c r="F84" s="235">
        <f>IF($D$1="Model",INDEX(Model,$A84,$C$1),$H112)</f>
        <v>0</v>
      </c>
      <c r="G84" s="221" t="e">
        <f>F84/#REF!-1</f>
        <v>#REF!</v>
      </c>
      <c r="I84" s="123"/>
      <c r="J84" s="251" t="e">
        <f>F84/#REF!-1</f>
        <v>#REF!</v>
      </c>
    </row>
    <row r="85" spans="2:10">
      <c r="B85" s="250" t="s">
        <v>93</v>
      </c>
      <c r="C85" s="215" t="e">
        <f>IF($D$1="Model",INDEX(Model,$A85,$C$1),#REF!)</f>
        <v>#REF!</v>
      </c>
      <c r="D85" s="123">
        <v>0</v>
      </c>
      <c r="E85" s="232" t="s">
        <v>589</v>
      </c>
      <c r="F85" s="235">
        <f>IF($D$1="Model",INDEX(Model,$A85,$C$1),$H113)</f>
        <v>214.76</v>
      </c>
      <c r="G85" s="222" t="s">
        <v>589</v>
      </c>
      <c r="I85" s="123"/>
      <c r="J85" s="251" t="s">
        <v>589</v>
      </c>
    </row>
    <row r="86" spans="2:10">
      <c r="B86" s="250"/>
      <c r="C86" s="217"/>
      <c r="E86" s="217"/>
      <c r="F86" s="237"/>
      <c r="G86" s="224"/>
      <c r="J86" s="254"/>
    </row>
    <row r="87" spans="2:10">
      <c r="B87" s="252" t="s">
        <v>586</v>
      </c>
      <c r="C87" s="216" t="e">
        <f>IF($D$1="Model",INDEX(Model,$A87,$C$1),#REF!)</f>
        <v>#REF!</v>
      </c>
      <c r="D87" s="126">
        <v>112.87357115309618</v>
      </c>
      <c r="E87" s="233" t="e">
        <f>C87/D87-1</f>
        <v>#REF!</v>
      </c>
      <c r="F87" s="236" t="e">
        <f>IF($D$1="Model",INDEX(Model,$A87,$C$1),#REF!)</f>
        <v>#REF!</v>
      </c>
      <c r="G87" s="223" t="e">
        <f>F87/#REF!-1</f>
        <v>#REF!</v>
      </c>
      <c r="I87" s="126">
        <f>MODEL!O113</f>
        <v>-10.4</v>
      </c>
      <c r="J87" s="253" t="e">
        <f>F87/I87-1</f>
        <v>#REF!</v>
      </c>
    </row>
    <row r="88" spans="2:10">
      <c r="B88" s="250" t="s">
        <v>419</v>
      </c>
      <c r="C88" s="215"/>
      <c r="D88" s="123"/>
      <c r="E88" s="232"/>
      <c r="F88" s="235" t="e">
        <f>IF($D$1="Model",INDEX(Model,$A88,$C$1),#REF!)</f>
        <v>#REF!</v>
      </c>
      <c r="G88" s="222" t="s">
        <v>589</v>
      </c>
      <c r="I88" s="123"/>
      <c r="J88" s="251"/>
    </row>
    <row r="89" spans="2:10">
      <c r="B89" s="250" t="s">
        <v>420</v>
      </c>
      <c r="C89" s="215"/>
      <c r="D89" s="123"/>
      <c r="E89" s="218"/>
      <c r="F89" s="235" t="e">
        <f>IF($D$1="Model",INDEX(Model,$A89,$C$1),#REF!)</f>
        <v>#REF!</v>
      </c>
      <c r="G89" s="221" t="e">
        <f>F89/#REF!-1</f>
        <v>#REF!</v>
      </c>
      <c r="I89" s="123"/>
      <c r="J89" s="251"/>
    </row>
    <row r="90" spans="2:10">
      <c r="B90" s="250"/>
      <c r="C90" s="217"/>
      <c r="E90" s="217"/>
      <c r="F90" s="237"/>
      <c r="G90" s="224"/>
      <c r="J90" s="254"/>
    </row>
    <row r="91" spans="2:10">
      <c r="B91" s="252" t="s">
        <v>421</v>
      </c>
      <c r="C91" s="216" t="e">
        <f>IF($D$1="Model",INDEX(Model,$A91,$C$1),#REF!)</f>
        <v>#REF!</v>
      </c>
      <c r="D91" s="126">
        <v>49.538343166537466</v>
      </c>
      <c r="E91" s="233" t="e">
        <f>C91/D91-1</f>
        <v>#REF!</v>
      </c>
      <c r="F91" s="236">
        <f>IF($D$1="Model",INDEX(Model,$A91,$C$1),$H128)</f>
        <v>133.69999999999999</v>
      </c>
      <c r="G91" s="223" t="e">
        <f>F91/#REF!-1</f>
        <v>#REF!</v>
      </c>
      <c r="I91" s="126">
        <f>MODEL!O122</f>
        <v>-250</v>
      </c>
      <c r="J91" s="253">
        <f>F91/I91-1</f>
        <v>-1.5347999999999999</v>
      </c>
    </row>
    <row r="92" spans="2:10">
      <c r="B92" s="262" t="str">
        <f>IF(IFERROR(VALUE(LEFT(B63,4)),"Interim")="Interim","Interim","Final")&amp;" DPS (A¢)"</f>
        <v>Interim DPS (A¢)</v>
      </c>
      <c r="C92" s="256" t="e">
        <f>IF($D$1="Model",IF(LEFT(B92,5)="Final",INDEX(Model,$A92,$C$1),INDEX(Model,$A93,$C$1)),#REF!)</f>
        <v>#REF!</v>
      </c>
      <c r="D92" s="263">
        <v>28.072386329648889</v>
      </c>
      <c r="E92" s="264" t="e">
        <f>C92/D92-1</f>
        <v>#REF!</v>
      </c>
      <c r="F92" s="265" t="e">
        <f>C92</f>
        <v>#REF!</v>
      </c>
      <c r="G92" s="266" t="e">
        <f>F92/#REF!-1</f>
        <v>#REF!</v>
      </c>
      <c r="I92" s="263">
        <f>MODEL!O136</f>
        <v>3.1</v>
      </c>
      <c r="J92" s="267" t="e">
        <f>F92/I92-1</f>
        <v>#REF!</v>
      </c>
    </row>
    <row r="93" spans="2:10">
      <c r="B93" s="250"/>
      <c r="C93" s="217"/>
      <c r="D93" s="123"/>
      <c r="E93" s="217"/>
      <c r="F93" s="237"/>
      <c r="G93" s="224"/>
      <c r="J93" s="254"/>
    </row>
    <row r="94" spans="2:10">
      <c r="B94" s="250" t="s">
        <v>31</v>
      </c>
      <c r="C94" s="215" t="e">
        <f>IF($D$1="Model",INDEX(Model,$A94,$C$1),#REF!)</f>
        <v>#REF!</v>
      </c>
      <c r="D94" s="123">
        <v>-405.8856418647257</v>
      </c>
      <c r="E94" s="218" t="e">
        <f>C94/D94-1</f>
        <v>#REF!</v>
      </c>
      <c r="F94" s="235">
        <f>IF($D$1="Model",INDEX(Model,$A94,$C$1)+INDEX(Model,ROW(MODEL!B220),$C$1)+INDEX(Model,ROW(MODEL!B228),$C$1),$H138)</f>
        <v>0</v>
      </c>
      <c r="G94" s="221" t="e">
        <f>F94/#REF!-1</f>
        <v>#REF!</v>
      </c>
      <c r="I94" s="123">
        <f>-MODEL!O212+MODEL!O219+MODEL!O220+MODEL!O228</f>
        <v>15.900000000000006</v>
      </c>
      <c r="J94" s="251">
        <f>F94/I94-1</f>
        <v>-1</v>
      </c>
    </row>
    <row r="95" spans="2:10">
      <c r="B95" s="255" t="s">
        <v>422</v>
      </c>
      <c r="C95" s="256" t="e">
        <f>IF($D$1="Model",INDEX(Model,$A95,$C$1)+INDEX(Model,ROW(MODEL!B186),$C$1),#REF!)</f>
        <v>#REF!</v>
      </c>
      <c r="D95" s="257">
        <v>292.60486621821229</v>
      </c>
      <c r="E95" s="258" t="e">
        <f>C95/D95-1</f>
        <v>#REF!</v>
      </c>
      <c r="F95" s="259">
        <f>IF($D$1="Model",INDEX(Model,$A95,$C$1),$H132)</f>
        <v>0</v>
      </c>
      <c r="G95" s="260" t="e">
        <f>F95/#REF!-1</f>
        <v>#REF!</v>
      </c>
      <c r="I95" s="257">
        <f>MODEL!O173</f>
        <v>1114.3999999999999</v>
      </c>
      <c r="J95" s="261">
        <f>F95/I95-1</f>
        <v>-1</v>
      </c>
    </row>
    <row r="97" spans="2:18">
      <c r="D97" s="377" t="e">
        <f>#REF!-64.1</f>
        <v>#REF!</v>
      </c>
      <c r="E97" s="122" t="e">
        <f>D106/D97-1</f>
        <v>#REF!</v>
      </c>
    </row>
    <row r="98" spans="2:18" ht="13.5" thickBot="1">
      <c r="B98" s="122" t="s">
        <v>918</v>
      </c>
    </row>
    <row r="99" spans="2:18">
      <c r="B99" s="313"/>
      <c r="C99" s="1399" t="s">
        <v>274</v>
      </c>
      <c r="D99" s="1399"/>
      <c r="E99" s="1399"/>
      <c r="F99" s="1399" t="s">
        <v>919</v>
      </c>
      <c r="G99" s="1399"/>
      <c r="H99" s="1400" t="s">
        <v>920</v>
      </c>
      <c r="I99" s="1401"/>
      <c r="J99" s="378"/>
      <c r="K99" s="378"/>
      <c r="L99" s="378"/>
      <c r="M99" s="1400" t="s">
        <v>920</v>
      </c>
      <c r="N99" s="1401"/>
      <c r="P99" s="338"/>
    </row>
    <row r="100" spans="2:18" ht="25.5">
      <c r="B100" s="314" t="s">
        <v>557</v>
      </c>
      <c r="C100" s="315" t="s">
        <v>734</v>
      </c>
      <c r="D100" s="315" t="s">
        <v>895</v>
      </c>
      <c r="E100" s="315" t="s">
        <v>958</v>
      </c>
      <c r="F100" s="315" t="s">
        <v>895</v>
      </c>
      <c r="G100" s="315" t="s">
        <v>959</v>
      </c>
      <c r="H100" s="315" t="s">
        <v>960</v>
      </c>
      <c r="I100" s="316" t="s">
        <v>961</v>
      </c>
      <c r="J100" s="315" t="s">
        <v>934</v>
      </c>
      <c r="K100" s="315" t="s">
        <v>930</v>
      </c>
      <c r="L100" s="315" t="s">
        <v>933</v>
      </c>
      <c r="M100" s="315" t="s">
        <v>931</v>
      </c>
      <c r="N100" s="316" t="s">
        <v>932</v>
      </c>
    </row>
    <row r="101" spans="2:18" outlineLevel="1">
      <c r="B101" s="317" t="s">
        <v>921</v>
      </c>
      <c r="C101" s="348"/>
      <c r="E101" s="217"/>
      <c r="F101" s="348"/>
      <c r="G101" s="217"/>
      <c r="H101" s="349"/>
      <c r="I101" s="383"/>
      <c r="J101" s="336"/>
      <c r="K101" s="349"/>
      <c r="L101" s="346"/>
      <c r="M101" s="349"/>
      <c r="N101" s="339"/>
    </row>
    <row r="102" spans="2:18" outlineLevel="1">
      <c r="B102" s="299" t="s">
        <v>247</v>
      </c>
      <c r="C102" s="350">
        <f>Divisionals!U$7</f>
        <v>728.6</v>
      </c>
      <c r="D102" s="348">
        <v>759.7</v>
      </c>
      <c r="E102" s="336">
        <f t="shared" ref="E102:E113" si="7">IFERROR(D102/C102-1,"")</f>
        <v>4.2684600603897893E-2</v>
      </c>
      <c r="F102" s="348">
        <v>760.32555473444609</v>
      </c>
      <c r="G102" s="336">
        <f>D102/F102-1</f>
        <v>-8.2274590213471388E-4</v>
      </c>
      <c r="H102" s="349"/>
      <c r="I102" s="383" t="str">
        <f>IFERROR(#REF!/H102-1,"")</f>
        <v/>
      </c>
      <c r="J102" s="336" t="str">
        <f>IFERROR(#REF!/I102-1,"")</f>
        <v/>
      </c>
      <c r="K102" s="349">
        <v>1466.6643548780501</v>
      </c>
      <c r="L102" s="346">
        <f t="shared" ref="L102:L113" si="8">IFERROR(D102/K102-1,"")</f>
        <v>-0.48202191082555668</v>
      </c>
      <c r="M102" s="349"/>
      <c r="N102" s="339" t="str">
        <f>IFERROR(D102/M102-1,"")</f>
        <v/>
      </c>
      <c r="R102" s="327">
        <f>Divisionals!S$7</f>
        <v>723.69999999999993</v>
      </c>
    </row>
    <row r="103" spans="2:18" outlineLevel="1">
      <c r="B103" s="299" t="s">
        <v>150</v>
      </c>
      <c r="C103" s="351">
        <f>Divisionals!U$8</f>
        <v>447.6</v>
      </c>
      <c r="D103" s="349">
        <v>483.7</v>
      </c>
      <c r="E103" s="336">
        <f t="shared" si="7"/>
        <v>8.0652368185880174E-2</v>
      </c>
      <c r="F103" s="349">
        <v>483.8851687272728</v>
      </c>
      <c r="G103" s="336">
        <f t="shared" ref="G103:G113" si="9">D103/F103-1</f>
        <v>-3.8267080547194077E-4</v>
      </c>
      <c r="H103" s="349"/>
      <c r="I103" s="383" t="str">
        <f>IFERROR(#REF!/H103-1,"")</f>
        <v/>
      </c>
      <c r="J103" s="336" t="str">
        <f>IFERROR(#REF!/I103-1,"")</f>
        <v/>
      </c>
      <c r="K103" s="349">
        <v>877.12783391003472</v>
      </c>
      <c r="L103" s="346">
        <f t="shared" si="8"/>
        <v>-0.44854104350585211</v>
      </c>
      <c r="M103" s="349"/>
      <c r="N103" s="339" t="str">
        <f>IFERROR(D103/M103-1,"")</f>
        <v/>
      </c>
      <c r="R103" s="328">
        <f>Divisionals!S$8</f>
        <v>411.20000000000005</v>
      </c>
    </row>
    <row r="104" spans="2:18" outlineLevel="1">
      <c r="B104" s="299" t="s">
        <v>246</v>
      </c>
      <c r="C104" s="351">
        <f>Divisionals!U$9</f>
        <v>101.4</v>
      </c>
      <c r="D104" s="349">
        <v>103.6</v>
      </c>
      <c r="E104" s="336">
        <f t="shared" si="7"/>
        <v>2.1696252465483123E-2</v>
      </c>
      <c r="F104" s="349">
        <v>105.05511627906976</v>
      </c>
      <c r="G104" s="336">
        <f t="shared" si="9"/>
        <v>-1.3850979662945462E-2</v>
      </c>
      <c r="H104" s="349"/>
      <c r="I104" s="383" t="str">
        <f>IFERROR(#REF!/H104-1,"")</f>
        <v/>
      </c>
      <c r="J104" s="336" t="str">
        <f>IFERROR(#REF!/I104-1,"")</f>
        <v/>
      </c>
      <c r="K104" s="349">
        <v>229.45257739130443</v>
      </c>
      <c r="L104" s="346">
        <f t="shared" si="8"/>
        <v>-0.54849058059033107</v>
      </c>
      <c r="M104" s="349"/>
      <c r="N104" s="339" t="str">
        <f>IFERROR(D104/M104-1,"")</f>
        <v/>
      </c>
      <c r="R104" s="328">
        <f>Divisionals!S$9</f>
        <v>111.20000000000002</v>
      </c>
    </row>
    <row r="105" spans="2:18" outlineLevel="1">
      <c r="B105" s="299" t="s">
        <v>248</v>
      </c>
      <c r="C105" s="351">
        <f>Divisionals!U$10</f>
        <v>681.9</v>
      </c>
      <c r="D105" s="349">
        <v>672.9</v>
      </c>
      <c r="E105" s="336">
        <f t="shared" si="7"/>
        <v>-1.3198416190057238E-2</v>
      </c>
      <c r="F105" s="349">
        <v>673.20117767419356</v>
      </c>
      <c r="G105" s="336">
        <f t="shared" si="9"/>
        <v>-4.4738138342848011E-4</v>
      </c>
      <c r="H105" s="349"/>
      <c r="I105" s="383" t="str">
        <f>IFERROR(#REF!/H105-1,"")</f>
        <v/>
      </c>
      <c r="J105" s="336" t="str">
        <f>IFERROR(#REF!/I105-1,"")</f>
        <v/>
      </c>
      <c r="K105" s="349">
        <v>1310.8436477922078</v>
      </c>
      <c r="L105" s="346">
        <f t="shared" si="8"/>
        <v>-0.486666467710826</v>
      </c>
      <c r="M105" s="349"/>
      <c r="N105" s="339" t="str">
        <f>IFERROR(D105/M105-1,"")</f>
        <v/>
      </c>
      <c r="R105" s="328">
        <f>Divisionals!S$10</f>
        <v>606.49999999999989</v>
      </c>
    </row>
    <row r="106" spans="2:18" outlineLevel="1">
      <c r="B106" s="302" t="s">
        <v>415</v>
      </c>
      <c r="C106" s="352">
        <f>Divisionals!U$12</f>
        <v>1958.4</v>
      </c>
      <c r="D106" s="353">
        <v>2024</v>
      </c>
      <c r="E106" s="354">
        <f t="shared" si="7"/>
        <v>3.3496732026143672E-2</v>
      </c>
      <c r="F106" s="353">
        <v>2022.4670174149821</v>
      </c>
      <c r="G106" s="354">
        <f t="shared" si="9"/>
        <v>7.5797655626397287E-4</v>
      </c>
      <c r="H106" s="353">
        <v>2006.3</v>
      </c>
      <c r="I106" s="384">
        <f>D106/H106-1</f>
        <v>8.8222100383790192E-3</v>
      </c>
      <c r="J106" s="354" t="str">
        <f>IFERROR(#REF!/I106-1,"")</f>
        <v/>
      </c>
      <c r="K106" s="353">
        <v>3884.0884139715963</v>
      </c>
      <c r="L106" s="355">
        <f t="shared" si="8"/>
        <v>-0.47889960673413212</v>
      </c>
      <c r="M106" s="353">
        <f>'Vs. Consensus'!D3</f>
        <v>3890.9879999999998</v>
      </c>
      <c r="N106" s="340">
        <f>IFERROR(D106/M106-1,"")</f>
        <v>-0.47982363348332091</v>
      </c>
      <c r="R106" s="329">
        <f>Divisionals!S$12</f>
        <v>1845.8</v>
      </c>
    </row>
    <row r="107" spans="2:18" outlineLevel="1">
      <c r="B107" s="299"/>
      <c r="C107" s="356"/>
      <c r="D107" s="356"/>
      <c r="E107" s="336" t="str">
        <f t="shared" si="7"/>
        <v/>
      </c>
      <c r="F107" s="356"/>
      <c r="G107" s="336"/>
      <c r="H107" s="356"/>
      <c r="I107" s="383" t="str">
        <f>IFERROR(#REF!/F107-1,"")</f>
        <v/>
      </c>
      <c r="J107" s="336" t="str">
        <f>IFERROR(#REF!/I107-1,"")</f>
        <v/>
      </c>
      <c r="K107" s="356"/>
      <c r="L107" s="346" t="str">
        <f t="shared" si="8"/>
        <v/>
      </c>
      <c r="M107" s="356"/>
      <c r="N107" s="339" t="str">
        <f>IFERROR(D107/K107-1,"")</f>
        <v/>
      </c>
      <c r="R107" s="330"/>
    </row>
    <row r="108" spans="2:18" outlineLevel="1">
      <c r="B108" s="299" t="s">
        <v>247</v>
      </c>
      <c r="C108" s="356">
        <f>Divisionals!U$33</f>
        <v>115.69999999999999</v>
      </c>
      <c r="D108" s="356">
        <v>116.1</v>
      </c>
      <c r="E108" s="336">
        <f t="shared" si="7"/>
        <v>3.4572169403630504E-3</v>
      </c>
      <c r="F108" s="356">
        <v>118.02863447111635</v>
      </c>
      <c r="G108" s="336">
        <f t="shared" si="9"/>
        <v>-1.6340394682684556E-2</v>
      </c>
      <c r="H108" s="356"/>
      <c r="I108" s="383" t="str">
        <f>IFERROR(#REF!/H108-1,"")</f>
        <v/>
      </c>
      <c r="J108" s="336" t="str">
        <f>IFERROR(#REF!/I108-1,"")</f>
        <v/>
      </c>
      <c r="K108" s="356">
        <v>209.7330027475611</v>
      </c>
      <c r="L108" s="346">
        <f t="shared" si="8"/>
        <v>-0.44643905117908267</v>
      </c>
      <c r="M108" s="356"/>
      <c r="N108" s="339" t="str">
        <f t="shared" ref="N108:N113" si="10">IFERROR(D108/M108-1,"")</f>
        <v/>
      </c>
      <c r="R108" s="330">
        <f>Divisionals!S$33</f>
        <v>107.69999999999999</v>
      </c>
    </row>
    <row r="109" spans="2:18" outlineLevel="1">
      <c r="B109" s="299" t="s">
        <v>150</v>
      </c>
      <c r="C109" s="356">
        <f>Divisionals!U$34</f>
        <v>35.9</v>
      </c>
      <c r="D109" s="356">
        <v>46.9</v>
      </c>
      <c r="E109" s="336">
        <f t="shared" si="7"/>
        <v>0.30640668523676884</v>
      </c>
      <c r="F109" s="356">
        <v>39.678583835636353</v>
      </c>
      <c r="G109" s="336">
        <f t="shared" si="9"/>
        <v>0.18199783022190186</v>
      </c>
      <c r="H109" s="356"/>
      <c r="I109" s="383" t="str">
        <f>IFERROR(#REF!/H109-1,"")</f>
        <v/>
      </c>
      <c r="J109" s="336" t="str">
        <f>IFERROR(#REF!/I109-1,"")</f>
        <v/>
      </c>
      <c r="K109" s="356">
        <v>51.750542200692095</v>
      </c>
      <c r="L109" s="346">
        <f t="shared" si="8"/>
        <v>-9.372930204057317E-2</v>
      </c>
      <c r="M109" s="356"/>
      <c r="N109" s="339" t="str">
        <f t="shared" si="10"/>
        <v/>
      </c>
      <c r="R109" s="330">
        <f>Divisionals!S$34</f>
        <v>33.300000000000011</v>
      </c>
    </row>
    <row r="110" spans="2:18" outlineLevel="1">
      <c r="B110" s="299" t="s">
        <v>246</v>
      </c>
      <c r="C110" s="356">
        <f>Divisionals!U$35</f>
        <v>16.5</v>
      </c>
      <c r="D110" s="356">
        <v>9.1999999999999993</v>
      </c>
      <c r="E110" s="336">
        <f t="shared" si="7"/>
        <v>-0.4424242424242425</v>
      </c>
      <c r="F110" s="356">
        <v>10.505511627906976</v>
      </c>
      <c r="G110" s="336">
        <f t="shared" si="9"/>
        <v>-0.12426920973929523</v>
      </c>
      <c r="H110" s="356"/>
      <c r="I110" s="383" t="str">
        <f>IFERROR(#REF!/H110-1,"")</f>
        <v/>
      </c>
      <c r="J110" s="336" t="str">
        <f>IFERROR(#REF!/I110-1,"")</f>
        <v/>
      </c>
      <c r="K110" s="356">
        <v>32.12336083478263</v>
      </c>
      <c r="L110" s="346">
        <f t="shared" si="8"/>
        <v>-0.71360406380522945</v>
      </c>
      <c r="M110" s="356"/>
      <c r="N110" s="339" t="str">
        <f t="shared" si="10"/>
        <v/>
      </c>
      <c r="R110" s="330">
        <f>Divisionals!S$35</f>
        <v>20.8</v>
      </c>
    </row>
    <row r="111" spans="2:18" outlineLevel="1">
      <c r="B111" s="299" t="s">
        <v>248</v>
      </c>
      <c r="C111" s="356">
        <f>Divisionals!U$36</f>
        <v>91.399999999999991</v>
      </c>
      <c r="D111" s="356">
        <v>74.2</v>
      </c>
      <c r="E111" s="336">
        <f t="shared" si="7"/>
        <v>-0.18818380743982488</v>
      </c>
      <c r="F111" s="356">
        <v>76.744934254858066</v>
      </c>
      <c r="G111" s="336">
        <f t="shared" si="9"/>
        <v>-3.3160941234332553E-2</v>
      </c>
      <c r="H111" s="356"/>
      <c r="I111" s="383" t="str">
        <f>IFERROR(#REF!/H111-1,"")</f>
        <v/>
      </c>
      <c r="J111" s="336" t="str">
        <f>IFERROR(#REF!/I111-1,"")</f>
        <v/>
      </c>
      <c r="K111" s="356">
        <v>161.3300190576623</v>
      </c>
      <c r="L111" s="346">
        <f t="shared" si="8"/>
        <v>-0.54007319633750517</v>
      </c>
      <c r="M111" s="356"/>
      <c r="N111" s="339" t="str">
        <f t="shared" si="10"/>
        <v/>
      </c>
      <c r="R111" s="330">
        <f>Divisionals!S$36</f>
        <v>80.800000000000011</v>
      </c>
    </row>
    <row r="112" spans="2:18" outlineLevel="1">
      <c r="B112" s="299" t="s">
        <v>72</v>
      </c>
      <c r="C112" s="356">
        <f>Divisionals!U$37</f>
        <v>-18.599999999999994</v>
      </c>
      <c r="D112" s="356">
        <v>-13</v>
      </c>
      <c r="E112" s="336">
        <f t="shared" si="7"/>
        <v>-0.30107526881720403</v>
      </c>
      <c r="F112" s="356">
        <v>-21.5</v>
      </c>
      <c r="G112" s="336">
        <f t="shared" si="9"/>
        <v>-0.39534883720930236</v>
      </c>
      <c r="H112" s="356"/>
      <c r="I112" s="383" t="str">
        <f>IFERROR(#REF!/H112-1,"")</f>
        <v/>
      </c>
      <c r="J112" s="336" t="str">
        <f>IFERROR(#REF!/I112-1,"")</f>
        <v/>
      </c>
      <c r="K112" s="356">
        <v>-44</v>
      </c>
      <c r="L112" s="346">
        <f t="shared" si="8"/>
        <v>-0.70454545454545459</v>
      </c>
      <c r="M112" s="356"/>
      <c r="N112" s="339" t="str">
        <f t="shared" si="10"/>
        <v/>
      </c>
      <c r="R112" s="330">
        <f>Divisionals!S$37</f>
        <v>-28.800000000000011</v>
      </c>
    </row>
    <row r="113" spans="2:18" outlineLevel="1">
      <c r="B113" s="302" t="s">
        <v>140</v>
      </c>
      <c r="C113" s="357">
        <f>Divisionals!U38</f>
        <v>240.9</v>
      </c>
      <c r="D113" s="357">
        <f>SUM(D108:D112)</f>
        <v>233.39999999999998</v>
      </c>
      <c r="E113" s="354">
        <f t="shared" si="7"/>
        <v>-3.1133250311332628E-2</v>
      </c>
      <c r="F113" s="357">
        <v>223.45766418951774</v>
      </c>
      <c r="G113" s="354">
        <f t="shared" si="9"/>
        <v>4.449315196479442E-2</v>
      </c>
      <c r="H113" s="357">
        <v>214.76</v>
      </c>
      <c r="I113" s="384">
        <f t="shared" ref="I113:I128" si="11">D113/H113-1</f>
        <v>8.6794561370832524E-2</v>
      </c>
      <c r="J113" s="354" t="str">
        <f>IFERROR(#REF!/I113-1,"")</f>
        <v/>
      </c>
      <c r="K113" s="357">
        <v>410.93692484069811</v>
      </c>
      <c r="L113" s="355">
        <f t="shared" si="8"/>
        <v>-0.4320296233041635</v>
      </c>
      <c r="M113" s="357">
        <f>'Vs. Consensus'!D7</f>
        <v>395.96947999999998</v>
      </c>
      <c r="N113" s="340">
        <f t="shared" si="10"/>
        <v>-0.41056063209720106</v>
      </c>
      <c r="R113" s="331">
        <f>Divisionals!S38</f>
        <v>213.8</v>
      </c>
    </row>
    <row r="114" spans="2:18" outlineLevel="1">
      <c r="B114" s="302"/>
      <c r="C114" s="356"/>
      <c r="D114" s="356"/>
      <c r="E114" s="217"/>
      <c r="F114" s="356"/>
      <c r="G114" s="217"/>
      <c r="H114" s="356"/>
      <c r="I114" s="383"/>
      <c r="J114" s="336"/>
      <c r="K114" s="356"/>
      <c r="L114" s="346"/>
      <c r="M114" s="356"/>
      <c r="N114" s="339"/>
      <c r="R114" s="330"/>
    </row>
    <row r="115" spans="2:18" outlineLevel="1">
      <c r="B115" s="319" t="s">
        <v>247</v>
      </c>
      <c r="C115" s="358">
        <f t="shared" ref="C115:D118" si="12">C108/C102</f>
        <v>0.15879769420807024</v>
      </c>
      <c r="D115" s="358">
        <f t="shared" si="12"/>
        <v>0.15282348295379752</v>
      </c>
      <c r="E115" s="359" t="str">
        <f>TEXT((D115-C115)*10000,"0.0")&amp;" bp"</f>
        <v>-59.7 bp</v>
      </c>
      <c r="F115" s="358">
        <v>0.15523433841749465</v>
      </c>
      <c r="G115" s="359" t="str">
        <f>TEXT((D115-F115)*10000,"0.0")&amp;" bp"</f>
        <v>-24.1 bp</v>
      </c>
      <c r="H115" s="362"/>
      <c r="I115" s="383"/>
      <c r="J115" s="359" t="e">
        <f>TEXT((#REF!-I115)*10000,"0.0")&amp;" bp"</f>
        <v>#REF!</v>
      </c>
      <c r="K115" s="361">
        <v>0.14299999999999999</v>
      </c>
      <c r="L115" s="360" t="str">
        <f>TEXT((D115-K115)*10000,"0.0")&amp;" bp"</f>
        <v>98.2 bp</v>
      </c>
      <c r="M115" s="362"/>
      <c r="N115" s="339" t="str">
        <f>IFERROR(D115/M115-1,"")</f>
        <v/>
      </c>
      <c r="R115" s="320">
        <f t="shared" ref="R115" si="13">R108/R102</f>
        <v>0.14881857123117315</v>
      </c>
    </row>
    <row r="116" spans="2:18" outlineLevel="1">
      <c r="B116" s="319" t="s">
        <v>150</v>
      </c>
      <c r="C116" s="358">
        <f t="shared" si="12"/>
        <v>8.0205540661304725E-2</v>
      </c>
      <c r="D116" s="358">
        <f t="shared" si="12"/>
        <v>9.6960926193921854E-2</v>
      </c>
      <c r="E116" s="359" t="str">
        <f>TEXT((D116-C116)*10000,"0.0")&amp;" bp"</f>
        <v>167.6 bp</v>
      </c>
      <c r="F116" s="358">
        <v>8.1999999999999962E-2</v>
      </c>
      <c r="G116" s="359" t="str">
        <f t="shared" ref="G116:G119" si="14">TEXT((D116-F116)*10000,"0.0")&amp;" bp"</f>
        <v>149.6 bp</v>
      </c>
      <c r="H116" s="362"/>
      <c r="I116" s="383"/>
      <c r="J116" s="359" t="e">
        <f>TEXT((#REF!-I116)*10000,"0.0")&amp;" bp"</f>
        <v>#REF!</v>
      </c>
      <c r="K116" s="361">
        <v>5.9000000000000052E-2</v>
      </c>
      <c r="L116" s="360" t="str">
        <f>TEXT((D116-K116)*10000,"0.0")&amp;" bp"</f>
        <v>379.6 bp</v>
      </c>
      <c r="M116" s="362"/>
      <c r="N116" s="339" t="str">
        <f>IFERROR(D116/M116-1,"")</f>
        <v/>
      </c>
      <c r="R116" s="320">
        <f t="shared" ref="R116" si="15">R109/R103</f>
        <v>8.0982490272373558E-2</v>
      </c>
    </row>
    <row r="117" spans="2:18" outlineLevel="1">
      <c r="B117" s="319" t="s">
        <v>246</v>
      </c>
      <c r="C117" s="358">
        <f t="shared" si="12"/>
        <v>0.16272189349112426</v>
      </c>
      <c r="D117" s="358">
        <f t="shared" si="12"/>
        <v>8.8803088803088806E-2</v>
      </c>
      <c r="E117" s="359" t="str">
        <f>TEXT((D117-C117)*10000,"0.0")&amp;" bp"</f>
        <v>-739.2 bp</v>
      </c>
      <c r="F117" s="358">
        <v>0.1</v>
      </c>
      <c r="G117" s="359" t="str">
        <f t="shared" si="14"/>
        <v>-112.0 bp</v>
      </c>
      <c r="H117" s="362"/>
      <c r="I117" s="383"/>
      <c r="J117" s="359" t="e">
        <f>TEXT((#REF!-I117)*10000,"0.0")&amp;" bp"</f>
        <v>#REF!</v>
      </c>
      <c r="K117" s="361">
        <v>0.14000000000000004</v>
      </c>
      <c r="L117" s="360" t="str">
        <f>TEXT((D117-K117)*10000,"0.0")&amp;" bp"</f>
        <v>-512.0 bp</v>
      </c>
      <c r="M117" s="362"/>
      <c r="N117" s="339" t="str">
        <f>IFERROR(D117/M117-1,"")</f>
        <v/>
      </c>
      <c r="R117" s="320">
        <f t="shared" ref="R117" si="16">R110/R104</f>
        <v>0.18705035971223019</v>
      </c>
    </row>
    <row r="118" spans="2:18" outlineLevel="1">
      <c r="B118" s="319" t="s">
        <v>248</v>
      </c>
      <c r="C118" s="358">
        <f t="shared" si="12"/>
        <v>0.13403724886346971</v>
      </c>
      <c r="D118" s="358">
        <f t="shared" si="12"/>
        <v>0.11026898499034032</v>
      </c>
      <c r="E118" s="359" t="str">
        <f>TEXT((D118-C118)*10000,"0.0")&amp;" bp"</f>
        <v>-237.7 bp</v>
      </c>
      <c r="F118" s="358">
        <v>0.114</v>
      </c>
      <c r="G118" s="359" t="str">
        <f t="shared" si="14"/>
        <v>-37.3 bp</v>
      </c>
      <c r="H118" s="362"/>
      <c r="I118" s="383"/>
      <c r="J118" s="359" t="e">
        <f>TEXT((#REF!-I118)*10000,"0.0")&amp;" bp"</f>
        <v>#REF!</v>
      </c>
      <c r="K118" s="361">
        <v>0.12307342628495996</v>
      </c>
      <c r="L118" s="360" t="str">
        <f>TEXT((D118-K118)*10000,"0.0")&amp;" bp"</f>
        <v>-128.0 bp</v>
      </c>
      <c r="M118" s="362"/>
      <c r="N118" s="339" t="str">
        <f>IFERROR(D118/M118-1,"")</f>
        <v/>
      </c>
      <c r="R118" s="320">
        <f t="shared" ref="R118" si="17">R111/R105</f>
        <v>0.13322341302555651</v>
      </c>
    </row>
    <row r="119" spans="2:18" outlineLevel="1">
      <c r="B119" s="322" t="s">
        <v>922</v>
      </c>
      <c r="C119" s="363">
        <f>C113/C106</f>
        <v>0.12300857843137254</v>
      </c>
      <c r="D119" s="363">
        <f>D113/D106</f>
        <v>0.11531620553359682</v>
      </c>
      <c r="E119" s="364" t="str">
        <f>TEXT((D119-C119)*10000,"0.0")&amp;" bp"</f>
        <v>-76.9 bp</v>
      </c>
      <c r="F119" s="363">
        <v>0.1104876679151635</v>
      </c>
      <c r="G119" s="364" t="str">
        <f t="shared" si="14"/>
        <v>48.3 bp</v>
      </c>
      <c r="H119" s="366">
        <f>H113/H106</f>
        <v>0.10704281513233314</v>
      </c>
      <c r="I119" s="384">
        <f t="shared" si="11"/>
        <v>7.7290478497184401E-2</v>
      </c>
      <c r="J119" s="364" t="e">
        <f>TEXT((#REF!-I119)*10000,"0.0")&amp;" bp"</f>
        <v>#REF!</v>
      </c>
      <c r="K119" s="366">
        <v>0.1058000954258667</v>
      </c>
      <c r="L119" s="365" t="str">
        <f>TEXT((D119-K119)*10000,"0.0")&amp;" bp"</f>
        <v>95.2 bp</v>
      </c>
      <c r="M119" s="366">
        <f>M113/M106</f>
        <v>0.10176579316101721</v>
      </c>
      <c r="N119" s="339"/>
      <c r="R119" s="323">
        <f t="shared" ref="R119" si="18">R113/R106</f>
        <v>0.11583053418571894</v>
      </c>
    </row>
    <row r="120" spans="2:18" outlineLevel="1">
      <c r="B120" s="302"/>
      <c r="C120" s="357"/>
      <c r="D120" s="357"/>
      <c r="E120" s="217"/>
      <c r="F120" s="357"/>
      <c r="G120" s="217"/>
      <c r="H120" s="357"/>
      <c r="I120" s="383"/>
      <c r="J120" s="336"/>
      <c r="K120" s="357"/>
      <c r="L120" s="346"/>
      <c r="M120" s="357"/>
      <c r="N120" s="339" t="str">
        <f>IFERROR(D120/M120-1,"")</f>
        <v/>
      </c>
      <c r="R120" s="331"/>
    </row>
    <row r="121" spans="2:18">
      <c r="B121" s="317" t="s">
        <v>157</v>
      </c>
      <c r="C121" s="335"/>
      <c r="D121" s="335"/>
      <c r="E121" s="217"/>
      <c r="F121" s="335"/>
      <c r="G121" s="217"/>
      <c r="H121" s="345"/>
      <c r="I121" s="383"/>
      <c r="J121" s="336"/>
      <c r="K121" s="345"/>
      <c r="L121" s="346"/>
      <c r="M121" s="345"/>
      <c r="N121" s="339" t="str">
        <f>IFERROR(D121/M121-1,"")</f>
        <v/>
      </c>
      <c r="R121" s="324"/>
    </row>
    <row r="122" spans="2:18">
      <c r="B122" s="299" t="s">
        <v>923</v>
      </c>
      <c r="C122" s="367">
        <f>Divisionals!U$12</f>
        <v>1958.4</v>
      </c>
      <c r="D122" s="367">
        <f>D106</f>
        <v>2024</v>
      </c>
      <c r="E122" s="336">
        <f t="shared" ref="E122:E133" si="19">IFERROR(D122/C122-1,"")</f>
        <v>3.3496732026143672E-2</v>
      </c>
      <c r="F122" s="367">
        <v>2022.4670174149821</v>
      </c>
      <c r="G122" s="336">
        <f t="shared" ref="G122:G133" si="20">D122/F122-1</f>
        <v>7.5797655626397287E-4</v>
      </c>
      <c r="H122" s="367">
        <f>H106</f>
        <v>2006.3</v>
      </c>
      <c r="I122" s="383">
        <f t="shared" si="11"/>
        <v>8.8222100383790192E-3</v>
      </c>
      <c r="J122" s="336" t="str">
        <f>IFERROR(#REF!/I122-1,"")</f>
        <v/>
      </c>
      <c r="K122" s="367">
        <v>3884.0884139715963</v>
      </c>
      <c r="L122" s="346">
        <f>IFERROR(D122/K122-1,"")</f>
        <v>-0.47889960673413212</v>
      </c>
      <c r="M122" s="367">
        <f>M106</f>
        <v>3890.9879999999998</v>
      </c>
      <c r="N122" s="339">
        <f>IFERROR(D122/M122-1,"")</f>
        <v>-0.47982363348332091</v>
      </c>
      <c r="R122" s="334">
        <f>Divisionals!S$12</f>
        <v>1845.8</v>
      </c>
    </row>
    <row r="123" spans="2:18">
      <c r="B123" s="299" t="s">
        <v>155</v>
      </c>
      <c r="C123" s="367">
        <f>MODEL!U10</f>
        <v>904.30000000000018</v>
      </c>
      <c r="D123" s="367">
        <f>2024-1080</f>
        <v>944</v>
      </c>
      <c r="E123" s="336">
        <f t="shared" si="19"/>
        <v>4.3901360168085546E-2</v>
      </c>
      <c r="F123" s="367">
        <v>939.6754944884301</v>
      </c>
      <c r="G123" s="336">
        <f t="shared" si="20"/>
        <v>4.6021265180744564E-3</v>
      </c>
      <c r="H123" s="367">
        <v>932.8</v>
      </c>
      <c r="I123" s="383">
        <f t="shared" si="11"/>
        <v>1.2006861063464935E-2</v>
      </c>
      <c r="J123" s="336" t="str">
        <f>IFERROR(#REF!/I123-1,"")</f>
        <v/>
      </c>
      <c r="K123" s="367">
        <v>1792.4137047394261</v>
      </c>
      <c r="L123" s="346">
        <f>IFERROR(D123/K123-1,"")</f>
        <v>-0.47333587245850983</v>
      </c>
      <c r="M123" s="367"/>
      <c r="N123" s="339"/>
      <c r="R123" s="334">
        <f>MODEL!S10</f>
        <v>866.10000000000025</v>
      </c>
    </row>
    <row r="124" spans="2:18">
      <c r="B124" s="299" t="s">
        <v>66</v>
      </c>
      <c r="C124" s="335">
        <f>MODEL!U25</f>
        <v>404.5</v>
      </c>
      <c r="D124" s="335">
        <v>402</v>
      </c>
      <c r="E124" s="336">
        <f t="shared" si="19"/>
        <v>-6.1804697156984112E-3</v>
      </c>
      <c r="F124" s="335">
        <v>395.71102852415834</v>
      </c>
      <c r="G124" s="336">
        <f t="shared" si="20"/>
        <v>1.5892838517281183E-2</v>
      </c>
      <c r="H124" s="345"/>
      <c r="I124" s="383"/>
      <c r="J124" s="336" t="str">
        <f>IFERROR(#REF!/I124-1,"")</f>
        <v/>
      </c>
      <c r="K124" s="345">
        <v>753.48213470108249</v>
      </c>
      <c r="L124" s="346">
        <f>IFERROR(D124/K124-1,"")</f>
        <v>-0.46647706496786501</v>
      </c>
      <c r="M124" s="345">
        <f>'Vs. Consensus'!D5</f>
        <v>741.10126000000002</v>
      </c>
      <c r="N124" s="339">
        <f t="shared" ref="N124:N134" si="21">IFERROR(D124/M124-1,"")</f>
        <v>-0.45756400414162024</v>
      </c>
      <c r="R124" s="324">
        <f>MODEL!S25</f>
        <v>372.4</v>
      </c>
    </row>
    <row r="125" spans="2:18">
      <c r="B125" s="299" t="s">
        <v>39</v>
      </c>
      <c r="C125" s="335">
        <f>MODEL!U29</f>
        <v>-163.6</v>
      </c>
      <c r="D125" s="335">
        <f>D126-D124</f>
        <v>-168.60000000000002</v>
      </c>
      <c r="E125" s="336">
        <f t="shared" si="19"/>
        <v>3.0562347188264338E-2</v>
      </c>
      <c r="F125" s="335">
        <v>-172.25336433464059</v>
      </c>
      <c r="G125" s="336">
        <f t="shared" si="20"/>
        <v>-2.1209248067533215E-2</v>
      </c>
      <c r="H125" s="345"/>
      <c r="I125" s="383"/>
      <c r="J125" s="336" t="str">
        <f>IFERROR(#REF!/I125-1,"")</f>
        <v/>
      </c>
      <c r="K125" s="345">
        <v>-342.54520986038443</v>
      </c>
      <c r="L125" s="346">
        <f>IFERROR(D125/K125-1,"")</f>
        <v>-0.50780219618683764</v>
      </c>
      <c r="M125" s="345"/>
      <c r="N125" s="339" t="str">
        <f t="shared" si="21"/>
        <v/>
      </c>
      <c r="R125" s="324">
        <f>MODEL!S29</f>
        <v>-158.59999999999997</v>
      </c>
    </row>
    <row r="126" spans="2:18">
      <c r="B126" s="302" t="s">
        <v>70</v>
      </c>
      <c r="C126" s="368">
        <f>C113</f>
        <v>240.9</v>
      </c>
      <c r="D126" s="368">
        <f>D113</f>
        <v>233.39999999999998</v>
      </c>
      <c r="E126" s="354">
        <f t="shared" si="19"/>
        <v>-3.1133250311332628E-2</v>
      </c>
      <c r="F126" s="368">
        <v>223.45766418951774</v>
      </c>
      <c r="G126" s="354">
        <f t="shared" si="20"/>
        <v>4.449315196479442E-2</v>
      </c>
      <c r="H126" s="369">
        <f>H113</f>
        <v>214.76</v>
      </c>
      <c r="I126" s="384">
        <f t="shared" si="11"/>
        <v>8.6794561370832524E-2</v>
      </c>
      <c r="J126" s="354" t="str">
        <f>IFERROR(#REF!/I126-1,"")</f>
        <v/>
      </c>
      <c r="K126" s="369">
        <v>410.93692484069811</v>
      </c>
      <c r="L126" s="355">
        <f>IFERROR(D126/K126-1,"")</f>
        <v>-0.4320296233041635</v>
      </c>
      <c r="M126" s="369">
        <f>M113</f>
        <v>395.96947999999998</v>
      </c>
      <c r="N126" s="340">
        <f t="shared" si="21"/>
        <v>-0.41056063209720106</v>
      </c>
      <c r="R126" s="332">
        <f t="shared" ref="R126" si="22">R113</f>
        <v>213.8</v>
      </c>
    </row>
    <row r="127" spans="2:18">
      <c r="B127" s="299"/>
      <c r="C127" s="335"/>
      <c r="D127" s="335"/>
      <c r="E127" s="336" t="str">
        <f t="shared" si="19"/>
        <v/>
      </c>
      <c r="F127" s="335"/>
      <c r="G127" s="336"/>
      <c r="H127" s="345"/>
      <c r="I127" s="383"/>
      <c r="J127" s="336"/>
      <c r="K127" s="345"/>
      <c r="L127" s="346"/>
      <c r="M127" s="345"/>
      <c r="N127" s="339" t="str">
        <f t="shared" si="21"/>
        <v/>
      </c>
      <c r="R127" s="324"/>
    </row>
    <row r="128" spans="2:18">
      <c r="B128" s="302" t="s">
        <v>586</v>
      </c>
      <c r="C128" s="368">
        <f>MODEL!U43</f>
        <v>153.5</v>
      </c>
      <c r="D128" s="368">
        <v>145.19999999999999</v>
      </c>
      <c r="E128" s="354">
        <f t="shared" si="19"/>
        <v>-5.4071661237785063E-2</v>
      </c>
      <c r="F128" s="368">
        <v>141.53010492867799</v>
      </c>
      <c r="G128" s="354">
        <f t="shared" si="20"/>
        <v>2.5930137430276057E-2</v>
      </c>
      <c r="H128" s="369">
        <v>133.69999999999999</v>
      </c>
      <c r="I128" s="384">
        <f t="shared" si="11"/>
        <v>8.601346297681367E-2</v>
      </c>
      <c r="J128" s="354" t="str">
        <f>IFERROR(#REF!/I128-1,"")</f>
        <v/>
      </c>
      <c r="K128" s="369">
        <v>258.33798395024724</v>
      </c>
      <c r="L128" s="355">
        <f>IFERROR(D128/K128-1,"")</f>
        <v>-0.43794560219234446</v>
      </c>
      <c r="M128" s="369">
        <f>'Vs. Consensus'!D10</f>
        <v>242.17337000000001</v>
      </c>
      <c r="N128" s="340">
        <f t="shared" si="21"/>
        <v>-0.40042953525402081</v>
      </c>
      <c r="O128" s="347">
        <f>M128-C128</f>
        <v>88.673370000000006</v>
      </c>
      <c r="R128" s="332">
        <f>MODEL!S43</f>
        <v>131.30000000000001</v>
      </c>
    </row>
    <row r="129" spans="2:18">
      <c r="B129" s="299" t="s">
        <v>419</v>
      </c>
      <c r="C129" s="335">
        <f>MODEL!U50</f>
        <v>-9.3000000000000007</v>
      </c>
      <c r="D129" s="335">
        <v>-1.8</v>
      </c>
      <c r="E129" s="336">
        <f t="shared" si="19"/>
        <v>-0.80645161290322576</v>
      </c>
      <c r="F129" s="335">
        <v>0</v>
      </c>
      <c r="G129" s="336"/>
      <c r="H129" s="345"/>
      <c r="I129" s="383"/>
      <c r="J129" s="336" t="str">
        <f>IFERROR(#REF!/I129-1,"")</f>
        <v/>
      </c>
      <c r="K129" s="345">
        <v>-9.3000000000000007</v>
      </c>
      <c r="L129" s="346">
        <f>IFERROR(D129/K129-1,"")</f>
        <v>-0.80645161290322576</v>
      </c>
      <c r="M129" s="345"/>
      <c r="N129" s="339" t="str">
        <f t="shared" si="21"/>
        <v/>
      </c>
      <c r="R129" s="324">
        <f>MODEL!S50</f>
        <v>-0.89999999999999991</v>
      </c>
    </row>
    <row r="130" spans="2:18">
      <c r="B130" s="299" t="s">
        <v>420</v>
      </c>
      <c r="C130" s="335">
        <f>MODEL!U51</f>
        <v>144.19999999999999</v>
      </c>
      <c r="D130" s="335">
        <f>SUM(D128:D129)</f>
        <v>143.39999999999998</v>
      </c>
      <c r="E130" s="336">
        <f t="shared" si="19"/>
        <v>-5.5478502080444914E-3</v>
      </c>
      <c r="F130" s="335">
        <v>141.53010492867799</v>
      </c>
      <c r="G130" s="336">
        <f t="shared" si="20"/>
        <v>1.3211995230727025E-2</v>
      </c>
      <c r="H130" s="345"/>
      <c r="I130" s="383"/>
      <c r="J130" s="336" t="str">
        <f>IFERROR(#REF!/I130-1,"")</f>
        <v/>
      </c>
      <c r="K130" s="345">
        <v>249.03798395024722</v>
      </c>
      <c r="L130" s="346">
        <f>IFERROR(D130/K130-1,"")</f>
        <v>-0.42418422392686728</v>
      </c>
      <c r="M130" s="345"/>
      <c r="N130" s="339" t="str">
        <f t="shared" si="21"/>
        <v/>
      </c>
      <c r="R130" s="324">
        <f>MODEL!S51</f>
        <v>130.39999999999998</v>
      </c>
    </row>
    <row r="131" spans="2:18">
      <c r="B131" s="299"/>
      <c r="C131" s="335"/>
      <c r="D131" s="379"/>
      <c r="E131" s="336" t="str">
        <f t="shared" si="19"/>
        <v/>
      </c>
      <c r="F131" s="335"/>
      <c r="G131" s="336"/>
      <c r="H131" s="345"/>
      <c r="I131" s="383"/>
      <c r="J131" s="336"/>
      <c r="K131" s="345"/>
      <c r="L131" s="346"/>
      <c r="M131" s="345"/>
      <c r="N131" s="339" t="str">
        <f t="shared" si="21"/>
        <v/>
      </c>
      <c r="R131" s="324"/>
    </row>
    <row r="132" spans="2:18">
      <c r="B132" s="299" t="s">
        <v>421</v>
      </c>
      <c r="C132" s="318">
        <v>63.9</v>
      </c>
      <c r="D132" s="318">
        <v>63.5</v>
      </c>
      <c r="E132" s="336">
        <f t="shared" si="19"/>
        <v>-6.2597809076682109E-3</v>
      </c>
      <c r="F132" s="318">
        <v>62.114480562468955</v>
      </c>
      <c r="G132" s="336">
        <f t="shared" si="20"/>
        <v>2.2305900733366357E-2</v>
      </c>
      <c r="H132" s="318"/>
      <c r="I132" s="383" t="str">
        <f>IFERROR(#REF!/H132-1,"")</f>
        <v/>
      </c>
      <c r="J132" s="336" t="str">
        <f>IFERROR(#REF!/I132-1,"")</f>
        <v/>
      </c>
      <c r="K132" s="318">
        <v>113.36332262173686</v>
      </c>
      <c r="L132" s="346">
        <f>IFERROR(D132/K132-1,"")</f>
        <v>-0.43985410332508912</v>
      </c>
      <c r="M132" s="318">
        <f>'Vs. Consensus'!D11</f>
        <v>106.38378</v>
      </c>
      <c r="N132" s="339">
        <f t="shared" si="21"/>
        <v>-0.40310449581693752</v>
      </c>
      <c r="R132" s="325">
        <f>MODEL!S77</f>
        <v>57.616785703106835</v>
      </c>
    </row>
    <row r="133" spans="2:18">
      <c r="B133" s="299" t="str">
        <f>IF(IFERROR(VALUE(LEFT(B95,4)),"Interim")="Interim","Interim","Final")&amp;" DPS (A¢)"</f>
        <v>Interim DPS (A¢)</v>
      </c>
      <c r="C133" s="318">
        <f>MODEL!U93</f>
        <v>34</v>
      </c>
      <c r="D133" s="318">
        <v>32</v>
      </c>
      <c r="E133" s="336">
        <f t="shared" si="19"/>
        <v>-5.8823529411764719E-2</v>
      </c>
      <c r="F133" s="318">
        <v>34.162964309357932</v>
      </c>
      <c r="G133" s="336">
        <f t="shared" si="20"/>
        <v>-6.3313133186321702E-2</v>
      </c>
      <c r="H133" s="318"/>
      <c r="I133" s="383" t="str">
        <f>IFERROR(#REF!/H133-1,"")</f>
        <v/>
      </c>
      <c r="J133" s="336" t="str">
        <f>IFERROR(#REF!/I133-1,"")</f>
        <v/>
      </c>
      <c r="K133" s="318">
        <v>71.416054389665319</v>
      </c>
      <c r="L133" s="346">
        <f>IFERROR(D133/K133-1,"")</f>
        <v>-0.55192147937214031</v>
      </c>
      <c r="M133" s="318">
        <f>'Vs. Consensus'!D16</f>
        <v>84.225093999999999</v>
      </c>
      <c r="N133" s="339">
        <f t="shared" si="21"/>
        <v>-0.62006572530509729</v>
      </c>
      <c r="R133" s="325">
        <f>MODEL!S93</f>
        <v>43</v>
      </c>
    </row>
    <row r="134" spans="2:18">
      <c r="B134" s="299"/>
      <c r="C134" s="370"/>
      <c r="D134" s="370"/>
      <c r="E134" s="217"/>
      <c r="F134" s="370"/>
      <c r="G134" s="217"/>
      <c r="H134" s="362"/>
      <c r="I134" s="383" t="str">
        <f>IFERROR(#REF!/H134-1,"")</f>
        <v/>
      </c>
      <c r="J134" s="372"/>
      <c r="K134" s="362"/>
      <c r="L134" s="371"/>
      <c r="M134" s="362"/>
      <c r="N134" s="339" t="str">
        <f t="shared" si="21"/>
        <v/>
      </c>
      <c r="R134" s="321"/>
    </row>
    <row r="135" spans="2:18">
      <c r="B135" s="333" t="s">
        <v>900</v>
      </c>
      <c r="C135" s="358">
        <f t="shared" ref="C135" si="23">C123/C122</f>
        <v>0.46175449346405234</v>
      </c>
      <c r="D135" s="358">
        <f t="shared" ref="D135" si="24">D123/D122</f>
        <v>0.466403162055336</v>
      </c>
      <c r="E135" s="359" t="str">
        <f t="shared" ref="E135:E136" si="25">TEXT((D135-C135)*10000,"0.0")&amp;" bp"</f>
        <v>46.5 bp</v>
      </c>
      <c r="F135" s="358">
        <v>0.4646184518200337</v>
      </c>
      <c r="G135" s="359" t="str">
        <f t="shared" ref="G135:G137" si="26">TEXT((D135-F135)*10000,"0.0")&amp;" bp"</f>
        <v>17.8 bp</v>
      </c>
      <c r="H135" s="361"/>
      <c r="I135" s="383"/>
      <c r="J135" s="359" t="e">
        <f>TEXT((#REF!-I135)*10000,"0.0")&amp;" bp"</f>
        <v>#REF!</v>
      </c>
      <c r="K135" s="361">
        <v>0.46147603084725602</v>
      </c>
      <c r="L135" s="360" t="str">
        <f>TEXT((D135-K135)*10000,"0.0")&amp;" bp"</f>
        <v>49.3 bp</v>
      </c>
      <c r="M135" s="361"/>
      <c r="N135" s="339"/>
      <c r="R135" s="320">
        <f>R123/R122</f>
        <v>0.4692274352584247</v>
      </c>
    </row>
    <row r="136" spans="2:18">
      <c r="B136" s="333" t="s">
        <v>152</v>
      </c>
      <c r="C136" s="358">
        <f>C113/C106</f>
        <v>0.12300857843137254</v>
      </c>
      <c r="D136" s="358">
        <f>D113/D106</f>
        <v>0.11531620553359682</v>
      </c>
      <c r="E136" s="359" t="str">
        <f t="shared" si="25"/>
        <v>-76.9 bp</v>
      </c>
      <c r="F136" s="358">
        <v>0.1104876679151635</v>
      </c>
      <c r="G136" s="359" t="str">
        <f t="shared" si="26"/>
        <v>48.3 bp</v>
      </c>
      <c r="H136" s="361">
        <f>H113/H106</f>
        <v>0.10704281513233314</v>
      </c>
      <c r="I136" s="385" t="str">
        <f>TEXT((D136-H136)*10000,"0.0")&amp;" bp"</f>
        <v>82.7 bp</v>
      </c>
      <c r="J136" s="359" t="e">
        <f>TEXT((#REF!-I136)*10000,"0.0")&amp;" bp"</f>
        <v>#REF!</v>
      </c>
      <c r="K136" s="361">
        <v>0.1058000954258667</v>
      </c>
      <c r="L136" s="360" t="str">
        <f>TEXT((D136-K136)*10000,"0.0")&amp;" bp"</f>
        <v>95.2 bp</v>
      </c>
      <c r="M136" s="361">
        <f>M113/M106</f>
        <v>0.10176579316101721</v>
      </c>
      <c r="N136" s="339"/>
      <c r="R136" s="320">
        <f>R113/R106</f>
        <v>0.11583053418571894</v>
      </c>
    </row>
    <row r="137" spans="2:18">
      <c r="B137" s="333" t="s">
        <v>901</v>
      </c>
      <c r="C137" s="358">
        <f>C128/C106</f>
        <v>7.8380310457516339E-2</v>
      </c>
      <c r="D137" s="358">
        <f>D128/D106</f>
        <v>7.1739130434782597E-2</v>
      </c>
      <c r="E137" s="359" t="str">
        <f>TEXT((D137-C137)*10000,"0.0")&amp;" bp"</f>
        <v>-66.4 bp</v>
      </c>
      <c r="F137" s="358">
        <v>6.9978943394377227E-2</v>
      </c>
      <c r="G137" s="359" t="str">
        <f t="shared" si="26"/>
        <v>17.6 bp</v>
      </c>
      <c r="H137" s="361">
        <f>H128/H106</f>
        <v>6.6640083736230871E-2</v>
      </c>
      <c r="I137" s="385" t="str">
        <f t="shared" ref="I137" si="27">TEXT((D137-H137)*10000,"0.0")&amp;" bp"</f>
        <v>51.0 bp</v>
      </c>
      <c r="J137" s="359" t="e">
        <f>TEXT((#REF!-I137)*10000,"0.0")&amp;" bp"</f>
        <v>#REF!</v>
      </c>
      <c r="K137" s="361">
        <v>6.6511870075091559E-2</v>
      </c>
      <c r="L137" s="360" t="str">
        <f>TEXT((D137-K137)*10000,"0.0")&amp;" bp"</f>
        <v>52.3 bp</v>
      </c>
      <c r="M137" s="361">
        <f>M128/M106</f>
        <v>6.2239557151037218E-2</v>
      </c>
      <c r="N137" s="339"/>
      <c r="R137" s="320">
        <f>R128/R106</f>
        <v>7.1134467439592591E-2</v>
      </c>
    </row>
    <row r="138" spans="2:18">
      <c r="B138" s="299"/>
      <c r="C138" s="370"/>
      <c r="D138" s="370"/>
      <c r="E138" s="380"/>
      <c r="F138" s="370"/>
      <c r="G138" s="217"/>
      <c r="H138" s="362"/>
      <c r="I138" s="386"/>
      <c r="J138" s="372"/>
      <c r="K138" s="362"/>
      <c r="M138" s="362"/>
      <c r="N138" s="341"/>
      <c r="R138" s="321"/>
    </row>
    <row r="139" spans="2:18">
      <c r="B139" s="299" t="s">
        <v>422</v>
      </c>
      <c r="C139" s="335">
        <v>439.3</v>
      </c>
      <c r="D139" s="335">
        <v>478.5</v>
      </c>
      <c r="E139" s="381"/>
      <c r="F139" s="335"/>
      <c r="G139" s="217"/>
      <c r="H139" s="345"/>
      <c r="I139" s="383"/>
      <c r="J139" s="336"/>
      <c r="K139" s="345">
        <v>628.7547310763257</v>
      </c>
      <c r="M139" s="345">
        <f>'Vs. Consensus'!D13</f>
        <v>584.62189999999998</v>
      </c>
      <c r="N139" s="339"/>
      <c r="R139" s="324">
        <f>MODEL!S111</f>
        <v>160.89999999999995</v>
      </c>
    </row>
    <row r="140" spans="2:18">
      <c r="B140" s="299" t="s">
        <v>902</v>
      </c>
      <c r="C140" s="335">
        <v>-36.799999999999997</v>
      </c>
      <c r="D140" s="335">
        <v>-83.1</v>
      </c>
      <c r="E140" s="381"/>
      <c r="F140" s="335"/>
      <c r="G140" s="217"/>
      <c r="H140" s="345"/>
      <c r="I140" s="383"/>
      <c r="J140" s="336"/>
      <c r="K140" s="345">
        <v>-136.39702202823378</v>
      </c>
      <c r="M140" s="345"/>
      <c r="N140" s="339"/>
      <c r="R140" s="324">
        <f>SUM(MODEL!S113:S114)</f>
        <v>-61.7</v>
      </c>
    </row>
    <row r="141" spans="2:18" hidden="1" outlineLevel="1">
      <c r="B141" s="299" t="s">
        <v>903</v>
      </c>
      <c r="C141" s="335"/>
      <c r="D141" s="335"/>
      <c r="E141" s="381"/>
      <c r="F141" s="335"/>
      <c r="G141" s="217"/>
      <c r="H141" s="345"/>
      <c r="I141" s="383"/>
      <c r="J141" s="336"/>
      <c r="K141" s="345">
        <v>-109.68077804751783</v>
      </c>
      <c r="M141" s="345"/>
      <c r="N141" s="339"/>
      <c r="R141" s="324">
        <f>MODEL!S132-MODEL!S169-MODEL!S177</f>
        <v>-13.39999999999975</v>
      </c>
    </row>
    <row r="142" spans="2:18" hidden="1" outlineLevel="1">
      <c r="B142" s="299" t="s">
        <v>904</v>
      </c>
      <c r="C142" s="335"/>
      <c r="D142" s="335"/>
      <c r="E142" s="381"/>
      <c r="F142" s="335"/>
      <c r="G142" s="217"/>
      <c r="H142" s="345"/>
      <c r="I142" s="383"/>
      <c r="J142" s="336"/>
      <c r="K142" s="345">
        <v>926.88349163866769</v>
      </c>
      <c r="M142" s="345"/>
      <c r="N142" s="339"/>
      <c r="R142" s="324">
        <f>MODEL!S132</f>
        <v>997.30000000000018</v>
      </c>
    </row>
    <row r="143" spans="2:18" ht="13.5" collapsed="1" thickBot="1">
      <c r="B143" s="326" t="s">
        <v>924</v>
      </c>
      <c r="C143" s="373">
        <v>-0.4</v>
      </c>
      <c r="D143" s="373">
        <v>-0.4</v>
      </c>
      <c r="E143" s="382"/>
      <c r="F143" s="373"/>
      <c r="G143" s="344"/>
      <c r="H143" s="376"/>
      <c r="I143" s="387"/>
      <c r="J143" s="374"/>
      <c r="K143" s="375">
        <v>-0.22295951980108875</v>
      </c>
      <c r="L143" s="342"/>
      <c r="M143" s="376"/>
      <c r="N143" s="343"/>
      <c r="R143" s="337">
        <f>R141/(R124+'PPE &amp; Leases'!S78+MODEL!S124)</f>
        <v>-5.2839116719241921E-2</v>
      </c>
    </row>
    <row r="144" spans="2:18">
      <c r="B144" s="138"/>
      <c r="C144" s="335"/>
      <c r="D144" s="345"/>
      <c r="E144" s="346"/>
      <c r="F144" s="345"/>
      <c r="G144" s="346"/>
      <c r="H144" s="345"/>
      <c r="I144" s="318"/>
      <c r="J144" s="346"/>
    </row>
    <row r="145" spans="4:14">
      <c r="D145" s="122">
        <f>902.2/1080*365/2</f>
        <v>152.45509259259259</v>
      </c>
      <c r="F145" s="122">
        <f>788.6/2044.9*365</f>
        <v>140.75945033986991</v>
      </c>
    </row>
    <row r="146" spans="4:14">
      <c r="N146" s="122">
        <f>3427.6/3205.3</f>
        <v>1.0693538826318909</v>
      </c>
    </row>
    <row r="162" spans="2:14" ht="13.5" thickBot="1"/>
    <row r="163" spans="2:14">
      <c r="B163" s="313"/>
      <c r="C163" s="1399" t="s">
        <v>274</v>
      </c>
      <c r="D163" s="1399"/>
      <c r="E163" s="1399"/>
      <c r="F163" s="1399" t="s">
        <v>919</v>
      </c>
      <c r="G163" s="1399"/>
      <c r="H163" s="1400" t="s">
        <v>920</v>
      </c>
      <c r="I163" s="1401"/>
    </row>
    <row r="164" spans="2:14">
      <c r="B164" s="314" t="s">
        <v>557</v>
      </c>
      <c r="C164" s="315" t="s">
        <v>734</v>
      </c>
      <c r="D164" s="315" t="s">
        <v>895</v>
      </c>
      <c r="E164" s="315" t="s">
        <v>958</v>
      </c>
      <c r="F164" s="315" t="s">
        <v>895</v>
      </c>
      <c r="G164" s="315" t="s">
        <v>959</v>
      </c>
      <c r="H164" s="315" t="s">
        <v>980</v>
      </c>
      <c r="I164" s="316" t="s">
        <v>961</v>
      </c>
    </row>
    <row r="165" spans="2:14">
      <c r="B165" s="317" t="s">
        <v>921</v>
      </c>
      <c r="C165" s="348"/>
      <c r="E165" s="217"/>
      <c r="F165" s="348"/>
      <c r="G165" s="217"/>
      <c r="H165" s="349"/>
      <c r="I165" s="383"/>
    </row>
    <row r="166" spans="2:14">
      <c r="B166" s="299" t="s">
        <v>247</v>
      </c>
      <c r="C166" s="350">
        <v>728.6</v>
      </c>
      <c r="D166" s="348">
        <v>759.7</v>
      </c>
      <c r="E166" s="336">
        <v>4.2684600603897893E-2</v>
      </c>
      <c r="F166" s="348">
        <v>760.32555473444609</v>
      </c>
      <c r="G166" s="336">
        <v>-8.2274590213471388E-4</v>
      </c>
      <c r="H166" s="349"/>
      <c r="I166" s="383" t="s">
        <v>962</v>
      </c>
    </row>
    <row r="167" spans="2:14">
      <c r="B167" s="299" t="s">
        <v>150</v>
      </c>
      <c r="C167" s="351">
        <v>447.6</v>
      </c>
      <c r="D167" s="349">
        <v>483.7</v>
      </c>
      <c r="E167" s="336">
        <v>8.0652368185880174E-2</v>
      </c>
      <c r="F167" s="349">
        <v>483.8851687272728</v>
      </c>
      <c r="G167" s="336">
        <v>-3.8267080547194077E-4</v>
      </c>
      <c r="H167" s="349"/>
      <c r="I167" s="383" t="s">
        <v>962</v>
      </c>
    </row>
    <row r="168" spans="2:14">
      <c r="B168" s="299" t="s">
        <v>246</v>
      </c>
      <c r="C168" s="351">
        <v>101.4</v>
      </c>
      <c r="D168" s="349">
        <v>103.6</v>
      </c>
      <c r="E168" s="336">
        <v>2.1696252465483123E-2</v>
      </c>
      <c r="F168" s="349">
        <v>105.05511627906976</v>
      </c>
      <c r="G168" s="336">
        <v>-1.3850979662945462E-2</v>
      </c>
      <c r="H168" s="349"/>
      <c r="I168" s="383" t="s">
        <v>962</v>
      </c>
    </row>
    <row r="169" spans="2:14">
      <c r="B169" s="299" t="s">
        <v>248</v>
      </c>
      <c r="C169" s="351">
        <v>681.9</v>
      </c>
      <c r="D169" s="349">
        <v>672.9</v>
      </c>
      <c r="E169" s="336">
        <v>-1.3198416190057238E-2</v>
      </c>
      <c r="F169" s="349">
        <v>673.20117767419356</v>
      </c>
      <c r="G169" s="336">
        <v>-4.4738138342848011E-4</v>
      </c>
      <c r="H169" s="349"/>
      <c r="I169" s="383" t="s">
        <v>962</v>
      </c>
    </row>
    <row r="170" spans="2:14">
      <c r="B170" s="302" t="s">
        <v>415</v>
      </c>
      <c r="C170" s="352">
        <v>1958.4</v>
      </c>
      <c r="D170" s="353">
        <v>2024</v>
      </c>
      <c r="E170" s="354">
        <v>3.3496732026143672E-2</v>
      </c>
      <c r="F170" s="353">
        <v>2022.4670174149821</v>
      </c>
      <c r="G170" s="354">
        <v>7.5797655626397287E-4</v>
      </c>
      <c r="H170" s="353">
        <v>2006.3</v>
      </c>
      <c r="I170" s="384">
        <v>8.8222100383790192E-3</v>
      </c>
    </row>
    <row r="171" spans="2:14">
      <c r="B171" s="299"/>
      <c r="C171" s="356"/>
      <c r="D171" s="356"/>
      <c r="E171" s="336" t="s">
        <v>962</v>
      </c>
      <c r="F171" s="356"/>
      <c r="G171" s="336"/>
      <c r="H171" s="356"/>
      <c r="I171" s="383" t="s">
        <v>962</v>
      </c>
    </row>
    <row r="172" spans="2:14">
      <c r="B172" s="299" t="s">
        <v>247</v>
      </c>
      <c r="C172" s="356">
        <v>115.69999999999999</v>
      </c>
      <c r="D172" s="356">
        <v>116.1</v>
      </c>
      <c r="E172" s="336">
        <v>3.4572169403630504E-3</v>
      </c>
      <c r="F172" s="356">
        <v>118.02863447111635</v>
      </c>
      <c r="G172" s="336">
        <v>-1.6340394682684556E-2</v>
      </c>
      <c r="H172" s="356"/>
      <c r="I172" s="383" t="s">
        <v>962</v>
      </c>
    </row>
    <row r="173" spans="2:14">
      <c r="B173" s="299" t="s">
        <v>150</v>
      </c>
      <c r="C173" s="356">
        <v>35.9</v>
      </c>
      <c r="D173" s="356">
        <v>46.9</v>
      </c>
      <c r="E173" s="336">
        <v>0.30640668523676884</v>
      </c>
      <c r="F173" s="356">
        <v>39.678583835636353</v>
      </c>
      <c r="G173" s="336">
        <v>0.18199783022190186</v>
      </c>
      <c r="H173" s="356"/>
      <c r="I173" s="383" t="s">
        <v>962</v>
      </c>
    </row>
    <row r="174" spans="2:14">
      <c r="B174" s="299" t="s">
        <v>246</v>
      </c>
      <c r="C174" s="356">
        <v>16.5</v>
      </c>
      <c r="D174" s="356">
        <v>9.1999999999999993</v>
      </c>
      <c r="E174" s="336">
        <v>-0.4424242424242425</v>
      </c>
      <c r="F174" s="356">
        <v>10.505511627906976</v>
      </c>
      <c r="G174" s="336">
        <v>-0.12426920973929523</v>
      </c>
      <c r="H174" s="356"/>
      <c r="I174" s="383" t="s">
        <v>962</v>
      </c>
    </row>
    <row r="175" spans="2:14">
      <c r="B175" s="299" t="s">
        <v>248</v>
      </c>
      <c r="C175" s="356">
        <v>91.399999999999991</v>
      </c>
      <c r="D175" s="356">
        <v>74.2</v>
      </c>
      <c r="E175" s="336">
        <v>-0.18818380743982488</v>
      </c>
      <c r="F175" s="356">
        <v>76.744934254858066</v>
      </c>
      <c r="G175" s="336">
        <v>-3.3160941234332553E-2</v>
      </c>
      <c r="H175" s="356"/>
      <c r="I175" s="383" t="s">
        <v>962</v>
      </c>
      <c r="M175" s="137">
        <f>M176/N176-1</f>
        <v>0.10522496371552981</v>
      </c>
    </row>
    <row r="176" spans="2:14">
      <c r="B176" s="299" t="s">
        <v>72</v>
      </c>
      <c r="C176" s="356">
        <v>-18.599999999999994</v>
      </c>
      <c r="D176" s="356">
        <v>-13</v>
      </c>
      <c r="E176" s="336">
        <v>-0.30107526881720403</v>
      </c>
      <c r="F176" s="356">
        <v>-21.5</v>
      </c>
      <c r="G176" s="336">
        <v>-0.39534883720930236</v>
      </c>
      <c r="H176" s="356"/>
      <c r="I176" s="383" t="s">
        <v>962</v>
      </c>
      <c r="M176" s="388">
        <f>M177+M179</f>
        <v>152.30000000000001</v>
      </c>
      <c r="N176" s="388">
        <f>N177+N179</f>
        <v>137.80000000000001</v>
      </c>
    </row>
    <row r="177" spans="2:14">
      <c r="B177" s="302" t="s">
        <v>140</v>
      </c>
      <c r="C177" s="357">
        <v>240.9</v>
      </c>
      <c r="D177" s="357">
        <v>233.39999999999998</v>
      </c>
      <c r="E177" s="354">
        <v>-3.1133250311332628E-2</v>
      </c>
      <c r="F177" s="357">
        <v>223.45766418951774</v>
      </c>
      <c r="G177" s="354">
        <v>4.449315196479442E-2</v>
      </c>
      <c r="H177" s="357">
        <v>214.76</v>
      </c>
      <c r="I177" s="384">
        <v>8.6794561370832524E-2</v>
      </c>
      <c r="M177" s="122">
        <v>25</v>
      </c>
      <c r="N177" s="122">
        <v>20.8</v>
      </c>
    </row>
    <row r="178" spans="2:14">
      <c r="B178" s="302"/>
      <c r="C178" s="356"/>
      <c r="D178" s="356"/>
      <c r="E178" s="217"/>
      <c r="F178" s="356"/>
      <c r="G178" s="217"/>
      <c r="H178" s="356"/>
      <c r="I178" s="383"/>
      <c r="M178" s="124">
        <f>M179/N179-1</f>
        <v>8.8034188034187943E-2</v>
      </c>
    </row>
    <row r="179" spans="2:14">
      <c r="B179" s="319" t="s">
        <v>247</v>
      </c>
      <c r="C179" s="358">
        <v>0.15879769420807024</v>
      </c>
      <c r="D179" s="358">
        <v>0.15282348295379752</v>
      </c>
      <c r="E179" s="359" t="s">
        <v>963</v>
      </c>
      <c r="F179" s="358">
        <v>0.15523433841749465</v>
      </c>
      <c r="G179" s="359" t="s">
        <v>964</v>
      </c>
      <c r="H179" s="362"/>
      <c r="I179" s="383"/>
      <c r="M179" s="122">
        <v>127.3</v>
      </c>
      <c r="N179" s="122">
        <v>117</v>
      </c>
    </row>
    <row r="180" spans="2:14">
      <c r="B180" s="319" t="s">
        <v>150</v>
      </c>
      <c r="C180" s="358">
        <v>8.0205540661304725E-2</v>
      </c>
      <c r="D180" s="358">
        <v>9.6960926193921854E-2</v>
      </c>
      <c r="E180" s="359" t="s">
        <v>965</v>
      </c>
      <c r="F180" s="358">
        <v>8.1999999999999962E-2</v>
      </c>
      <c r="G180" s="359" t="s">
        <v>966</v>
      </c>
      <c r="H180" s="362"/>
      <c r="I180" s="383"/>
      <c r="M180" s="122">
        <v>22.7</v>
      </c>
      <c r="N180" s="122">
        <v>22.6</v>
      </c>
    </row>
    <row r="181" spans="2:14">
      <c r="B181" s="319" t="s">
        <v>246</v>
      </c>
      <c r="C181" s="358">
        <v>0.16272189349112426</v>
      </c>
      <c r="D181" s="358">
        <v>8.8803088803088806E-2</v>
      </c>
      <c r="E181" s="359" t="s">
        <v>967</v>
      </c>
      <c r="F181" s="358">
        <v>0.1</v>
      </c>
      <c r="G181" s="359" t="s">
        <v>968</v>
      </c>
      <c r="H181" s="362"/>
      <c r="I181" s="383"/>
      <c r="M181" s="122">
        <f>SUM(M179:M180)</f>
        <v>150</v>
      </c>
      <c r="N181" s="122">
        <f>SUM(N179:N180)</f>
        <v>139.6</v>
      </c>
    </row>
    <row r="182" spans="2:14">
      <c r="B182" s="319" t="s">
        <v>248</v>
      </c>
      <c r="C182" s="358">
        <v>0.13403724886346971</v>
      </c>
      <c r="D182" s="358">
        <v>0.11026898499034032</v>
      </c>
      <c r="E182" s="359" t="s">
        <v>969</v>
      </c>
      <c r="F182" s="358">
        <v>0.114</v>
      </c>
      <c r="G182" s="359" t="s">
        <v>970</v>
      </c>
      <c r="H182" s="362"/>
      <c r="I182" s="383"/>
      <c r="M182" s="137">
        <f>M181/N181-1</f>
        <v>7.4498567335243626E-2</v>
      </c>
    </row>
    <row r="183" spans="2:14">
      <c r="B183" s="322" t="s">
        <v>922</v>
      </c>
      <c r="C183" s="363">
        <v>0.12300857843137254</v>
      </c>
      <c r="D183" s="363">
        <v>0.11531620553359682</v>
      </c>
      <c r="E183" s="364" t="s">
        <v>971</v>
      </c>
      <c r="F183" s="363">
        <v>0.1104876679151635</v>
      </c>
      <c r="G183" s="364" t="s">
        <v>972</v>
      </c>
      <c r="H183" s="366">
        <v>0.10704281513233314</v>
      </c>
      <c r="I183" s="384">
        <v>7.7290478497184401E-2</v>
      </c>
    </row>
    <row r="184" spans="2:14">
      <c r="B184" s="302"/>
      <c r="C184" s="357"/>
      <c r="D184" s="357"/>
      <c r="E184" s="217"/>
      <c r="F184" s="357"/>
      <c r="G184" s="217"/>
      <c r="H184" s="357"/>
      <c r="I184" s="383"/>
      <c r="M184" s="122">
        <v>132.30000000000001</v>
      </c>
      <c r="N184" s="122">
        <v>120.1</v>
      </c>
    </row>
    <row r="185" spans="2:14">
      <c r="B185" s="317" t="s">
        <v>157</v>
      </c>
      <c r="C185" s="335"/>
      <c r="D185" s="335"/>
      <c r="E185" s="217"/>
      <c r="F185" s="335"/>
      <c r="G185" s="217"/>
      <c r="H185" s="345"/>
      <c r="I185" s="383"/>
      <c r="L185" s="124">
        <f>M175-M185</f>
        <v>1.903014941980441E-2</v>
      </c>
      <c r="M185" s="124">
        <f>(M184+M180)/(N184+N180)-1</f>
        <v>8.6194814295725397E-2</v>
      </c>
    </row>
    <row r="186" spans="2:14">
      <c r="B186" s="299" t="s">
        <v>923</v>
      </c>
      <c r="C186" s="367">
        <v>1958.4</v>
      </c>
      <c r="D186" s="367">
        <v>2024</v>
      </c>
      <c r="E186" s="336">
        <v>3.3496732026143672E-2</v>
      </c>
      <c r="F186" s="367">
        <v>2022.4670174149821</v>
      </c>
      <c r="G186" s="336">
        <v>7.5797655626397287E-4</v>
      </c>
      <c r="H186" s="367">
        <v>2006.3</v>
      </c>
      <c r="I186" s="383">
        <v>8.8222100383790192E-3</v>
      </c>
    </row>
    <row r="187" spans="2:14">
      <c r="B187" s="299" t="s">
        <v>155</v>
      </c>
      <c r="C187" s="367">
        <v>904.30000000000018</v>
      </c>
      <c r="D187" s="367">
        <v>944</v>
      </c>
      <c r="E187" s="336">
        <v>4.3901360168085546E-2</v>
      </c>
      <c r="F187" s="367">
        <v>939.6754944884301</v>
      </c>
      <c r="G187" s="336">
        <v>4.6021265180744564E-3</v>
      </c>
      <c r="H187" s="367">
        <v>932.8</v>
      </c>
      <c r="I187" s="383">
        <v>1.2006861063464935E-2</v>
      </c>
    </row>
    <row r="188" spans="2:14">
      <c r="B188" s="299" t="s">
        <v>66</v>
      </c>
      <c r="C188" s="335">
        <v>404.5</v>
      </c>
      <c r="D188" s="335">
        <v>402</v>
      </c>
      <c r="E188" s="336">
        <v>-6.1804697156984112E-3</v>
      </c>
      <c r="F188" s="335">
        <v>395.71102852415834</v>
      </c>
      <c r="G188" s="336">
        <v>1.5892838517281183E-2</v>
      </c>
      <c r="H188" s="345"/>
      <c r="I188" s="383"/>
    </row>
    <row r="189" spans="2:14">
      <c r="B189" s="299" t="s">
        <v>39</v>
      </c>
      <c r="C189" s="335">
        <v>-163.6</v>
      </c>
      <c r="D189" s="335">
        <v>-168.60000000000002</v>
      </c>
      <c r="E189" s="336">
        <v>3.0562347188264338E-2</v>
      </c>
      <c r="F189" s="335">
        <v>-172.25336433464059</v>
      </c>
      <c r="G189" s="336">
        <v>-2.1209248067533215E-2</v>
      </c>
      <c r="H189" s="345"/>
      <c r="I189" s="383"/>
    </row>
    <row r="190" spans="2:14">
      <c r="B190" s="302" t="s">
        <v>70</v>
      </c>
      <c r="C190" s="368">
        <v>240.9</v>
      </c>
      <c r="D190" s="368">
        <v>233.39999999999998</v>
      </c>
      <c r="E190" s="354">
        <v>-3.1133250311332628E-2</v>
      </c>
      <c r="F190" s="368">
        <v>223.45766418951774</v>
      </c>
      <c r="G190" s="354">
        <v>4.449315196479442E-2</v>
      </c>
      <c r="H190" s="369">
        <v>214.76</v>
      </c>
      <c r="I190" s="384">
        <v>8.6794561370832524E-2</v>
      </c>
    </row>
    <row r="191" spans="2:14">
      <c r="B191" s="299"/>
      <c r="C191" s="335"/>
      <c r="D191" s="335"/>
      <c r="E191" s="336" t="s">
        <v>962</v>
      </c>
      <c r="F191" s="335"/>
      <c r="G191" s="336"/>
      <c r="H191" s="345"/>
      <c r="I191" s="383"/>
    </row>
    <row r="192" spans="2:14">
      <c r="B192" s="302" t="s">
        <v>586</v>
      </c>
      <c r="C192" s="368">
        <v>153.5</v>
      </c>
      <c r="D192" s="368">
        <v>145.19999999999999</v>
      </c>
      <c r="E192" s="354">
        <v>-5.4071661237785063E-2</v>
      </c>
      <c r="F192" s="368">
        <v>141.53010492867799</v>
      </c>
      <c r="G192" s="354">
        <v>2.5930137430276057E-2</v>
      </c>
      <c r="H192" s="369">
        <v>133.69999999999999</v>
      </c>
      <c r="I192" s="384">
        <v>8.601346297681367E-2</v>
      </c>
    </row>
    <row r="193" spans="2:9">
      <c r="B193" s="299" t="s">
        <v>419</v>
      </c>
      <c r="C193" s="335">
        <v>-9.3000000000000007</v>
      </c>
      <c r="D193" s="335">
        <v>-1.8</v>
      </c>
      <c r="E193" s="336">
        <v>-0.80645161290322576</v>
      </c>
      <c r="F193" s="335">
        <v>0</v>
      </c>
      <c r="G193" s="336"/>
      <c r="H193" s="345"/>
      <c r="I193" s="383"/>
    </row>
    <row r="194" spans="2:9">
      <c r="B194" s="299" t="s">
        <v>420</v>
      </c>
      <c r="C194" s="335">
        <v>144.19999999999999</v>
      </c>
      <c r="D194" s="335">
        <v>143.39999999999998</v>
      </c>
      <c r="E194" s="336">
        <v>-5.5478502080444914E-3</v>
      </c>
      <c r="F194" s="335">
        <v>141.53010492867799</v>
      </c>
      <c r="G194" s="336">
        <v>1.3211995230727025E-2</v>
      </c>
      <c r="H194" s="345"/>
      <c r="I194" s="383"/>
    </row>
    <row r="195" spans="2:9">
      <c r="B195" s="299"/>
      <c r="C195" s="335"/>
      <c r="D195" s="379"/>
      <c r="E195" s="336" t="s">
        <v>962</v>
      </c>
      <c r="F195" s="335"/>
      <c r="G195" s="336"/>
      <c r="H195" s="345"/>
      <c r="I195" s="383"/>
    </row>
    <row r="196" spans="2:9">
      <c r="B196" s="299" t="s">
        <v>421</v>
      </c>
      <c r="C196" s="318">
        <v>63.9</v>
      </c>
      <c r="D196" s="318">
        <v>63.5</v>
      </c>
      <c r="E196" s="336">
        <v>-6.2597809076682109E-3</v>
      </c>
      <c r="F196" s="318">
        <v>62.114480562468955</v>
      </c>
      <c r="G196" s="336">
        <v>2.2305900733366357E-2</v>
      </c>
      <c r="H196" s="318"/>
      <c r="I196" s="383" t="s">
        <v>962</v>
      </c>
    </row>
    <row r="197" spans="2:9">
      <c r="B197" s="299" t="s">
        <v>973</v>
      </c>
      <c r="C197" s="318">
        <v>34</v>
      </c>
      <c r="D197" s="318">
        <v>32</v>
      </c>
      <c r="E197" s="336">
        <v>-5.8823529411764719E-2</v>
      </c>
      <c r="F197" s="318">
        <v>34.162964309357932</v>
      </c>
      <c r="G197" s="336">
        <v>-6.3313133186321702E-2</v>
      </c>
      <c r="H197" s="318"/>
      <c r="I197" s="383" t="s">
        <v>962</v>
      </c>
    </row>
    <row r="198" spans="2:9">
      <c r="B198" s="299"/>
      <c r="C198" s="370"/>
      <c r="D198" s="370"/>
      <c r="E198" s="217"/>
      <c r="F198" s="370"/>
      <c r="G198" s="217"/>
      <c r="H198" s="362"/>
      <c r="I198" s="383" t="s">
        <v>962</v>
      </c>
    </row>
    <row r="199" spans="2:9">
      <c r="B199" s="333" t="s">
        <v>900</v>
      </c>
      <c r="C199" s="358">
        <v>0.46175449346405234</v>
      </c>
      <c r="D199" s="358">
        <v>0.466403162055336</v>
      </c>
      <c r="E199" s="359" t="s">
        <v>974</v>
      </c>
      <c r="F199" s="358">
        <v>0.4646184518200337</v>
      </c>
      <c r="G199" s="359" t="s">
        <v>975</v>
      </c>
      <c r="H199" s="361"/>
      <c r="I199" s="383"/>
    </row>
    <row r="200" spans="2:9">
      <c r="B200" s="333" t="s">
        <v>152</v>
      </c>
      <c r="C200" s="358">
        <v>0.12300857843137254</v>
      </c>
      <c r="D200" s="358">
        <v>0.11531620553359682</v>
      </c>
      <c r="E200" s="359" t="s">
        <v>971</v>
      </c>
      <c r="F200" s="358">
        <v>0.1104876679151635</v>
      </c>
      <c r="G200" s="359" t="s">
        <v>972</v>
      </c>
      <c r="H200" s="361">
        <v>0.10704281513233314</v>
      </c>
      <c r="I200" s="385" t="s">
        <v>976</v>
      </c>
    </row>
    <row r="201" spans="2:9">
      <c r="B201" s="333" t="s">
        <v>901</v>
      </c>
      <c r="C201" s="358">
        <v>7.8380310457516339E-2</v>
      </c>
      <c r="D201" s="358">
        <v>7.1739130434782597E-2</v>
      </c>
      <c r="E201" s="359" t="s">
        <v>977</v>
      </c>
      <c r="F201" s="358">
        <v>6.9978943394377227E-2</v>
      </c>
      <c r="G201" s="359" t="s">
        <v>978</v>
      </c>
      <c r="H201" s="361">
        <v>6.6640083736230871E-2</v>
      </c>
      <c r="I201" s="385" t="s">
        <v>979</v>
      </c>
    </row>
    <row r="202" spans="2:9">
      <c r="B202" s="299"/>
      <c r="C202" s="370"/>
      <c r="D202" s="370"/>
      <c r="E202" s="380"/>
      <c r="F202" s="370"/>
      <c r="G202" s="217"/>
      <c r="H202" s="362"/>
      <c r="I202" s="386"/>
    </row>
    <row r="203" spans="2:9">
      <c r="B203" s="299" t="s">
        <v>422</v>
      </c>
      <c r="C203" s="335">
        <v>439.3</v>
      </c>
      <c r="D203" s="335">
        <v>478.5</v>
      </c>
      <c r="E203" s="381"/>
      <c r="F203" s="335"/>
      <c r="G203" s="217"/>
      <c r="H203" s="345"/>
      <c r="I203" s="383"/>
    </row>
    <row r="204" spans="2:9">
      <c r="B204" s="299" t="s">
        <v>902</v>
      </c>
      <c r="C204" s="335">
        <v>-36.799999999999997</v>
      </c>
      <c r="D204" s="335">
        <v>-83.1</v>
      </c>
      <c r="E204" s="381"/>
      <c r="F204" s="335"/>
      <c r="G204" s="217"/>
      <c r="H204" s="345"/>
      <c r="I204" s="383"/>
    </row>
    <row r="205" spans="2:9" hidden="1">
      <c r="B205" s="299" t="s">
        <v>903</v>
      </c>
      <c r="C205" s="335"/>
      <c r="D205" s="335"/>
      <c r="E205" s="381"/>
      <c r="F205" s="335"/>
      <c r="G205" s="217"/>
      <c r="H205" s="345"/>
      <c r="I205" s="383"/>
    </row>
    <row r="206" spans="2:9" hidden="1">
      <c r="B206" s="299" t="s">
        <v>904</v>
      </c>
      <c r="C206" s="335"/>
      <c r="D206" s="335"/>
      <c r="E206" s="381"/>
      <c r="F206" s="335"/>
      <c r="G206" s="217"/>
      <c r="H206" s="345"/>
      <c r="I206" s="383"/>
    </row>
    <row r="207" spans="2:9" ht="13.5" thickBot="1">
      <c r="B207" s="326" t="s">
        <v>924</v>
      </c>
      <c r="C207" s="373">
        <v>-0.4</v>
      </c>
      <c r="D207" s="373">
        <v>-0.4</v>
      </c>
      <c r="E207" s="382"/>
      <c r="F207" s="373"/>
      <c r="G207" s="344"/>
      <c r="H207" s="376"/>
      <c r="I207" s="387"/>
    </row>
    <row r="211" spans="3:7">
      <c r="G211" s="124">
        <f>206.3/201.5-1</f>
        <v>2.3821339950372167E-2</v>
      </c>
    </row>
    <row r="214" spans="3:7">
      <c r="C214" s="122">
        <f>E214-D214</f>
        <v>734</v>
      </c>
      <c r="D214" s="122">
        <v>17</v>
      </c>
      <c r="E214" s="122">
        <v>751</v>
      </c>
    </row>
    <row r="215" spans="3:7">
      <c r="E215" s="389">
        <f>E214/C214-1</f>
        <v>2.3160762942779245E-2</v>
      </c>
    </row>
  </sheetData>
  <mergeCells count="12">
    <mergeCell ref="C163:E163"/>
    <mergeCell ref="F163:G163"/>
    <mergeCell ref="H163:I163"/>
    <mergeCell ref="M99:N99"/>
    <mergeCell ref="B4:C4"/>
    <mergeCell ref="C6:E6"/>
    <mergeCell ref="F6:J6"/>
    <mergeCell ref="N36:O36"/>
    <mergeCell ref="B35:C35"/>
    <mergeCell ref="C99:E99"/>
    <mergeCell ref="F99:G99"/>
    <mergeCell ref="H99:I99"/>
  </mergeCells>
  <dataValidations disablePrompts="1" count="1">
    <dataValidation type="list" allowBlank="1" showInputMessage="1" showErrorMessage="1" sqref="D1:F1" xr:uid="{00000000-0002-0000-1200-000000000000}">
      <formula1>$M$1:$M$2</formula1>
    </dataValidation>
  </dataValidations>
  <printOptions horizontalCentered="1" verticalCentered="1"/>
  <pageMargins left="0.7" right="0.7" top="0.75" bottom="0.75" header="0.3" footer="0.3"/>
  <pageSetup paperSize="9" scale="10" orientation="portrait" r:id="rId1"/>
  <customProperties>
    <customPr name="Qube.Worksheet.ID" r:id="rId2"/>
    <customPr name="Qube.Worksheet.Visibility" r:id="rId3"/>
  </customProperties>
  <drawing r:id="rId4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1200-000001000000}">
          <x14:formula1>
            <xm:f>MODEL!$3:$3</xm:f>
          </x14:formula1>
          <xm:sqref>B1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pageSetUpPr fitToPage="1"/>
  </sheetPr>
  <dimension ref="A1:R19"/>
  <sheetViews>
    <sheetView workbookViewId="0"/>
  </sheetViews>
  <sheetFormatPr defaultRowHeight="12.75"/>
  <cols>
    <col min="1" max="1" width="16.42578125" bestFit="1" customWidth="1"/>
    <col min="2" max="2" width="20" bestFit="1" customWidth="1"/>
    <col min="3" max="5" width="0" hidden="1" customWidth="1"/>
    <col min="16" max="18" width="9.42578125" bestFit="1" customWidth="1"/>
  </cols>
  <sheetData>
    <row r="1" spans="1:18" ht="15">
      <c r="B1" s="284" t="s">
        <v>893</v>
      </c>
      <c r="C1" s="1411" t="s">
        <v>673</v>
      </c>
      <c r="D1" s="1411"/>
      <c r="E1" s="1411"/>
      <c r="F1" s="1411" t="s">
        <v>733</v>
      </c>
      <c r="G1" s="1411"/>
      <c r="H1" s="1411"/>
      <c r="I1" s="1411" t="s">
        <v>905</v>
      </c>
      <c r="J1" s="1411"/>
      <c r="K1" s="1411"/>
      <c r="L1" s="1411" t="s">
        <v>943</v>
      </c>
      <c r="M1" s="1411"/>
      <c r="N1" s="1411"/>
    </row>
    <row r="2" spans="1:18" ht="15">
      <c r="B2" s="284"/>
      <c r="C2" s="283" t="s">
        <v>883</v>
      </c>
      <c r="D2" s="283" t="s">
        <v>884</v>
      </c>
      <c r="E2" s="283" t="s">
        <v>412</v>
      </c>
      <c r="F2" s="283" t="s">
        <v>883</v>
      </c>
      <c r="G2" s="283" t="s">
        <v>884</v>
      </c>
      <c r="H2" s="283" t="s">
        <v>412</v>
      </c>
      <c r="I2" s="283" t="s">
        <v>883</v>
      </c>
      <c r="J2" s="283" t="s">
        <v>884</v>
      </c>
      <c r="K2" s="283" t="s">
        <v>412</v>
      </c>
      <c r="L2" s="283" t="s">
        <v>883</v>
      </c>
      <c r="M2" s="283" t="s">
        <v>884</v>
      </c>
      <c r="N2" s="283" t="s">
        <v>412</v>
      </c>
    </row>
    <row r="3" spans="1:18">
      <c r="A3" t="s">
        <v>261</v>
      </c>
      <c r="B3" t="s">
        <v>65</v>
      </c>
      <c r="C3" s="92">
        <f>MODEL!W6</f>
        <v>3802.8</v>
      </c>
      <c r="D3" s="92" cm="1">
        <f t="array" ref="D3">_xll.FDS($B$1,"FE_ESTIMATE("&amp;$A3&amp;",MEAN,ANN_ROLL,+1,NOW,,,'')")</f>
        <v>3890.9879999999998</v>
      </c>
      <c r="E3" s="281">
        <f>C3/D3-1</f>
        <v>-2.2664680538721726E-2</v>
      </c>
      <c r="F3" s="92">
        <f>MODEL!Z6</f>
        <v>3882.8</v>
      </c>
      <c r="G3" s="92" cm="1">
        <f t="array" ref="G3">_xll.FDS($B$1,"FE_ESTIMATE("&amp;$A3&amp;",MEAN,ANN_ROLL,+1,NOW,,,'')")</f>
        <v>3890.9879999999998</v>
      </c>
      <c r="H3" s="281">
        <f>F3/G3-1</f>
        <v>-2.104349846362874E-3</v>
      </c>
      <c r="I3" s="92">
        <f>MODEL!AC6</f>
        <v>4074.9</v>
      </c>
      <c r="J3" s="92" cm="1">
        <f t="array" ref="J3">_xll.FDS($B$1,"FE_ESTIMATE("&amp;$A3&amp;",MEAN,ANN_ROLL,+2,NOW,,,'')")</f>
        <v>4031.7624999999998</v>
      </c>
      <c r="K3" s="281">
        <f>I3/J3-1</f>
        <v>1.0699414958098341E-2</v>
      </c>
      <c r="L3" s="92">
        <f>MODEL!AF6</f>
        <v>4278.0572852721198</v>
      </c>
      <c r="M3" s="92" cm="1">
        <f t="array" ref="M3">_xll.FDS($B$1,"FE_ESTIMATE("&amp;$A3&amp;",MEAN,ANN_ROLL,+3,NOW,,,'')")</f>
        <v>4210.5910000000003</v>
      </c>
      <c r="N3" s="281">
        <f>L3/M3-1</f>
        <v>1.6022996598843209E-2</v>
      </c>
      <c r="P3" s="92">
        <f>MODEL!X6</f>
        <v>2020.3999999999999</v>
      </c>
      <c r="Q3" s="92">
        <f>F3-$P3</f>
        <v>1862.4000000000003</v>
      </c>
      <c r="R3" s="92">
        <f>G3-$P3</f>
        <v>1870.588</v>
      </c>
    </row>
    <row r="4" spans="1:18">
      <c r="A4" t="s">
        <v>885</v>
      </c>
      <c r="B4" t="s">
        <v>155</v>
      </c>
      <c r="C4" s="92">
        <f>MODEL!W10</f>
        <v>1757.9</v>
      </c>
      <c r="D4" s="92" cm="1">
        <f t="array" ref="D4">_xll.FDS($B$1,"FE_ESTIMATE("&amp;$A4&amp;",MEAN,ANN_ROLL,+1,NOW,,,'')")</f>
        <v>1784.7849000000001</v>
      </c>
      <c r="E4" s="281">
        <f t="shared" ref="E4:E14" si="0">C4/D4-1</f>
        <v>-1.5063383828493815E-2</v>
      </c>
      <c r="F4" s="92">
        <f>MODEL!Z10</f>
        <v>1798.3000000000002</v>
      </c>
      <c r="G4" s="92" cm="1">
        <f t="array" ref="G4">_xll.FDS($B$1,"FE_ESTIMATE("&amp;$A4&amp;",MEAN,ANN_ROLL,+1,NOW,,,'')")</f>
        <v>1784.7849000000001</v>
      </c>
      <c r="H4" s="281">
        <f t="shared" ref="H4:H14" si="1">F4/G4-1</f>
        <v>7.5723970995049683E-3</v>
      </c>
      <c r="I4" s="92">
        <f>MODEL!AC10</f>
        <v>1862.2000000000003</v>
      </c>
      <c r="J4" s="92"/>
      <c r="K4" s="281"/>
      <c r="L4" s="92">
        <f>MODEL!AF10</f>
        <v>1957.6791572307284</v>
      </c>
      <c r="M4" s="92"/>
      <c r="N4" s="281"/>
      <c r="P4" s="92"/>
      <c r="Q4" s="92"/>
      <c r="R4" s="92"/>
    </row>
    <row r="5" spans="1:18">
      <c r="A5" t="s">
        <v>66</v>
      </c>
      <c r="B5" t="s">
        <v>66</v>
      </c>
      <c r="C5" s="92">
        <f>MODEL!W25</f>
        <v>763.4</v>
      </c>
      <c r="D5" s="92" cm="1">
        <f t="array" ref="D5">_xll.FDS($B$1,"FE_ESTIMATE("&amp;$A5&amp;",MEAN,ANN_ROLL,+1,NOW,,,'')")</f>
        <v>741.10126000000002</v>
      </c>
      <c r="E5" s="281">
        <f t="shared" si="0"/>
        <v>3.0088654821609495E-2</v>
      </c>
      <c r="F5" s="92">
        <f>MODEL!Z25</f>
        <v>730.4</v>
      </c>
      <c r="G5" s="92" cm="1">
        <f t="array" ref="G5">_xll.FDS($B$1,"FE_ESTIMATE("&amp;$A5&amp;",MEAN,ANN_ROLL,+1,NOW,,,'')")</f>
        <v>741.10126000000002</v>
      </c>
      <c r="H5" s="281">
        <f t="shared" si="1"/>
        <v>-1.4439673196615543E-2</v>
      </c>
      <c r="I5" s="92">
        <f>MODEL!AC25</f>
        <v>754.7</v>
      </c>
      <c r="J5" s="92" cm="1">
        <f t="array" ref="J5">_xll.FDS($B$1,"FE_ESTIMATE("&amp;$A5&amp;",MEAN,ANN_ROLL,+2,NOW,,,'')")</f>
        <v>753.60199999999998</v>
      </c>
      <c r="K5" s="281">
        <f t="shared" ref="K5:K14" si="2">I5/J5-1</f>
        <v>1.4570025026474642E-3</v>
      </c>
      <c r="L5" s="92">
        <f>MODEL!AF25</f>
        <v>774.52048176438882</v>
      </c>
      <c r="M5" s="92" cm="1">
        <f t="array" ref="M5">_xll.FDS($B$1,"FE_ESTIMATE("&amp;$A5&amp;",MEAN,ANN_ROLL,+3,NOW,,,'')")</f>
        <v>790.54755</v>
      </c>
      <c r="N5" s="281">
        <f t="shared" ref="N5:N7" si="3">L5/M5-1</f>
        <v>-2.0273376643329288E-2</v>
      </c>
      <c r="P5" s="92"/>
      <c r="Q5" s="92"/>
      <c r="R5" s="92"/>
    </row>
    <row r="6" spans="1:18">
      <c r="A6" t="s">
        <v>886</v>
      </c>
      <c r="B6" t="s">
        <v>39</v>
      </c>
      <c r="C6" s="92">
        <f>MODEL!W29</f>
        <v>-329.59999999999997</v>
      </c>
      <c r="D6" s="92" cm="1">
        <f t="array" ref="D6">-_xll.FDS($B$1,"FE_ESTIMATE("&amp;$A6&amp;",MEAN,ANN_ROLL,+1,NOW,,,'')")</f>
        <v>-342.42523</v>
      </c>
      <c r="E6" s="281">
        <f t="shared" si="0"/>
        <v>-3.7454103484138801E-2</v>
      </c>
      <c r="F6" s="92">
        <f>MODEL!Z29</f>
        <v>-338.20000000000005</v>
      </c>
      <c r="G6" s="92" cm="1">
        <f t="array" ref="G6">-_xll.FDS($B$1,"FE_ESTIMATE("&amp;$A6&amp;",MEAN,ANN_ROLL,+1,NOW,,,'')")</f>
        <v>-342.42523</v>
      </c>
      <c r="H6" s="281">
        <f t="shared" si="1"/>
        <v>-1.2339131669707681E-2</v>
      </c>
      <c r="I6" s="92">
        <f>MODEL!AC29</f>
        <v>-358.3</v>
      </c>
      <c r="J6" s="92" cm="1">
        <f t="array" ref="J6">-_xll.FDS($B$1,"FE_ESTIMATE("&amp;$A6&amp;",MEAN,ANN_ROLL,+2,NOW,,,'')")</f>
        <v>-359.96535999999998</v>
      </c>
      <c r="K6" s="281">
        <f t="shared" si="2"/>
        <v>-4.6264451668348583E-3</v>
      </c>
      <c r="L6" s="92">
        <f>MODEL!AF29</f>
        <v>-373.44018184174001</v>
      </c>
      <c r="M6" s="92" cm="1">
        <f t="array" ref="M6">-_xll.FDS($B$1,"FE_ESTIMATE("&amp;$A6&amp;",MEAN,ANN_ROLL,+3,NOW,,,'')")</f>
        <v>-374.32648</v>
      </c>
      <c r="N6" s="281">
        <f t="shared" si="3"/>
        <v>-2.3677142965146114E-3</v>
      </c>
      <c r="P6" s="92"/>
      <c r="Q6" s="92"/>
      <c r="R6" s="92"/>
    </row>
    <row r="7" spans="1:18">
      <c r="A7" t="s">
        <v>992</v>
      </c>
      <c r="B7" t="s">
        <v>70</v>
      </c>
      <c r="C7" s="92">
        <f>MODEL!W31</f>
        <v>433.8</v>
      </c>
      <c r="D7" s="92" cm="1">
        <f t="array" ref="D7">_xll.FDS($B$1,"FE_ESTIMATE("&amp;$A7&amp;",MEAN,ANN_ROLL,+1,NOW,,,'')")</f>
        <v>395.96947999999998</v>
      </c>
      <c r="E7" s="281">
        <f t="shared" si="0"/>
        <v>9.5538979418312797E-2</v>
      </c>
      <c r="F7" s="92">
        <f>MODEL!Z31</f>
        <v>392.2</v>
      </c>
      <c r="G7" s="92" cm="1">
        <f t="array" ref="G7">_xll.FDS($B$1,"FE_ESTIMATE("&amp;$A7&amp;",MEAN,ANN_ROLL,+1,NOW,,,'')")</f>
        <v>395.96947999999998</v>
      </c>
      <c r="H7" s="281">
        <f t="shared" si="1"/>
        <v>-9.5196225729315964E-3</v>
      </c>
      <c r="I7" s="92">
        <f>MODEL!AC31</f>
        <v>396.4</v>
      </c>
      <c r="J7" s="92" cm="1">
        <f t="array" ref="J7">_xll.FDS($B$1,"FE_ESTIMATE("&amp;$A7&amp;",MEAN,ANN_ROLL,+2,NOW,,,'')")</f>
        <v>396.88986</v>
      </c>
      <c r="K7" s="281">
        <f t="shared" si="2"/>
        <v>-1.2342467000795443E-3</v>
      </c>
      <c r="L7" s="92">
        <f>MODEL!AF31</f>
        <v>401.08029992264881</v>
      </c>
      <c r="M7" s="92" cm="1">
        <f t="array" ref="M7">_xll.FDS($B$1,"FE_ESTIMATE("&amp;$A7&amp;",MEAN,ANN_ROLL,+3,NOW,,,'')")</f>
        <v>425.50689999999997</v>
      </c>
      <c r="N7" s="281">
        <f t="shared" si="3"/>
        <v>-5.740588478671238E-2</v>
      </c>
      <c r="P7" s="92">
        <f>MODEL!X31</f>
        <v>229.70000000000002</v>
      </c>
      <c r="Q7" s="92">
        <f>F7-$P7</f>
        <v>162.49999999999997</v>
      </c>
      <c r="R7" s="92">
        <f>G7-$P7</f>
        <v>166.26947999999996</v>
      </c>
    </row>
    <row r="8" spans="1:18">
      <c r="A8" t="s">
        <v>887</v>
      </c>
      <c r="B8" t="s">
        <v>141</v>
      </c>
      <c r="C8" s="92">
        <f>MODEL!W37</f>
        <v>-43.2</v>
      </c>
      <c r="D8" s="92" cm="1">
        <f t="array" ref="D8">-_xll.FDS($B$1,"FE_ESTIMATE("&amp;$A8&amp;",MEAN,ANN_ROLL,+1,NOW,,,'')")</f>
        <v>-36</v>
      </c>
      <c r="E8" s="281">
        <f t="shared" si="0"/>
        <v>0.20000000000000018</v>
      </c>
      <c r="F8" s="92">
        <f>MODEL!Z37</f>
        <v>-49.599999999999994</v>
      </c>
      <c r="G8" s="92" cm="1">
        <f t="array" ref="G8">-_xll.FDS($B$1,"FE_ESTIMATE("&amp;$A8&amp;",MEAN,ANN_ROLL,+1,NOW,,,'')")</f>
        <v>-36</v>
      </c>
      <c r="H8" s="281">
        <f t="shared" si="1"/>
        <v>0.37777777777777755</v>
      </c>
      <c r="I8" s="92">
        <f>MODEL!AC37</f>
        <v>-67</v>
      </c>
      <c r="J8" s="92" cm="1">
        <f t="array" ref="J8">-_xll.FDS($B$1,"FE_ESTIMATE("&amp;$A8&amp;",MEAN,ANN_ROLL,+2,NOW,,,'')")</f>
        <v>-35.333331999999999</v>
      </c>
      <c r="K8" s="281"/>
      <c r="L8" s="92">
        <f>MODEL!AF37</f>
        <v>-68.480500000000006</v>
      </c>
      <c r="M8" s="92" cm="1">
        <f t="array" ref="M8">-_xll.FDS($B$1,"FE_ESTIMATE("&amp;$A8&amp;",MEAN,ANN_ROLL,+3,NOW,,,'')")</f>
        <v>-37.700000000000003</v>
      </c>
      <c r="N8" s="281"/>
      <c r="P8" s="92"/>
      <c r="Q8" s="92"/>
      <c r="R8" s="92"/>
    </row>
    <row r="9" spans="1:18">
      <c r="A9" t="s">
        <v>888</v>
      </c>
      <c r="B9" t="s">
        <v>889</v>
      </c>
      <c r="C9" s="92">
        <f>MODEL!W39</f>
        <v>390.6</v>
      </c>
      <c r="D9" s="92" cm="1">
        <f t="array" ref="D9">_xll.FDS($B$1,"FE_ESTIMATE("&amp;$A9&amp;",MEAN,ANN_ROLL,+1,NOW,,,'')")</f>
        <v>344.83499999999998</v>
      </c>
      <c r="E9" s="281">
        <f t="shared" si="0"/>
        <v>0.13271564661359792</v>
      </c>
      <c r="F9" s="92">
        <f>MODEL!Z39</f>
        <v>342.6</v>
      </c>
      <c r="G9" s="92" cm="1">
        <f t="array" ref="G9">_xll.FDS($B$1,"FE_ESTIMATE("&amp;$A9&amp;",MEAN,ANN_ROLL,+1,NOW,,,'')")</f>
        <v>344.83499999999998</v>
      </c>
      <c r="H9" s="281">
        <f t="shared" si="1"/>
        <v>-6.4813606507458932E-3</v>
      </c>
      <c r="I9" s="92">
        <f>MODEL!AC39</f>
        <v>329.4</v>
      </c>
      <c r="J9" s="92" cm="1">
        <f t="array" ref="J9">_xll.FDS($B$1,"FE_ESTIMATE("&amp;$A9&amp;",MEAN,ANN_ROLL,+2,NOW,,,'')")</f>
        <v>341.7287</v>
      </c>
      <c r="K9" s="281">
        <f t="shared" si="2"/>
        <v>-3.6077449743027179E-2</v>
      </c>
      <c r="L9" s="92">
        <f>MODEL!AF39</f>
        <v>332.5997999226488</v>
      </c>
      <c r="M9" s="92" cm="1">
        <f t="array" ref="M9">_xll.FDS($B$1,"FE_ESTIMATE("&amp;$A9&amp;",MEAN,ANN_ROLL,+3,NOW,,,'')")</f>
        <v>365.61259999999999</v>
      </c>
      <c r="N9" s="281">
        <f t="shared" ref="N9:N11" si="4">L9/M9-1</f>
        <v>-9.029448130986506E-2</v>
      </c>
      <c r="P9" s="92"/>
      <c r="Q9" s="92"/>
      <c r="R9" s="92"/>
    </row>
    <row r="10" spans="1:18">
      <c r="A10" t="s">
        <v>890</v>
      </c>
      <c r="B10" t="s">
        <v>418</v>
      </c>
      <c r="C10" s="92">
        <f>MODEL!W43</f>
        <v>273.5</v>
      </c>
      <c r="D10" s="92" cm="1">
        <f t="array" ref="D10">_xll.FDS($B$1,"FE_ESTIMATE("&amp;$A10&amp;",MEAN,ANN_ROLL,+1,NOW,,,'')")</f>
        <v>242.17337000000001</v>
      </c>
      <c r="E10" s="281">
        <f t="shared" si="0"/>
        <v>0.12935621286518817</v>
      </c>
      <c r="F10" s="92">
        <f>MODEL!Z43</f>
        <v>242.10000000000002</v>
      </c>
      <c r="G10" s="92" cm="1">
        <f t="array" ref="G10">_xll.FDS($B$1,"FE_ESTIMATE("&amp;$A10&amp;",MEAN,ANN_ROLL,+1,NOW,,,'')")</f>
        <v>242.17337000000001</v>
      </c>
      <c r="H10" s="281">
        <f t="shared" si="1"/>
        <v>-3.0296477271629652E-4</v>
      </c>
      <c r="I10" s="92">
        <f>MODEL!AC43</f>
        <v>232.39999999999998</v>
      </c>
      <c r="J10" s="92" cm="1">
        <f t="array" ref="J10">_xll.FDS($B$1,"FE_ESTIMATE("&amp;$A10&amp;",MEAN,ANN_ROLL,+2,NOW,,,'')")</f>
        <v>239.76143999999999</v>
      </c>
      <c r="K10" s="281">
        <f t="shared" si="2"/>
        <v>-3.0703185633186081E-2</v>
      </c>
      <c r="L10" s="92">
        <f>MODEL!AF43</f>
        <v>234.65753947183845</v>
      </c>
      <c r="M10" s="92" cm="1">
        <f t="array" ref="M10">_xll.FDS($B$1,"FE_ESTIMATE("&amp;$A10&amp;",MEAN,ANN_ROLL,+3,NOW,,,'')")</f>
        <v>256.55862000000002</v>
      </c>
      <c r="N10" s="281">
        <f t="shared" si="4"/>
        <v>-8.5364820438157851E-2</v>
      </c>
      <c r="P10" s="92"/>
      <c r="Q10" s="92"/>
      <c r="R10" s="92"/>
    </row>
    <row r="11" spans="1:18">
      <c r="A11" t="s">
        <v>269</v>
      </c>
      <c r="B11" t="s">
        <v>269</v>
      </c>
      <c r="C11" s="92">
        <f>MODEL!W77</f>
        <v>120.0331932375537</v>
      </c>
      <c r="D11" s="92" cm="1">
        <f t="array" ref="D11">_xll.FDS($B$1,"FE_ESTIMATE("&amp;$A11&amp;",MEAN,ANN_ROLL,+1,NOW,,,'')")*100</f>
        <v>106.38378</v>
      </c>
      <c r="E11" s="281">
        <f t="shared" si="0"/>
        <v>0.1283035180509069</v>
      </c>
      <c r="F11" s="92">
        <f>MODEL!Z77</f>
        <v>106.32237645451845</v>
      </c>
      <c r="G11" s="92" cm="1">
        <f t="array" ref="G11">_xll.FDS($B$1,"FE_ESTIMATE("&amp;$A11&amp;",MEAN,ANN_ROLL,+1,NOW,,,'')")*100</f>
        <v>106.38378</v>
      </c>
      <c r="H11" s="281">
        <f t="shared" si="1"/>
        <v>-5.7718898013925379E-4</v>
      </c>
      <c r="I11" s="92">
        <f>MODEL!AC77</f>
        <v>102.10322898298389</v>
      </c>
      <c r="J11" s="92" cm="1">
        <f t="array" ref="J11">_xll.FDS($B$1,"FE_ESTIMATE("&amp;$A11&amp;",MEAN,ANN_ROLL,+2,NOW,,,'')")*100</f>
        <v>105.24791</v>
      </c>
      <c r="K11" s="281">
        <f t="shared" si="2"/>
        <v>-2.9878797754901876E-2</v>
      </c>
      <c r="L11" s="92">
        <f>MODEL!AF77</f>
        <v>103.09506232907361</v>
      </c>
      <c r="M11" s="92" cm="1">
        <f t="array" ref="M11">_xll.FDS($B$1,"FE_ESTIMATE("&amp;$A11&amp;",MEAN,ANN_ROLL,+3,NOW,,,'')")*100</f>
        <v>112.13489999999999</v>
      </c>
      <c r="N11" s="281">
        <f t="shared" si="4"/>
        <v>-8.0615737570786439E-2</v>
      </c>
      <c r="P11" s="92">
        <f>MODEL!X77</f>
        <v>63.725117579863976</v>
      </c>
      <c r="Q11" s="92">
        <f>F11-$P11</f>
        <v>42.597258874654472</v>
      </c>
      <c r="R11" s="92">
        <f>G11-$P11</f>
        <v>42.658662420136025</v>
      </c>
    </row>
    <row r="12" spans="1:18">
      <c r="C12" s="92"/>
      <c r="D12" s="92"/>
      <c r="E12" s="281"/>
      <c r="F12" s="92"/>
      <c r="G12" s="92"/>
      <c r="H12" s="281"/>
      <c r="I12" s="92"/>
      <c r="J12" s="92"/>
      <c r="K12" s="281"/>
      <c r="L12" s="92"/>
      <c r="M12" s="92"/>
      <c r="N12" s="281"/>
    </row>
    <row r="13" spans="1:18">
      <c r="A13" t="s">
        <v>891</v>
      </c>
      <c r="B13" t="s">
        <v>892</v>
      </c>
      <c r="C13" s="92">
        <f>MODEL!W111</f>
        <v>670.5</v>
      </c>
      <c r="D13" s="92" cm="1">
        <f t="array" ref="D13">_xll.FDS($B$1,"FE_ESTIMATE("&amp;$A13&amp;",MEAN,ANN_ROLL,+1,NOW,,,'')")</f>
        <v>584.62189999999998</v>
      </c>
      <c r="E13" s="281">
        <f t="shared" si="0"/>
        <v>0.14689511289262347</v>
      </c>
      <c r="F13" s="92">
        <f>MODEL!Z111</f>
        <v>579.5</v>
      </c>
      <c r="G13" s="92" cm="1">
        <f t="array" ref="G13">_xll.FDS($B$1,"FE_ESTIMATE("&amp;$A13&amp;",MEAN,ANN_ROLL,+1,NOW,,,'')")</f>
        <v>584.62189999999998</v>
      </c>
      <c r="H13" s="281">
        <f t="shared" si="1"/>
        <v>-8.7610470972777632E-3</v>
      </c>
      <c r="I13" s="92">
        <f>MODEL!AC111</f>
        <v>509.29999999999995</v>
      </c>
      <c r="J13" s="92" cm="1">
        <f t="array" ref="J13">_xll.FDS($B$1,"FE_ESTIMATE("&amp;$A13&amp;",MEAN,ANN_ROLL,+2,NOW,,,'')")</f>
        <v>590.06330000000003</v>
      </c>
      <c r="K13" s="281">
        <f t="shared" si="2"/>
        <v>-0.13687226438248246</v>
      </c>
      <c r="L13" s="92">
        <f>MODEL!AF111</f>
        <v>629.80729323260061</v>
      </c>
      <c r="M13" s="92" cm="1">
        <f t="array" ref="M13">_xll.FDS($B$1,"FE_ESTIMATE("&amp;$A13&amp;",MEAN,ANN_ROLL,+3,NOW,,,'')")</f>
        <v>619.85266000000001</v>
      </c>
      <c r="N13" s="281">
        <f t="shared" ref="N13:N14" si="5">L13/M13-1</f>
        <v>1.6059676557007352E-2</v>
      </c>
    </row>
    <row r="14" spans="1:18">
      <c r="A14" t="s">
        <v>265</v>
      </c>
      <c r="B14" t="s">
        <v>31</v>
      </c>
      <c r="C14" s="92">
        <f>MODEL!W168+MODEL!W176-MODEL!W150</f>
        <v>-192.29999999999978</v>
      </c>
      <c r="D14" s="92" cm="1">
        <f t="array" ref="D14">_xll.FDS($B$1,"FE_ESTIMATE("&amp;$A14&amp;",MEAN,ANN_ROLL,+1,NOW,,,'')")</f>
        <v>-160.01143999999999</v>
      </c>
      <c r="E14" s="281">
        <f t="shared" si="0"/>
        <v>0.20178907208134489</v>
      </c>
      <c r="F14" s="92">
        <f>MODEL!Z168+MODEL!Z176-MODEL!Z150</f>
        <v>-217.79999999999978</v>
      </c>
      <c r="G14" s="92" cm="1">
        <f t="array" ref="G14">_xll.FDS($B$1,"FE_ESTIMATE("&amp;$A14&amp;",MEAN,ANN_ROLL,+1,NOW,,,'')")</f>
        <v>-160.01143999999999</v>
      </c>
      <c r="H14" s="281">
        <f t="shared" si="1"/>
        <v>0.36115267758355141</v>
      </c>
      <c r="I14" s="92">
        <f>MODEL!AC168+MODEL!AC176-MODEL!AC150</f>
        <v>-63.3</v>
      </c>
      <c r="J14" s="92" cm="1">
        <f t="array" ref="J14">_xll.FDS($B$1,"FE_ESTIMATE("&amp;$A14&amp;",MEAN,ANN_ROLL,+2,NOW,,,'')")</f>
        <v>-127.46048</v>
      </c>
      <c r="K14" s="281">
        <f t="shared" si="2"/>
        <v>-0.50337547763824531</v>
      </c>
      <c r="L14" s="92">
        <f>MODEL!AF168+MODEL!AF176-MODEL!AF150</f>
        <v>-94.380738442804343</v>
      </c>
      <c r="M14" s="92" cm="1">
        <f t="array" ref="M14">_xll.FDS($B$1,"FE_ESTIMATE("&amp;$A14&amp;",MEAN,ANN_ROLL,+3,NOW,,,'')")</f>
        <v>264.58157</v>
      </c>
      <c r="N14" s="281">
        <f t="shared" si="5"/>
        <v>-1.3567169793527354</v>
      </c>
    </row>
    <row r="15" spans="1:18">
      <c r="F15" s="77">
        <f>F3/C3-1</f>
        <v>2.103713053539491E-2</v>
      </c>
      <c r="G15" s="77">
        <f>G3/D3-1</f>
        <v>0</v>
      </c>
      <c r="H15" s="77"/>
      <c r="I15" s="77"/>
      <c r="J15" s="77">
        <f>J3/G3-1</f>
        <v>3.6179628413143483E-2</v>
      </c>
    </row>
    <row r="16" spans="1:18">
      <c r="A16" t="s">
        <v>270</v>
      </c>
      <c r="D16" s="92" cm="1">
        <f t="array" ref="D16">_xll.FDS($B$1,"FE_ESTIMATE("&amp;$A16&amp;",MEAN,ANN_ROLL,+1,NOW,,,'')")*100</f>
        <v>84.225093999999999</v>
      </c>
    </row>
    <row r="18" spans="3:7">
      <c r="C18">
        <f>C4/C3</f>
        <v>0.46226464710213527</v>
      </c>
      <c r="D18">
        <f>D4/D3</f>
        <v>0.45869709698410793</v>
      </c>
    </row>
    <row r="19" spans="3:7">
      <c r="D19" s="285">
        <f>C18-D18</f>
        <v>3.5675501180273406E-3</v>
      </c>
      <c r="G19" s="92">
        <f>G7-G9</f>
        <v>51.134479999999996</v>
      </c>
    </row>
  </sheetData>
  <mergeCells count="4">
    <mergeCell ref="C1:E1"/>
    <mergeCell ref="F1:H1"/>
    <mergeCell ref="I1:K1"/>
    <mergeCell ref="L1:N1"/>
  </mergeCells>
  <printOptions horizontalCentered="1" verticalCentered="1"/>
  <pageMargins left="0.7" right="0.7" top="0.75" bottom="0.75" header="0.3" footer="0.3"/>
  <pageSetup paperSize="0" scale="26" orientation="portrait" r:id="rId1"/>
  <customProperties>
    <customPr name="Qube.Worksheet.Visibility" r:id="rId2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>
    <pageSetUpPr fitToPage="1"/>
  </sheetPr>
  <dimension ref="A1:AK154"/>
  <sheetViews>
    <sheetView workbookViewId="0"/>
  </sheetViews>
  <sheetFormatPr defaultRowHeight="12.75"/>
  <cols>
    <col min="1" max="1" width="23.28515625" bestFit="1" customWidth="1"/>
    <col min="2" max="5" width="12.28515625" customWidth="1"/>
    <col min="6" max="7" width="9.85546875" customWidth="1"/>
    <col min="8" max="10" width="9.5703125" customWidth="1"/>
    <col min="11" max="12" width="9.85546875" customWidth="1"/>
    <col min="13" max="13" width="9.5703125" customWidth="1"/>
    <col min="14" max="14" width="12" bestFit="1" customWidth="1"/>
    <col min="15" max="15" width="9.7109375" bestFit="1" customWidth="1"/>
    <col min="19" max="19" width="16" bestFit="1" customWidth="1"/>
    <col min="20" max="20" width="12.28515625" customWidth="1"/>
    <col min="21" max="21" width="12.85546875" customWidth="1"/>
    <col min="22" max="22" width="9.7109375" bestFit="1" customWidth="1"/>
    <col min="30" max="30" width="10.5703125" bestFit="1" customWidth="1"/>
  </cols>
  <sheetData>
    <row r="1" spans="1:16">
      <c r="B1" t="s">
        <v>545</v>
      </c>
      <c r="C1" t="s">
        <v>618</v>
      </c>
      <c r="D1" t="s">
        <v>541</v>
      </c>
      <c r="E1" t="s">
        <v>621</v>
      </c>
      <c r="F1" t="s">
        <v>279</v>
      </c>
      <c r="G1" t="s">
        <v>552</v>
      </c>
      <c r="H1" t="s">
        <v>553</v>
      </c>
    </row>
    <row r="2" spans="1:16">
      <c r="A2" t="s">
        <v>612</v>
      </c>
      <c r="B2" s="89">
        <v>3.1E-2</v>
      </c>
      <c r="C2" s="89">
        <v>7.4999999999999997E-2</v>
      </c>
      <c r="D2" s="116">
        <f>13.8%*D4+(1-13.8%)*D3</f>
        <v>-0.11214000000000002</v>
      </c>
      <c r="E2" s="116">
        <f>13.8%*E4+(1-13.8%)*E3</f>
        <v>-5.9100000000000014E-2</v>
      </c>
      <c r="F2" s="77">
        <f>(7/26)*B2+(5/26)*C2+(6/26)*D2+(8/26)*E2</f>
        <v>-2.1293846153846163E-2</v>
      </c>
      <c r="G2" s="117">
        <f>13.8%*G4+(1-13.8%)*G3</f>
        <v>-5.4140000000000001E-2</v>
      </c>
      <c r="H2" s="77">
        <f>102.5/((1+F2)*100)-1</f>
        <v>4.7301067814807141E-2</v>
      </c>
    </row>
    <row r="3" spans="1:16">
      <c r="A3" t="s">
        <v>619</v>
      </c>
      <c r="B3" s="89"/>
      <c r="C3" s="89"/>
      <c r="D3" s="116">
        <v>0.03</v>
      </c>
      <c r="E3" s="116">
        <v>-0.02</v>
      </c>
      <c r="G3" s="116">
        <v>-0.05</v>
      </c>
    </row>
    <row r="4" spans="1:16">
      <c r="A4" t="s">
        <v>620</v>
      </c>
      <c r="B4" s="89"/>
      <c r="C4" s="89"/>
      <c r="D4" s="116">
        <v>-1</v>
      </c>
      <c r="E4" s="77">
        <f>(-100%*(12/45))-(5%*(33/45))</f>
        <v>-0.30333333333333334</v>
      </c>
      <c r="G4" s="116">
        <v>-0.08</v>
      </c>
    </row>
    <row r="5" spans="1:16">
      <c r="A5" t="s">
        <v>168</v>
      </c>
      <c r="B5" s="89">
        <v>5.8000000000000003E-2</v>
      </c>
      <c r="C5" s="89">
        <v>1.6E-2</v>
      </c>
      <c r="D5" s="116">
        <v>-0.05</v>
      </c>
      <c r="E5" s="116">
        <v>-7.0000000000000007E-2</v>
      </c>
      <c r="F5" s="77">
        <f>(7/26)*B5+(5/26)*C5+(6/26)*D5+(8/26)*E5</f>
        <v>-1.4384615384615388E-2</v>
      </c>
      <c r="G5" s="116">
        <v>-0.1</v>
      </c>
      <c r="H5" s="77">
        <f>102/((1+F5)*100)-1</f>
        <v>3.4886443455865113E-2</v>
      </c>
    </row>
    <row r="6" spans="1:16">
      <c r="A6" t="s">
        <v>150</v>
      </c>
      <c r="B6" s="116">
        <v>-0.08</v>
      </c>
      <c r="C6" s="116">
        <v>-0.03</v>
      </c>
      <c r="D6" s="116">
        <v>-0.06</v>
      </c>
      <c r="E6" s="116">
        <v>-7.0000000000000007E-2</v>
      </c>
      <c r="F6" s="77">
        <f>(7/26)*B6+(5/26)*C6+(6/26)*D6+(8/26)*E6</f>
        <v>-6.2692307692307686E-2</v>
      </c>
      <c r="G6" s="116">
        <v>-0.1</v>
      </c>
      <c r="H6" s="77">
        <f>98/((1+F6)*100)-1</f>
        <v>4.5547804677882775E-2</v>
      </c>
    </row>
    <row r="7" spans="1:16">
      <c r="A7" t="s">
        <v>246</v>
      </c>
      <c r="B7" s="89">
        <v>-4.0000000000000001E-3</v>
      </c>
      <c r="C7" s="116">
        <v>0.05</v>
      </c>
      <c r="D7" s="116">
        <f>D8*0.51+D9*0.49</f>
        <v>-0.52569999999999995</v>
      </c>
      <c r="E7" s="116">
        <f>E8*0.51+E9*0.49</f>
        <v>-0.18392500000000001</v>
      </c>
      <c r="F7" s="77">
        <f>(7/26)*B7+(5/26)*C7+(6/26)*D7+(8/26)*E7</f>
        <v>-0.16936923076923077</v>
      </c>
      <c r="G7" s="116">
        <v>-0.1</v>
      </c>
      <c r="H7" s="77">
        <f>96/((1+F7)*100)-1</f>
        <v>0.155748180252264</v>
      </c>
    </row>
    <row r="8" spans="1:16">
      <c r="A8" t="s">
        <v>619</v>
      </c>
      <c r="B8" s="89"/>
      <c r="C8" s="116"/>
      <c r="D8" s="116">
        <v>-7.0000000000000007E-2</v>
      </c>
      <c r="E8" s="116">
        <v>-7.0000000000000007E-2</v>
      </c>
    </row>
    <row r="9" spans="1:16">
      <c r="A9" t="s">
        <v>620</v>
      </c>
      <c r="B9" s="89"/>
      <c r="C9" s="116"/>
      <c r="D9" s="116">
        <v>-1</v>
      </c>
      <c r="E9" s="77">
        <f>(-100%*(9/36))-(7%*(27/36))</f>
        <v>-0.30249999999999999</v>
      </c>
    </row>
    <row r="11" spans="1:16">
      <c r="B11">
        <v>27</v>
      </c>
      <c r="C11">
        <v>28</v>
      </c>
      <c r="D11">
        <v>29</v>
      </c>
      <c r="E11">
        <v>30</v>
      </c>
      <c r="F11">
        <v>31</v>
      </c>
      <c r="G11">
        <v>32</v>
      </c>
      <c r="H11">
        <v>33</v>
      </c>
      <c r="I11">
        <f>H11+1</f>
        <v>34</v>
      </c>
      <c r="K11">
        <f>I11+1</f>
        <v>35</v>
      </c>
      <c r="M11">
        <f>K11+1</f>
        <v>36</v>
      </c>
      <c r="N11">
        <f>M11+1</f>
        <v>37</v>
      </c>
      <c r="O11">
        <f>N11+1</f>
        <v>38</v>
      </c>
      <c r="P11">
        <f>O11+1</f>
        <v>39</v>
      </c>
    </row>
    <row r="12" spans="1:16">
      <c r="A12" t="s">
        <v>613</v>
      </c>
      <c r="B12" s="140">
        <v>43828</v>
      </c>
      <c r="C12" s="140">
        <f>B13+1</f>
        <v>43835</v>
      </c>
      <c r="D12" s="140">
        <f t="shared" ref="D12:P12" si="0">C13+1</f>
        <v>43842</v>
      </c>
      <c r="E12" s="140">
        <f t="shared" si="0"/>
        <v>43849</v>
      </c>
      <c r="F12" s="140">
        <f t="shared" si="0"/>
        <v>43856</v>
      </c>
      <c r="G12" s="140">
        <f t="shared" si="0"/>
        <v>43863</v>
      </c>
      <c r="H12" s="140">
        <f t="shared" si="0"/>
        <v>43870</v>
      </c>
      <c r="I12" s="140">
        <f t="shared" si="0"/>
        <v>43877</v>
      </c>
      <c r="J12" s="140"/>
      <c r="K12" s="140">
        <f>I13+1</f>
        <v>43884</v>
      </c>
      <c r="L12" s="140"/>
      <c r="M12" s="140">
        <f>K13+1</f>
        <v>43891</v>
      </c>
      <c r="N12" s="140">
        <f t="shared" si="0"/>
        <v>43898</v>
      </c>
      <c r="O12" s="140">
        <f t="shared" si="0"/>
        <v>43905</v>
      </c>
      <c r="P12" s="140">
        <f t="shared" si="0"/>
        <v>43912</v>
      </c>
    </row>
    <row r="13" spans="1:16">
      <c r="A13" t="s">
        <v>614</v>
      </c>
      <c r="B13" s="140">
        <f t="shared" ref="B13:I13" si="1">B12+6</f>
        <v>43834</v>
      </c>
      <c r="C13" s="140">
        <f t="shared" si="1"/>
        <v>43841</v>
      </c>
      <c r="D13" s="140">
        <f t="shared" si="1"/>
        <v>43848</v>
      </c>
      <c r="E13" s="140">
        <f t="shared" si="1"/>
        <v>43855</v>
      </c>
      <c r="F13" s="140">
        <f t="shared" si="1"/>
        <v>43862</v>
      </c>
      <c r="G13" s="140">
        <f t="shared" si="1"/>
        <v>43869</v>
      </c>
      <c r="H13" s="140">
        <f t="shared" si="1"/>
        <v>43876</v>
      </c>
      <c r="I13" s="140">
        <f t="shared" si="1"/>
        <v>43883</v>
      </c>
      <c r="J13" s="140"/>
      <c r="K13" s="140">
        <f>K12+6</f>
        <v>43890</v>
      </c>
      <c r="L13" s="140"/>
      <c r="M13" s="140">
        <f>M12+6</f>
        <v>43897</v>
      </c>
      <c r="N13" s="140">
        <f>N12+6</f>
        <v>43904</v>
      </c>
      <c r="O13" s="140">
        <f>O12+6</f>
        <v>43911</v>
      </c>
      <c r="P13" s="140">
        <f>P12+6</f>
        <v>43918</v>
      </c>
    </row>
    <row r="15" spans="1:16">
      <c r="B15">
        <f>P11+1</f>
        <v>40</v>
      </c>
      <c r="C15">
        <f>B15+1</f>
        <v>41</v>
      </c>
      <c r="D15">
        <f t="shared" ref="D15:P15" si="2">C15+1</f>
        <v>42</v>
      </c>
      <c r="E15">
        <f t="shared" si="2"/>
        <v>43</v>
      </c>
      <c r="F15">
        <f t="shared" si="2"/>
        <v>44</v>
      </c>
      <c r="G15">
        <f t="shared" si="2"/>
        <v>45</v>
      </c>
      <c r="H15">
        <f t="shared" si="2"/>
        <v>46</v>
      </c>
      <c r="I15">
        <f t="shared" si="2"/>
        <v>47</v>
      </c>
      <c r="K15">
        <f>I15+1</f>
        <v>48</v>
      </c>
      <c r="M15">
        <f>K15+1</f>
        <v>49</v>
      </c>
      <c r="N15">
        <f t="shared" si="2"/>
        <v>50</v>
      </c>
      <c r="O15">
        <f t="shared" si="2"/>
        <v>51</v>
      </c>
      <c r="P15">
        <f t="shared" si="2"/>
        <v>52</v>
      </c>
    </row>
    <row r="16" spans="1:16">
      <c r="B16" s="140">
        <f>P13+1</f>
        <v>43919</v>
      </c>
      <c r="C16" s="140">
        <f>B17+1</f>
        <v>43926</v>
      </c>
      <c r="D16" s="140">
        <f t="shared" ref="D16:P16" si="3">C17+1</f>
        <v>43933</v>
      </c>
      <c r="E16" s="140">
        <f t="shared" si="3"/>
        <v>43940</v>
      </c>
      <c r="F16" s="140">
        <f t="shared" si="3"/>
        <v>43947</v>
      </c>
      <c r="G16" s="140">
        <f t="shared" si="3"/>
        <v>43954</v>
      </c>
      <c r="H16" s="140">
        <f t="shared" si="3"/>
        <v>43961</v>
      </c>
      <c r="I16" s="140">
        <f t="shared" si="3"/>
        <v>43968</v>
      </c>
      <c r="J16" s="140"/>
      <c r="K16" s="140">
        <f>I17+1</f>
        <v>43975</v>
      </c>
      <c r="L16" s="140"/>
      <c r="M16" s="140">
        <f>K17+1</f>
        <v>43982</v>
      </c>
      <c r="N16" s="140">
        <f t="shared" si="3"/>
        <v>43989</v>
      </c>
      <c r="O16" s="140">
        <f t="shared" si="3"/>
        <v>43996</v>
      </c>
      <c r="P16" s="140">
        <f t="shared" si="3"/>
        <v>44003</v>
      </c>
    </row>
    <row r="17" spans="1:16">
      <c r="B17" s="140">
        <f t="shared" ref="B17:I17" si="4">B16+6</f>
        <v>43925</v>
      </c>
      <c r="C17" s="140">
        <f t="shared" si="4"/>
        <v>43932</v>
      </c>
      <c r="D17" s="140">
        <f t="shared" si="4"/>
        <v>43939</v>
      </c>
      <c r="E17" s="140">
        <f t="shared" si="4"/>
        <v>43946</v>
      </c>
      <c r="F17" s="140">
        <f t="shared" si="4"/>
        <v>43953</v>
      </c>
      <c r="G17" s="140">
        <f t="shared" si="4"/>
        <v>43960</v>
      </c>
      <c r="H17" s="140">
        <f t="shared" si="4"/>
        <v>43967</v>
      </c>
      <c r="I17" s="140">
        <f t="shared" si="4"/>
        <v>43974</v>
      </c>
      <c r="J17" s="140"/>
      <c r="K17" s="140">
        <f>K16+6</f>
        <v>43981</v>
      </c>
      <c r="L17" s="140"/>
      <c r="M17" s="140">
        <f>M16+6</f>
        <v>43988</v>
      </c>
      <c r="N17" s="140">
        <f>N16+6</f>
        <v>43995</v>
      </c>
      <c r="O17" s="140">
        <f>O16+6</f>
        <v>44002</v>
      </c>
      <c r="P17" s="140">
        <f>P16+6</f>
        <v>44009</v>
      </c>
    </row>
    <row r="21" spans="1:16">
      <c r="D21" s="116"/>
      <c r="E21" s="77"/>
    </row>
    <row r="22" spans="1:16">
      <c r="D22" s="116"/>
      <c r="E22" s="77"/>
    </row>
    <row r="24" spans="1:16">
      <c r="C24" t="s">
        <v>624</v>
      </c>
    </row>
    <row r="25" spans="1:16">
      <c r="A25" t="s">
        <v>622</v>
      </c>
      <c r="B25">
        <v>443.5</v>
      </c>
      <c r="C25">
        <f>SUM(C26:C27)</f>
        <v>432.78947500000004</v>
      </c>
    </row>
    <row r="26" spans="1:16" ht="14.25">
      <c r="A26" t="s">
        <v>61</v>
      </c>
      <c r="B26">
        <f>B25*0.138</f>
        <v>61.203000000000003</v>
      </c>
      <c r="C26">
        <f>B26*0.825</f>
        <v>50.492474999999999</v>
      </c>
      <c r="G26" s="142"/>
    </row>
    <row r="27" spans="1:16" ht="14.25">
      <c r="A27" t="s">
        <v>623</v>
      </c>
      <c r="B27">
        <f>B25-B26</f>
        <v>382.29700000000003</v>
      </c>
      <c r="C27">
        <f>B27</f>
        <v>382.29700000000003</v>
      </c>
      <c r="G27" s="142"/>
    </row>
    <row r="28" spans="1:16">
      <c r="G28" s="143"/>
    </row>
    <row r="29" spans="1:16" ht="14.25">
      <c r="A29" t="s">
        <v>625</v>
      </c>
      <c r="B29">
        <f>73-4.7</f>
        <v>68.3</v>
      </c>
      <c r="C29">
        <f>SUM(C30:C31)</f>
        <v>64.116624999999999</v>
      </c>
      <c r="D29" s="141">
        <f>Divisionals!M205-Divisionals!M227</f>
        <v>49.000000000000007</v>
      </c>
      <c r="G29" s="142"/>
    </row>
    <row r="30" spans="1:16">
      <c r="A30" t="s">
        <v>61</v>
      </c>
      <c r="B30">
        <f>B29*0.49</f>
        <v>33.466999999999999</v>
      </c>
      <c r="C30">
        <f>B30*0.875</f>
        <v>29.283625000000001</v>
      </c>
    </row>
    <row r="31" spans="1:16">
      <c r="A31" t="s">
        <v>623</v>
      </c>
      <c r="B31">
        <f>B29-B30</f>
        <v>34.832999999999998</v>
      </c>
      <c r="C31">
        <f>B31</f>
        <v>34.832999999999998</v>
      </c>
    </row>
    <row r="33" spans="1:3">
      <c r="A33" s="144" t="s">
        <v>626</v>
      </c>
    </row>
    <row r="34" spans="1:3">
      <c r="A34" t="s">
        <v>627</v>
      </c>
      <c r="B34">
        <v>635</v>
      </c>
    </row>
    <row r="35" spans="1:3">
      <c r="A35" t="s">
        <v>628</v>
      </c>
      <c r="B35">
        <v>100</v>
      </c>
    </row>
    <row r="36" spans="1:3">
      <c r="B36">
        <f>SUM(B34:B35)</f>
        <v>735</v>
      </c>
    </row>
    <row r="37" spans="1:3">
      <c r="A37" t="s">
        <v>629</v>
      </c>
      <c r="B37">
        <f>MODEL!L176</f>
        <v>303.39999999999998</v>
      </c>
    </row>
    <row r="38" spans="1:3">
      <c r="B38">
        <f>B36-B37</f>
        <v>431.6</v>
      </c>
    </row>
    <row r="39" spans="1:3">
      <c r="A39" t="s">
        <v>0</v>
      </c>
      <c r="B39">
        <f>MODEL!L150</f>
        <v>57.100000000000023</v>
      </c>
    </row>
    <row r="40" spans="1:3">
      <c r="B40">
        <f>B38+B39</f>
        <v>488.70000000000005</v>
      </c>
    </row>
    <row r="41" spans="1:3">
      <c r="A41" t="s">
        <v>630</v>
      </c>
      <c r="B41">
        <v>50</v>
      </c>
    </row>
    <row r="42" spans="1:3">
      <c r="B42">
        <f>B40-B41</f>
        <v>438.70000000000005</v>
      </c>
      <c r="C42" t="s">
        <v>636</v>
      </c>
    </row>
    <row r="43" spans="1:3">
      <c r="A43" t="s">
        <v>82</v>
      </c>
      <c r="B43" s="92">
        <v>1019.4775276924879</v>
      </c>
      <c r="C43">
        <f>SUM(C44:C46)</f>
        <v>678.65944169842624</v>
      </c>
    </row>
    <row r="44" spans="1:3">
      <c r="A44" t="s">
        <v>633</v>
      </c>
      <c r="B44" s="92">
        <v>559.61488194086667</v>
      </c>
      <c r="C44">
        <f>B44*0.5</f>
        <v>279.80744097043333</v>
      </c>
    </row>
    <row r="45" spans="1:3">
      <c r="A45" t="s">
        <v>634</v>
      </c>
      <c r="B45" s="92">
        <v>244.04258009451326</v>
      </c>
      <c r="C45">
        <f>B45*0.75</f>
        <v>183.03193507088494</v>
      </c>
    </row>
    <row r="46" spans="1:3">
      <c r="A46" t="s">
        <v>635</v>
      </c>
      <c r="B46" s="92">
        <f>B43-B44-B45</f>
        <v>215.82006565710799</v>
      </c>
      <c r="C46" s="92">
        <f>B46</f>
        <v>215.82006565710799</v>
      </c>
    </row>
    <row r="47" spans="1:3">
      <c r="B47" s="92"/>
    </row>
    <row r="48" spans="1:3">
      <c r="A48" t="s">
        <v>631</v>
      </c>
      <c r="B48" s="92">
        <f>B43/12</f>
        <v>84.956460641040664</v>
      </c>
      <c r="C48" s="92">
        <f>C43/12</f>
        <v>56.554953474868853</v>
      </c>
    </row>
    <row r="50" spans="1:17">
      <c r="A50" t="s">
        <v>632</v>
      </c>
      <c r="B50" s="92">
        <f>B42/B48</f>
        <v>5.163821523281225</v>
      </c>
      <c r="C50" s="92">
        <f>B42/C48</f>
        <v>7.7570570400158454</v>
      </c>
    </row>
    <row r="52" spans="1:17">
      <c r="C52" s="150">
        <v>43828</v>
      </c>
      <c r="D52" s="150">
        <f>C53+1</f>
        <v>43877</v>
      </c>
      <c r="E52" s="150">
        <f>D53+1</f>
        <v>43912</v>
      </c>
      <c r="F52" s="150">
        <f>E53+1</f>
        <v>43975</v>
      </c>
      <c r="G52" s="150">
        <f>F53+1</f>
        <v>44010</v>
      </c>
    </row>
    <row r="53" spans="1:17">
      <c r="A53" s="144" t="s">
        <v>637</v>
      </c>
      <c r="C53" s="150">
        <f>C52+(7*7)-1</f>
        <v>43876</v>
      </c>
      <c r="D53" s="150">
        <f>D52+(7*5)-1</f>
        <v>43911</v>
      </c>
      <c r="E53" s="150">
        <f>E52+(7*9)-1</f>
        <v>43974</v>
      </c>
      <c r="F53" s="150">
        <f>F52+(7*5)-1</f>
        <v>44009</v>
      </c>
      <c r="G53" s="150">
        <f>G52+7*7-1</f>
        <v>44058</v>
      </c>
    </row>
    <row r="54" spans="1:17">
      <c r="B54" t="s">
        <v>278</v>
      </c>
      <c r="C54" t="s">
        <v>655</v>
      </c>
      <c r="D54" t="s">
        <v>656</v>
      </c>
      <c r="E54" t="s">
        <v>657</v>
      </c>
      <c r="F54" t="s">
        <v>658</v>
      </c>
      <c r="G54" t="s">
        <v>664</v>
      </c>
      <c r="H54" t="s">
        <v>279</v>
      </c>
      <c r="I54" t="s">
        <v>410</v>
      </c>
      <c r="K54" t="s">
        <v>552</v>
      </c>
      <c r="M54" t="s">
        <v>553</v>
      </c>
    </row>
    <row r="55" spans="1:17">
      <c r="A55" t="s">
        <v>612</v>
      </c>
      <c r="B55" s="89">
        <v>2.4E-2</v>
      </c>
      <c r="C55" s="89">
        <v>3.1E-2</v>
      </c>
      <c r="D55" s="89">
        <v>7.4999999999999997E-2</v>
      </c>
      <c r="E55" s="89">
        <v>3.6999999999999998E-2</v>
      </c>
      <c r="F55" s="148">
        <v>0.39400000000000002</v>
      </c>
      <c r="G55" s="116">
        <v>0.23</v>
      </c>
      <c r="H55" s="77">
        <f>((1+C55)^7*(1+D55)^5*(1+E55)^9*(1+F55)^5)^(1/26)-1</f>
        <v>0.10360700451515426</v>
      </c>
      <c r="I55" s="145">
        <f>((1+B55)*Divisionals!I63+(1+H55)*Divisionals!J63)/Divisionals!K63-1</f>
        <v>6.3000241112651789E-2</v>
      </c>
      <c r="J55" s="145"/>
      <c r="K55" s="149">
        <f>1.03^2/(1+B55)-1</f>
        <v>3.6035156249999867E-2</v>
      </c>
      <c r="L55" s="149"/>
      <c r="M55" s="149">
        <f>1.03^2/(1+H55)-1</f>
        <v>-3.8697656267519531E-2</v>
      </c>
    </row>
    <row r="56" spans="1:17">
      <c r="A56" t="s">
        <v>168</v>
      </c>
      <c r="B56" s="89">
        <v>3.3000000000000002E-2</v>
      </c>
      <c r="C56" s="89">
        <v>5.8000000000000003E-2</v>
      </c>
      <c r="D56" s="89">
        <v>1.6E-2</v>
      </c>
      <c r="E56" s="89">
        <v>-2.3E-2</v>
      </c>
      <c r="F56" s="148">
        <v>5.5E-2</v>
      </c>
      <c r="G56" s="116">
        <v>0.3</v>
      </c>
      <c r="H56" s="77">
        <f>((1+C56)^7*(1+D56)^5*(1+E56)^9*(1+F56)^5)^(1/26)-1</f>
        <v>2.0684687452152684E-2</v>
      </c>
      <c r="I56" s="145">
        <f>((1+B56)*Divisionals!I340+(1+H56)*Divisionals!J340)/Divisionals!K340-1</f>
        <v>2.7032574350831506E-2</v>
      </c>
      <c r="J56" s="145"/>
      <c r="K56" s="149">
        <v>1.4999999999999999E-2</v>
      </c>
      <c r="L56" s="149"/>
      <c r="M56" s="149">
        <v>0.01</v>
      </c>
    </row>
    <row r="57" spans="1:17">
      <c r="A57" t="s">
        <v>150</v>
      </c>
      <c r="B57" s="89">
        <v>-5.0000000000000001E-3</v>
      </c>
      <c r="C57" s="89">
        <v>-0.08</v>
      </c>
      <c r="D57" s="89">
        <v>-0.03</v>
      </c>
      <c r="E57" s="89">
        <v>-7.0000000000000001E-3</v>
      </c>
      <c r="F57" s="148">
        <v>0.68600000000000005</v>
      </c>
      <c r="G57" s="116">
        <v>0.72</v>
      </c>
      <c r="H57" s="77">
        <f>((1+C57)^7*(1+D57)^5*(1+E57)^9*(1+F57)^5)^(1/26)-1</f>
        <v>7.2203197667032981E-2</v>
      </c>
      <c r="I57" s="145">
        <f>((1+B57)*Divisionals!I152+(1+H57)*Divisionals!J152)/Divisionals!K152-1</f>
        <v>2.9985980753890473E-2</v>
      </c>
      <c r="J57" s="145"/>
      <c r="K57" s="149">
        <v>0.03</v>
      </c>
      <c r="L57" s="149"/>
      <c r="M57" s="149">
        <v>0.01</v>
      </c>
    </row>
    <row r="58" spans="1:17">
      <c r="A58" t="s">
        <v>246</v>
      </c>
      <c r="B58" s="89">
        <f>Divisionals!L199</f>
        <v>-9.2107594343063703E-2</v>
      </c>
      <c r="C58" s="89">
        <v>-4.0000000000000001E-3</v>
      </c>
      <c r="D58" s="89">
        <v>0.05</v>
      </c>
      <c r="E58" s="89">
        <v>-0.38800000000000001</v>
      </c>
      <c r="F58" s="148">
        <v>0.26</v>
      </c>
      <c r="G58" s="116">
        <v>0.16</v>
      </c>
      <c r="H58" s="77">
        <f>((1+C58)^7*(1+D58)^5*(1+E58)^9*(1+F58)^5)^(1/26)-1</f>
        <v>-0.11061164657579448</v>
      </c>
      <c r="I58" s="145">
        <f>((1+B58)*Divisionals!I205+(1+H58)*Divisionals!J205)/Divisionals!K205-1</f>
        <v>-0.10166624380334321</v>
      </c>
      <c r="J58" s="145"/>
      <c r="K58" s="149">
        <f>1.03^2/(1+B58)-1</f>
        <v>0.16853053664696072</v>
      </c>
      <c r="L58" s="149"/>
      <c r="M58" s="149">
        <f>1^2/(1+H58)-1</f>
        <v>0.1243682201930485</v>
      </c>
    </row>
    <row r="60" spans="1:17">
      <c r="B60" s="147" t="s">
        <v>36</v>
      </c>
      <c r="C60" s="147"/>
      <c r="D60" s="147"/>
      <c r="E60" s="147" t="s">
        <v>639</v>
      </c>
      <c r="F60" s="147"/>
      <c r="G60" s="147"/>
      <c r="H60" s="1412" t="s">
        <v>638</v>
      </c>
      <c r="I60" s="1412"/>
      <c r="J60" s="1412"/>
      <c r="K60" s="1412"/>
      <c r="L60" s="147"/>
      <c r="M60" s="1412" t="s">
        <v>641</v>
      </c>
      <c r="N60" s="1412"/>
      <c r="O60" s="1412"/>
      <c r="Q60" t="s">
        <v>649</v>
      </c>
    </row>
    <row r="61" spans="1:17">
      <c r="A61" s="144" t="s">
        <v>410</v>
      </c>
      <c r="B61" t="s">
        <v>390</v>
      </c>
      <c r="C61" t="s">
        <v>640</v>
      </c>
      <c r="D61" t="s">
        <v>139</v>
      </c>
      <c r="E61" t="s">
        <v>390</v>
      </c>
      <c r="F61" t="s">
        <v>640</v>
      </c>
      <c r="G61" t="s">
        <v>139</v>
      </c>
      <c r="H61" t="s">
        <v>390</v>
      </c>
      <c r="I61" t="s">
        <v>640</v>
      </c>
      <c r="K61" t="s">
        <v>139</v>
      </c>
      <c r="M61" t="s">
        <v>390</v>
      </c>
      <c r="N61" t="s">
        <v>640</v>
      </c>
      <c r="O61" t="s">
        <v>139</v>
      </c>
    </row>
    <row r="62" spans="1:17">
      <c r="A62" t="s">
        <v>612</v>
      </c>
      <c r="B62">
        <f>Divisionals!L95</f>
        <v>37.200000000000003</v>
      </c>
      <c r="C62" s="92">
        <f>D62-B62</f>
        <v>513.5</v>
      </c>
      <c r="D62">
        <f>Divisionals!$L$63</f>
        <v>550.70000000000005</v>
      </c>
      <c r="F62" s="92"/>
      <c r="G62" s="92">
        <f>987-D62-K62</f>
        <v>267.29999999999995</v>
      </c>
      <c r="H62">
        <v>16.899999999999999</v>
      </c>
      <c r="I62" s="92">
        <f>K62-H62</f>
        <v>152.09999999999997</v>
      </c>
      <c r="J62" s="92"/>
      <c r="K62" s="92">
        <f>H62/0.1</f>
        <v>168.99999999999997</v>
      </c>
      <c r="L62" s="92"/>
      <c r="O62" s="92">
        <f>D62+G62+K62</f>
        <v>987</v>
      </c>
      <c r="P62" s="92">
        <f>P70*(1+F55)</f>
        <v>135.22546309751434</v>
      </c>
      <c r="Q62" s="92">
        <f>O62+P62</f>
        <v>1122.2254630975144</v>
      </c>
    </row>
    <row r="63" spans="1:17">
      <c r="A63" t="s">
        <v>168</v>
      </c>
      <c r="B63">
        <f>Divisionals!L381</f>
        <v>59.3</v>
      </c>
      <c r="C63" s="92">
        <f>D63-B63</f>
        <v>483.49999999999994</v>
      </c>
      <c r="D63">
        <f>Divisionals!$L$340</f>
        <v>542.79999999999995</v>
      </c>
      <c r="F63" s="92"/>
      <c r="G63" s="92">
        <f>945-D63-K63</f>
        <v>258.62857142857149</v>
      </c>
      <c r="H63">
        <v>40.200000000000003</v>
      </c>
      <c r="I63" s="92">
        <f>K63-H63</f>
        <v>103.37142857142855</v>
      </c>
      <c r="J63" s="92"/>
      <c r="K63" s="92">
        <f>H63/0.28</f>
        <v>143.57142857142856</v>
      </c>
      <c r="L63" s="92"/>
      <c r="O63" s="92">
        <f>D63+G63+K63</f>
        <v>945</v>
      </c>
      <c r="P63" s="92">
        <f>P71*(1+F56)</f>
        <v>95.832852105778485</v>
      </c>
      <c r="Q63" s="92">
        <f>O63+P63</f>
        <v>1040.8328521057786</v>
      </c>
    </row>
    <row r="64" spans="1:17">
      <c r="A64" t="s">
        <v>150</v>
      </c>
      <c r="B64">
        <v>23.7</v>
      </c>
      <c r="C64" s="92">
        <f>D64-B64</f>
        <v>259.8</v>
      </c>
      <c r="D64">
        <f>Divisionals!$L$152</f>
        <v>283.5</v>
      </c>
      <c r="F64" s="92"/>
      <c r="G64" s="92">
        <f>478-D64-K64</f>
        <v>126.16666666666667</v>
      </c>
      <c r="H64">
        <v>8.1999999999999993</v>
      </c>
      <c r="I64" s="92">
        <f>K64-H64</f>
        <v>60.133333333333326</v>
      </c>
      <c r="J64" s="92"/>
      <c r="K64" s="92">
        <f>H64/0.12</f>
        <v>68.333333333333329</v>
      </c>
      <c r="L64" s="92"/>
      <c r="O64" s="92">
        <f>D64+G64+K64</f>
        <v>478</v>
      </c>
      <c r="P64" s="92">
        <f>P72*(1+F57)</f>
        <v>56.842964185110688</v>
      </c>
      <c r="Q64" s="92">
        <f>O64+P64</f>
        <v>534.84296418511065</v>
      </c>
    </row>
    <row r="65" spans="1:29">
      <c r="A65" t="s">
        <v>246</v>
      </c>
      <c r="B65">
        <v>6.6</v>
      </c>
      <c r="C65" s="92">
        <f>D65-B65</f>
        <v>59.9</v>
      </c>
      <c r="D65" s="146">
        <f>Divisionals!$L$205</f>
        <v>66.5</v>
      </c>
      <c r="F65" s="92"/>
      <c r="G65" s="92">
        <f>109-D65-K65</f>
        <v>26.989795918367349</v>
      </c>
      <c r="H65">
        <v>7.6</v>
      </c>
      <c r="I65" s="92">
        <f>K65-H65</f>
        <v>7.9102040816326529</v>
      </c>
      <c r="J65" s="92"/>
      <c r="K65" s="92">
        <f>H65/0.49</f>
        <v>15.510204081632653</v>
      </c>
      <c r="L65" s="92"/>
      <c r="O65" s="92">
        <f>D65+G65+K65</f>
        <v>109</v>
      </c>
      <c r="P65" s="92">
        <f>P73*(1+F58)</f>
        <v>22.288000000000011</v>
      </c>
      <c r="Q65" s="92">
        <f>O65+P65</f>
        <v>131.28800000000001</v>
      </c>
    </row>
    <row r="66" spans="1:29">
      <c r="B66" s="92">
        <f>SUM(B62:B65)</f>
        <v>126.8</v>
      </c>
      <c r="C66" s="92">
        <f>D66-B66</f>
        <v>1316.7</v>
      </c>
      <c r="D66" s="92">
        <f>SUM(D62:D65)</f>
        <v>1443.5</v>
      </c>
      <c r="E66" s="92">
        <f>G66*0.122</f>
        <v>82.848374149659861</v>
      </c>
      <c r="F66" s="92">
        <f>G66-E66</f>
        <v>596.23665986394553</v>
      </c>
      <c r="G66" s="92">
        <f>SUM(G62:G65)</f>
        <v>679.08503401360542</v>
      </c>
      <c r="H66" s="92">
        <f>SUM(H62:H65)</f>
        <v>72.899999999999991</v>
      </c>
      <c r="I66" s="92">
        <f>K66-H66</f>
        <v>323.51496598639454</v>
      </c>
      <c r="J66" s="92"/>
      <c r="K66" s="92">
        <f>SUM(K62:K65)</f>
        <v>396.41496598639452</v>
      </c>
      <c r="L66" s="92"/>
      <c r="M66" s="92">
        <f>B66+E66+H66</f>
        <v>282.54837414965982</v>
      </c>
      <c r="N66" s="92">
        <f>C66+F66+I66</f>
        <v>2236.45162585034</v>
      </c>
      <c r="O66" s="92">
        <f>D66+G66+K66</f>
        <v>2519</v>
      </c>
      <c r="P66" s="92">
        <f>P74*(1+F59)</f>
        <v>239.24575738669935</v>
      </c>
      <c r="Q66" s="92">
        <f>O66+P66</f>
        <v>2758.2457573866996</v>
      </c>
    </row>
    <row r="67" spans="1:29">
      <c r="Q67" s="92"/>
    </row>
    <row r="68" spans="1:29">
      <c r="B68" s="147" t="s">
        <v>36</v>
      </c>
      <c r="C68" s="147"/>
      <c r="D68" s="147"/>
      <c r="E68" s="147" t="s">
        <v>639</v>
      </c>
      <c r="F68" s="147"/>
      <c r="G68" s="147"/>
      <c r="H68" s="1412" t="s">
        <v>638</v>
      </c>
      <c r="I68" s="1412"/>
      <c r="J68" s="1412"/>
      <c r="K68" s="1412"/>
      <c r="L68" s="147"/>
      <c r="M68" s="1412" t="s">
        <v>641</v>
      </c>
      <c r="N68" s="1412"/>
      <c r="O68" s="1412"/>
    </row>
    <row r="69" spans="1:29">
      <c r="A69" s="144" t="s">
        <v>409</v>
      </c>
      <c r="B69" t="s">
        <v>390</v>
      </c>
      <c r="C69" t="s">
        <v>640</v>
      </c>
      <c r="D69" t="s">
        <v>139</v>
      </c>
      <c r="E69" t="s">
        <v>390</v>
      </c>
      <c r="F69" t="s">
        <v>640</v>
      </c>
      <c r="G69" t="s">
        <v>139</v>
      </c>
      <c r="H69" t="s">
        <v>390</v>
      </c>
      <c r="I69" t="s">
        <v>640</v>
      </c>
      <c r="K69" t="s">
        <v>139</v>
      </c>
      <c r="M69" t="s">
        <v>390</v>
      </c>
      <c r="N69" t="s">
        <v>640</v>
      </c>
      <c r="O69" t="s">
        <v>139</v>
      </c>
      <c r="P69" t="s">
        <v>648</v>
      </c>
      <c r="S69" s="77">
        <f>(1.28^44/1.252^33)^(1/11)-1</f>
        <v>0.36781351941640783</v>
      </c>
      <c r="U69" s="77">
        <f>(((1.033^5)*((1-0.017)^9))/(1.265^4))^(1/10)-1</f>
        <v>-8.9013131999810091E-2</v>
      </c>
      <c r="V69">
        <f>((1+S69)*(1+U69))^(1/2)-1</f>
        <v>0.1162706455253002</v>
      </c>
    </row>
    <row r="70" spans="1:29">
      <c r="A70" t="s">
        <v>612</v>
      </c>
      <c r="B70" s="92">
        <f>B62/1.24</f>
        <v>30.000000000000004</v>
      </c>
      <c r="C70" s="92">
        <f>D70-B70</f>
        <v>500.79999999999995</v>
      </c>
      <c r="D70">
        <f>Divisionals!$I$63</f>
        <v>530.79999999999995</v>
      </c>
      <c r="F70" s="92"/>
      <c r="G70" s="92"/>
      <c r="H70" s="115">
        <f>H62/1.65</f>
        <v>10.242424242424242</v>
      </c>
      <c r="I70" s="92"/>
      <c r="J70" s="92"/>
      <c r="K70" s="92"/>
      <c r="L70" s="92"/>
      <c r="O70" s="92">
        <f>O62/1.046</f>
        <v>943.59464627151044</v>
      </c>
      <c r="P70" s="92">
        <f>Divisionals!K7-O70</f>
        <v>97.005353728489467</v>
      </c>
    </row>
    <row r="71" spans="1:29">
      <c r="A71" t="s">
        <v>168</v>
      </c>
      <c r="B71" s="92">
        <f>B63/1.21</f>
        <v>49.008264462809919</v>
      </c>
      <c r="C71" s="92">
        <f>D71-B71</f>
        <v>474.89173553719007</v>
      </c>
      <c r="D71">
        <f>Divisionals!$I$340</f>
        <v>523.9</v>
      </c>
      <c r="F71" s="92"/>
      <c r="G71" s="92"/>
      <c r="H71" s="115">
        <f>H63/2.76</f>
        <v>14.565217391304349</v>
      </c>
      <c r="I71" s="92"/>
      <c r="J71" s="92"/>
      <c r="K71" s="92"/>
      <c r="L71" s="92"/>
      <c r="O71" s="92">
        <f>O63/1.021</f>
        <v>925.56317335945164</v>
      </c>
      <c r="P71" s="92">
        <f>Divisionals!K10-O71</f>
        <v>90.836826640548338</v>
      </c>
    </row>
    <row r="72" spans="1:29">
      <c r="A72" t="s">
        <v>150</v>
      </c>
      <c r="B72" s="92">
        <f>B64/1.22</f>
        <v>19.42622950819672</v>
      </c>
      <c r="C72" s="92">
        <f>D72-B72</f>
        <v>261.97377049180324</v>
      </c>
      <c r="D72">
        <f>Divisionals!$I$152</f>
        <v>281.39999999999998</v>
      </c>
      <c r="F72" s="92"/>
      <c r="G72" s="92"/>
      <c r="H72" s="115">
        <f>H64/1.89</f>
        <v>4.3386243386243386</v>
      </c>
      <c r="I72" s="92"/>
      <c r="J72" s="92"/>
      <c r="K72" s="92"/>
      <c r="L72" s="92"/>
      <c r="O72" s="92">
        <f>O64/(1-0.006)</f>
        <v>480.88531187122737</v>
      </c>
      <c r="P72" s="92">
        <f>Divisionals!K152-O72</f>
        <v>33.71468812877265</v>
      </c>
    </row>
    <row r="73" spans="1:29">
      <c r="A73" t="s">
        <v>246</v>
      </c>
      <c r="B73" s="92">
        <f>B65/1.27</f>
        <v>5.1968503937007871</v>
      </c>
      <c r="C73" s="92">
        <f>D73-B73</f>
        <v>61.903149606299209</v>
      </c>
      <c r="D73" s="146">
        <f>Divisionals!$I$205</f>
        <v>67.099999999999994</v>
      </c>
      <c r="F73" s="92"/>
      <c r="G73" s="92"/>
      <c r="H73" s="115">
        <f>H65/2.49</f>
        <v>3.0522088353413652</v>
      </c>
      <c r="I73" s="92"/>
      <c r="J73" s="92"/>
      <c r="K73" s="92"/>
      <c r="L73" s="92"/>
      <c r="O73" s="92">
        <f>O65/(1-0.1)</f>
        <v>121.11111111111111</v>
      </c>
      <c r="P73" s="92">
        <f>Divisionals!K205-O73</f>
        <v>17.688888888888897</v>
      </c>
    </row>
    <row r="74" spans="1:29" ht="51">
      <c r="B74" s="92">
        <f>SUM(B70:B73)</f>
        <v>103.63134436470743</v>
      </c>
      <c r="C74" s="92">
        <f>D74-B74</f>
        <v>1299.5686556352923</v>
      </c>
      <c r="D74" s="92">
        <f>SUM(D70:D73)</f>
        <v>1403.1999999999998</v>
      </c>
      <c r="E74" s="92"/>
      <c r="F74" s="92"/>
      <c r="G74" s="92"/>
      <c r="H74" s="92">
        <f>H66/(1.262)</f>
        <v>57.765451664025349</v>
      </c>
      <c r="I74" s="92"/>
      <c r="J74" s="92"/>
      <c r="K74" s="92"/>
      <c r="L74" s="92"/>
      <c r="M74" s="92"/>
      <c r="N74" s="92"/>
      <c r="O74" s="92">
        <f>SUM(O70:O73)</f>
        <v>2471.1542426133005</v>
      </c>
      <c r="P74" s="92">
        <f>SUM(P70:P73)</f>
        <v>239.24575738669935</v>
      </c>
      <c r="U74" s="178"/>
      <c r="V74" s="178" t="s">
        <v>720</v>
      </c>
      <c r="W74" s="178" t="s">
        <v>721</v>
      </c>
      <c r="X74" s="178" t="s">
        <v>722</v>
      </c>
      <c r="Y74" s="178" t="s">
        <v>723</v>
      </c>
      <c r="Z74" s="178" t="s">
        <v>724</v>
      </c>
      <c r="AB74" s="178" t="s">
        <v>727</v>
      </c>
      <c r="AC74" s="178" t="s">
        <v>728</v>
      </c>
    </row>
    <row r="75" spans="1:29">
      <c r="B75" s="77">
        <f>B66/B74-1</f>
        <v>0.22356803124888214</v>
      </c>
      <c r="C75" s="77">
        <f>C66/C74-1</f>
        <v>1.3182331145354498E-2</v>
      </c>
      <c r="D75" s="77">
        <f>D66/D74-1</f>
        <v>2.8720068415051481E-2</v>
      </c>
      <c r="H75" s="77">
        <f>H66/H74-1</f>
        <v>0.26200000000000001</v>
      </c>
      <c r="O75" s="77">
        <f>O66/O74-1</f>
        <v>1.9361704163031623E-2</v>
      </c>
      <c r="U75" s="122" t="s">
        <v>612</v>
      </c>
      <c r="V75" s="157">
        <v>0.21</v>
      </c>
      <c r="W75" s="179">
        <f>M95</f>
        <v>0.23124533843822401</v>
      </c>
      <c r="X75" s="133">
        <f>L95</f>
        <v>0.23100000000000001</v>
      </c>
      <c r="Y75" s="133">
        <f>AK95</f>
        <v>9.4786451081661616E-2</v>
      </c>
      <c r="Z75" s="124">
        <f>(((1+F95)^5)*((1+G95)^6))^(1/11)-1</f>
        <v>5.4103290552059313E-2</v>
      </c>
      <c r="AB75" s="77">
        <f>((1+W75)*(1+Z75))^(1/2)-1</f>
        <v>0.13923648235325392</v>
      </c>
      <c r="AC75" s="77">
        <f>((1+N95)*(1+Z104))^(1/2)-1</f>
        <v>6.7016536617223732E-2</v>
      </c>
    </row>
    <row r="76" spans="1:29">
      <c r="U76" s="122" t="s">
        <v>168</v>
      </c>
      <c r="V76" s="157">
        <v>0.2</v>
      </c>
      <c r="W76" s="179">
        <f>M96</f>
        <v>0.28150614626317161</v>
      </c>
      <c r="X76" s="133">
        <f>L96</f>
        <v>0.184</v>
      </c>
      <c r="Y76" s="133">
        <f>AK96</f>
        <v>0.19717488969647734</v>
      </c>
      <c r="Z76" s="124">
        <f>(((1+F96)^5)*((1+G96)^6))^(1/11)-1</f>
        <v>-5.4618491891511578E-3</v>
      </c>
      <c r="AB76" s="77">
        <f>((1+W76)*(1+Z76))^(1/2)-1</f>
        <v>0.12894054447402681</v>
      </c>
      <c r="AC76" s="77">
        <f>((1+N96)*(1+Z105))^(1/2)-1</f>
        <v>5.4308083301616739E-2</v>
      </c>
    </row>
    <row r="77" spans="1:29">
      <c r="A77" t="s">
        <v>646</v>
      </c>
      <c r="U77" s="122" t="s">
        <v>150</v>
      </c>
      <c r="V77" s="157">
        <v>0.59</v>
      </c>
      <c r="W77" s="179">
        <f>M97</f>
        <v>0.71298320069715304</v>
      </c>
      <c r="X77" s="133">
        <f>L97</f>
        <v>0.71199999999999997</v>
      </c>
      <c r="Y77" s="133">
        <f>AK97</f>
        <v>0.32388868421930983</v>
      </c>
      <c r="Z77" s="124">
        <f>(((1+F97)^5)*((1+G97)^6))^(1/11)-1</f>
        <v>-1.7521386060838195E-2</v>
      </c>
      <c r="AB77" s="77">
        <f>((1+W77)*(1+Z77))^(1/2)-1</f>
        <v>0.29729308975343272</v>
      </c>
      <c r="AC77" s="77">
        <f>((1+N97)*(1+Z106))^(1/2)-1</f>
        <v>0.11258041021982557</v>
      </c>
    </row>
    <row r="78" spans="1:29">
      <c r="A78" t="s">
        <v>643</v>
      </c>
      <c r="B78" t="s">
        <v>618</v>
      </c>
      <c r="C78" t="s">
        <v>644</v>
      </c>
      <c r="D78" t="s">
        <v>645</v>
      </c>
      <c r="E78" t="s">
        <v>147</v>
      </c>
      <c r="U78" s="122" t="s">
        <v>246</v>
      </c>
      <c r="V78" s="157">
        <v>0.17</v>
      </c>
      <c r="W78" s="179">
        <f>M98</f>
        <v>0.94299916168537634</v>
      </c>
      <c r="X78" s="133">
        <f>L98</f>
        <v>0.08</v>
      </c>
      <c r="Y78" s="133">
        <f>AK98</f>
        <v>0.47198332338791271</v>
      </c>
      <c r="Z78" s="124">
        <f>(((1+F98)^5)*((1+G98)^6))^(1/11)-1</f>
        <v>-0.21780669664890406</v>
      </c>
      <c r="AB78" s="77">
        <f>((1+W78)*(1+Z78))^(1/2)-1</f>
        <v>0.23280206549433347</v>
      </c>
      <c r="AC78" s="77">
        <f>((1+N98)*(1+Z107))^(1/2)-1</f>
        <v>-4.158876938613687E-2</v>
      </c>
    </row>
    <row r="79" spans="1:29">
      <c r="A79" s="89">
        <v>0.13800000000000001</v>
      </c>
      <c r="B79" s="116">
        <v>-1</v>
      </c>
      <c r="C79" s="116">
        <v>0</v>
      </c>
      <c r="D79" s="116">
        <v>2</v>
      </c>
      <c r="E79" s="89">
        <f>B79*5/8+C79*2/8+D79*1/8</f>
        <v>-0.375</v>
      </c>
      <c r="AC79" s="77">
        <f>(AC75*Divisionals!J63+AC77*Divisionals!J152+AC78*Divisionals!J205+AC76*Divisionals!J340)/SUM(Divisionals!J7:J10)</f>
        <v>6.4399937493714976E-2</v>
      </c>
    </row>
    <row r="80" spans="1:29">
      <c r="A80" s="89">
        <f>1-A79</f>
        <v>0.86199999999999999</v>
      </c>
      <c r="E80" s="89">
        <f>(E81-E79*A79)/(A80)</f>
        <v>0.10295823665893271</v>
      </c>
      <c r="V80" s="1412" t="s">
        <v>730</v>
      </c>
      <c r="W80" s="1412"/>
      <c r="X80" s="1412" t="s">
        <v>731</v>
      </c>
      <c r="Y80" s="1412"/>
      <c r="Z80" s="1412" t="s">
        <v>732</v>
      </c>
      <c r="AA80" s="1412"/>
    </row>
    <row r="81" spans="1:37">
      <c r="E81" s="89">
        <v>3.6999999999999998E-2</v>
      </c>
      <c r="V81" t="s">
        <v>278</v>
      </c>
      <c r="W81" t="s">
        <v>279</v>
      </c>
      <c r="X81" t="s">
        <v>552</v>
      </c>
      <c r="Y81" t="s">
        <v>729</v>
      </c>
      <c r="Z81" t="s">
        <v>718</v>
      </c>
      <c r="AA81" t="s">
        <v>719</v>
      </c>
    </row>
    <row r="82" spans="1:37">
      <c r="A82" t="s">
        <v>642</v>
      </c>
      <c r="U82" s="122" t="s">
        <v>612</v>
      </c>
      <c r="V82" s="77">
        <f>Divisionals!L57</f>
        <v>2.4E-2</v>
      </c>
      <c r="W82" s="77">
        <f>Divisionals!M57</f>
        <v>0.10243661544686877</v>
      </c>
      <c r="X82" s="77">
        <f>((1+Divisionals!O57)*(1+Divisionals!L57))^(1/2)-1</f>
        <v>0.1051457119284982</v>
      </c>
      <c r="Y82" s="77">
        <f>((1+Divisionals!P57)*(1+Divisionals!M57))^(1/2)-1</f>
        <v>0.11608507336815932</v>
      </c>
      <c r="Z82" s="77">
        <f>((1+Divisionals!R57)*(1+Divisionals!O57)*(1+Divisionals!L57))^(1/3)-1</f>
        <v>4.2083257661706064E-2</v>
      </c>
      <c r="AA82" s="77">
        <f>((1+Divisionals!S57)*(1+Divisionals!P57)*(1+Divisionals!M57))^(1/3)-1</f>
        <v>0.1146947575984365</v>
      </c>
    </row>
    <row r="83" spans="1:37">
      <c r="A83" t="s">
        <v>647</v>
      </c>
      <c r="B83" t="s">
        <v>545</v>
      </c>
      <c r="C83" t="s">
        <v>645</v>
      </c>
      <c r="U83" s="122" t="s">
        <v>168</v>
      </c>
      <c r="V83" s="77">
        <f>Divisionals!L334</f>
        <v>1.6674010342988099E-2</v>
      </c>
      <c r="W83" s="77">
        <f>Divisionals!M334</f>
        <v>1.2992385786801952E-2</v>
      </c>
      <c r="X83" s="77">
        <f>((1+Divisionals!O334)*(1+Divisionals!L334))^(1/2)-1</f>
        <v>9.6248547264649709E-2</v>
      </c>
      <c r="Y83" s="77">
        <f>((1+Divisionals!P334)*(1+Divisionals!M334))^(1/2)-1</f>
        <v>9.9600534817806619E-2</v>
      </c>
      <c r="Z83" s="77">
        <f>((1+Divisionals!R334)*(1+Divisionals!O334)*(1+Divisionals!L334))^(1/3)-1</f>
        <v>6.4101422177337497E-2</v>
      </c>
      <c r="AA83" s="77">
        <f>((1+Divisionals!S334)*(1+Divisionals!P334)*(1+Divisionals!M334))^(1/3)-1</f>
        <v>8.6694129357680616E-2</v>
      </c>
    </row>
    <row r="84" spans="1:37">
      <c r="A84">
        <f>36/73</f>
        <v>0.49315068493150682</v>
      </c>
      <c r="B84" s="116">
        <v>-1</v>
      </c>
      <c r="C84" s="116">
        <v>0.5</v>
      </c>
      <c r="D84" s="77">
        <f>(7/8)*B84+(1/8)*C84</f>
        <v>-0.8125</v>
      </c>
      <c r="U84" s="122" t="s">
        <v>150</v>
      </c>
      <c r="V84" s="77">
        <f>Divisionals!L148</f>
        <v>-1.7800903738189877E-3</v>
      </c>
      <c r="W84" s="77">
        <f>Divisionals!M148</f>
        <v>5.4547442583515737E-2</v>
      </c>
      <c r="X84" s="77">
        <f>((1+Divisionals!O148)*(1+Divisionals!L148))^(1/2)-1</f>
        <v>0.21606829811806927</v>
      </c>
      <c r="Y84" s="77">
        <f>((1+Divisionals!P148)*(1+Divisionals!M148))^(1/2)-1</f>
        <v>0.22317589092797241</v>
      </c>
      <c r="Z84" s="77">
        <f>((1+Divisionals!R148)*(1+Divisionals!O148)*(1+Divisionals!L148))^(1/3)-1</f>
        <v>0.11845301751582493</v>
      </c>
      <c r="AA84" s="77">
        <f>((1+Divisionals!S148)*(1+Divisionals!P148)*(1+Divisionals!M148))^(1/3)-1</f>
        <v>0.17663469028631651</v>
      </c>
    </row>
    <row r="85" spans="1:37">
      <c r="A85">
        <f>1-A84</f>
        <v>0.50684931506849318</v>
      </c>
      <c r="D85" s="77">
        <f>(D86*1-D84*A84)/A85</f>
        <v>2.5027027027026985E-2</v>
      </c>
      <c r="U85" s="122" t="s">
        <v>246</v>
      </c>
      <c r="V85" s="77">
        <f>Divisionals!L199</f>
        <v>-9.2107594343063703E-2</v>
      </c>
      <c r="W85" s="77">
        <f>Divisionals!M199</f>
        <v>-0.13190015870725735</v>
      </c>
      <c r="X85" s="77">
        <f>((1+Divisionals!O199)*(1+Divisionals!L199))^(1/2)-1</f>
        <v>-7.580542174286653E-2</v>
      </c>
      <c r="Y85" s="77">
        <f>((1+Divisionals!P199)*(1+Divisionals!M199))^(1/2)-1</f>
        <v>8.4259716939686591E-2</v>
      </c>
      <c r="Z85" s="77">
        <f>((1+Divisionals!R199)*(1+Divisionals!O199)*(1+Divisionals!L199))^(1/3)-1</f>
        <v>-6.7608062860510687E-2</v>
      </c>
      <c r="AA85" s="77">
        <f>((1+Divisionals!S199)*(1+Divisionals!P199)*(1+Divisionals!M199))^(1/3)-1</f>
        <v>8.6215716376089491E-2</v>
      </c>
    </row>
    <row r="86" spans="1:37">
      <c r="D86" s="89">
        <v>-0.38800000000000001</v>
      </c>
      <c r="H86">
        <f>45/326</f>
        <v>0.13803680981595093</v>
      </c>
    </row>
    <row r="90" spans="1:37">
      <c r="Y90" s="144"/>
    </row>
    <row r="91" spans="1:37">
      <c r="K91">
        <f>7+10+9</f>
        <v>26</v>
      </c>
      <c r="P91" s="191"/>
      <c r="Q91" t="s">
        <v>274</v>
      </c>
      <c r="R91" t="s">
        <v>783</v>
      </c>
      <c r="AH91">
        <f>(AI92-AI93+1)/7</f>
        <v>8</v>
      </c>
      <c r="AI91">
        <f>(AJ92-AJ93+1)/7</f>
        <v>1</v>
      </c>
      <c r="AJ91">
        <v>26</v>
      </c>
    </row>
    <row r="92" spans="1:37">
      <c r="B92" s="182">
        <f>B93+6*7-1</f>
        <v>43687</v>
      </c>
      <c r="C92" s="182">
        <f>C93+10*7-1</f>
        <v>43757</v>
      </c>
      <c r="D92" s="182">
        <f>D93+10*7-1</f>
        <v>43827</v>
      </c>
      <c r="E92" s="182">
        <f>E93+(7*7)-1</f>
        <v>43876</v>
      </c>
      <c r="F92" s="182">
        <f>F93+(7*5)-1</f>
        <v>43911</v>
      </c>
      <c r="G92" s="182">
        <f>G93+(7*9)-1</f>
        <v>43974</v>
      </c>
      <c r="H92" s="182">
        <f>H93+(7*5)-1</f>
        <v>44009</v>
      </c>
      <c r="I92" s="182">
        <f>I93+7*7-1</f>
        <v>44058</v>
      </c>
      <c r="J92" s="182">
        <f>J93+10*7-1</f>
        <v>44128</v>
      </c>
      <c r="K92" s="182">
        <f>K93+9*7-1</f>
        <v>44191</v>
      </c>
      <c r="L92" s="182">
        <f>L93+7*7-1</f>
        <v>44240</v>
      </c>
      <c r="M92" s="182">
        <f>M93+7*11-1</f>
        <v>44317</v>
      </c>
      <c r="N92" s="182">
        <f>N93+7*8-1</f>
        <v>44373</v>
      </c>
      <c r="O92" s="182">
        <f>O93+7*7-1</f>
        <v>44422</v>
      </c>
      <c r="P92" s="192">
        <f>P93+7*9-1</f>
        <v>44485</v>
      </c>
      <c r="Q92" s="182">
        <f>Q93+7*10-1</f>
        <v>44555</v>
      </c>
      <c r="R92" s="182">
        <f>R93+7*7-1</f>
        <v>44604</v>
      </c>
      <c r="S92" s="182">
        <f>S93+7*10-1</f>
        <v>44674</v>
      </c>
      <c r="T92" s="182">
        <f>T93+7*10-1</f>
        <v>44744</v>
      </c>
      <c r="U92" s="182">
        <f>U93+7*7-1</f>
        <v>44793</v>
      </c>
      <c r="V92" s="192">
        <f>V93+7*9-1</f>
        <v>44856</v>
      </c>
      <c r="AI92" s="140">
        <f>AI93+7*8-1</f>
        <v>44184</v>
      </c>
      <c r="AJ92" s="140">
        <f>K92</f>
        <v>44191</v>
      </c>
      <c r="AK92" s="140">
        <f>AK93+7*20-1</f>
        <v>44380</v>
      </c>
    </row>
    <row r="93" spans="1:37">
      <c r="B93" s="182">
        <v>43646</v>
      </c>
      <c r="C93" s="182">
        <f t="shared" ref="C93:I93" si="5">B92+1</f>
        <v>43688</v>
      </c>
      <c r="D93" s="182">
        <f t="shared" si="5"/>
        <v>43758</v>
      </c>
      <c r="E93" s="182">
        <f t="shared" si="5"/>
        <v>43828</v>
      </c>
      <c r="F93" s="182">
        <f t="shared" si="5"/>
        <v>43877</v>
      </c>
      <c r="G93" s="182">
        <f t="shared" si="5"/>
        <v>43912</v>
      </c>
      <c r="H93" s="182">
        <f t="shared" si="5"/>
        <v>43975</v>
      </c>
      <c r="I93" s="182">
        <f t="shared" si="5"/>
        <v>44010</v>
      </c>
      <c r="J93" s="182">
        <f t="shared" ref="J93:Q93" si="6">I92+1</f>
        <v>44059</v>
      </c>
      <c r="K93" s="182">
        <f t="shared" si="6"/>
        <v>44129</v>
      </c>
      <c r="L93" s="182">
        <f t="shared" si="6"/>
        <v>44192</v>
      </c>
      <c r="M93" s="182">
        <f t="shared" si="6"/>
        <v>44241</v>
      </c>
      <c r="N93" s="182">
        <f t="shared" si="6"/>
        <v>44318</v>
      </c>
      <c r="O93" s="182">
        <f t="shared" si="6"/>
        <v>44374</v>
      </c>
      <c r="P93" s="192">
        <f t="shared" si="6"/>
        <v>44423</v>
      </c>
      <c r="Q93" s="182">
        <f t="shared" si="6"/>
        <v>44486</v>
      </c>
      <c r="R93" s="182">
        <f>Q92+1</f>
        <v>44556</v>
      </c>
      <c r="S93" s="182">
        <f>R92+1</f>
        <v>44605</v>
      </c>
      <c r="T93" s="182">
        <f>S92+1</f>
        <v>44675</v>
      </c>
      <c r="U93" s="182">
        <f t="shared" ref="U93" si="7">T92+1</f>
        <v>44745</v>
      </c>
      <c r="V93" s="192">
        <f t="shared" ref="V93" si="8">U92+1</f>
        <v>44794</v>
      </c>
      <c r="Z93" t="s">
        <v>654</v>
      </c>
      <c r="AA93" t="s">
        <v>279</v>
      </c>
      <c r="AB93" t="s">
        <v>553</v>
      </c>
      <c r="AC93" t="s">
        <v>552</v>
      </c>
      <c r="AD93" t="s">
        <v>672</v>
      </c>
      <c r="AI93" s="140">
        <f>K93</f>
        <v>44129</v>
      </c>
      <c r="AJ93" s="140">
        <f>AI92+1</f>
        <v>44185</v>
      </c>
      <c r="AK93" s="140">
        <f>L92+1</f>
        <v>44241</v>
      </c>
    </row>
    <row r="94" spans="1:37">
      <c r="B94" t="s">
        <v>541</v>
      </c>
      <c r="C94" t="s">
        <v>543</v>
      </c>
      <c r="D94" t="s">
        <v>543</v>
      </c>
      <c r="E94" t="s">
        <v>545</v>
      </c>
      <c r="F94" t="s">
        <v>618</v>
      </c>
      <c r="G94" t="s">
        <v>546</v>
      </c>
      <c r="H94" t="s">
        <v>618</v>
      </c>
      <c r="I94" t="s">
        <v>545</v>
      </c>
      <c r="J94" t="s">
        <v>543</v>
      </c>
      <c r="K94" t="s">
        <v>546</v>
      </c>
      <c r="L94" t="s">
        <v>545</v>
      </c>
      <c r="M94" t="s">
        <v>549</v>
      </c>
      <c r="N94" t="s">
        <v>621</v>
      </c>
      <c r="O94" t="s">
        <v>545</v>
      </c>
      <c r="P94" s="191" t="s">
        <v>546</v>
      </c>
      <c r="Q94" t="s">
        <v>761</v>
      </c>
      <c r="R94" t="s">
        <v>545</v>
      </c>
      <c r="S94" t="s">
        <v>543</v>
      </c>
      <c r="T94" t="s">
        <v>543</v>
      </c>
      <c r="U94" t="s">
        <v>541</v>
      </c>
      <c r="AF94" t="s">
        <v>544</v>
      </c>
      <c r="AG94" t="s">
        <v>543</v>
      </c>
      <c r="AK94" t="s">
        <v>717</v>
      </c>
    </row>
    <row r="95" spans="1:37">
      <c r="A95" t="s">
        <v>612</v>
      </c>
      <c r="B95" s="117">
        <v>0.03</v>
      </c>
      <c r="C95" s="117">
        <f>((1.027)^16/(1+B95)^6)^(1/10)-1</f>
        <v>2.5204195805225593E-2</v>
      </c>
      <c r="D95" s="77">
        <f>((1.024)^26/(1.027)^16)^(1/10)-1</f>
        <v>1.9218217195807075E-2</v>
      </c>
      <c r="E95" s="89">
        <v>3.1E-2</v>
      </c>
      <c r="F95" s="89">
        <v>7.4999999999999997E-2</v>
      </c>
      <c r="G95" s="89">
        <v>3.6999999999999998E-2</v>
      </c>
      <c r="H95" s="148">
        <v>0.39400000000000002</v>
      </c>
      <c r="I95" s="116">
        <v>0.23</v>
      </c>
      <c r="J95" s="116">
        <f>(1.21^17/((1+I95)^7))^(1/10)-1</f>
        <v>0.19619381223771026</v>
      </c>
      <c r="K95" s="77">
        <f>((1+Divisionals!O57)^(26)/((1+I95)^(7)*(1+J95)^10))^(1/9)-1</f>
        <v>0.16075529582191939</v>
      </c>
      <c r="L95" s="77">
        <v>0.23100000000000001</v>
      </c>
      <c r="M95" s="77">
        <v>0.23124533843822401</v>
      </c>
      <c r="N95" s="181">
        <f>((1+AB95)^(26)/((1+L95)^(7)*(1+M95)^11))^(1/8)-1</f>
        <v>-6.8498552073964825E-2</v>
      </c>
      <c r="O95" s="117">
        <v>-0.11</v>
      </c>
      <c r="P95" s="274">
        <f>((1-0.13)^16/((1+O95)^7))^(1/9)-1</f>
        <v>-0.1452443120357958</v>
      </c>
      <c r="Q95" s="199">
        <f>((1+-0.077)^(26)/((1+O95)^(7)*(1+P95)^9))^(1/10)-1</f>
        <v>1.4597104271831807E-2</v>
      </c>
      <c r="R95" s="77">
        <v>9.2999999999999999E-2</v>
      </c>
      <c r="S95" s="117">
        <f>(1.084^17/((1+R95)^7))^(1/10)-1</f>
        <v>7.7744130641736575E-2</v>
      </c>
      <c r="T95" s="199">
        <f>((1+Z95)^(27)/((1+R95)^(7)*(1+S95)^10))^(1/10)-1</f>
        <v>0.1610423625634807</v>
      </c>
      <c r="U95" s="117">
        <v>0.15</v>
      </c>
      <c r="V95" s="274">
        <f>((1-0.13)^16/((1+U95)^7))^(1/9)-1</f>
        <v>-0.29972400393325849</v>
      </c>
      <c r="Z95" s="77">
        <f>Divisionals!S57</f>
        <v>0.11191931968269508</v>
      </c>
      <c r="AA95" s="77">
        <f>Divisionals!M57</f>
        <v>0.10243661544686877</v>
      </c>
      <c r="AB95" s="77">
        <f>Divisionals!P57</f>
        <v>0.12990250282125415</v>
      </c>
      <c r="AC95" s="77">
        <f>Divisionals!O57</f>
        <v>0.19272172323627634</v>
      </c>
      <c r="AD95" s="151">
        <f>((1+AA95)*(1+AK95))^(1/2)-1</f>
        <v>9.8604874268977571E-2</v>
      </c>
      <c r="AE95" s="189">
        <v>-1.3197843080714478E-4</v>
      </c>
      <c r="AF95" s="116">
        <v>0.21</v>
      </c>
      <c r="AG95" s="77">
        <f>(((1+AF95)^17)/((1+I95)^7))^(1/10)-1</f>
        <v>0.19619381223771026</v>
      </c>
      <c r="AI95" s="116">
        <v>0.1</v>
      </c>
      <c r="AK95" s="77">
        <f>((1+Divisionals!P57)^26/((1+L95)^7))^(1/19)-1</f>
        <v>9.4786451081661616E-2</v>
      </c>
    </row>
    <row r="96" spans="1:37">
      <c r="A96" t="s">
        <v>168</v>
      </c>
      <c r="B96" s="117">
        <v>0.02</v>
      </c>
      <c r="C96" s="117">
        <f>((1.031)^16/(1+B96)^6)^(1/10)-1</f>
        <v>3.7656859607721582E-2</v>
      </c>
      <c r="D96" s="77">
        <f>((1.033)^26/(1.031)^16)^(1/10)-1</f>
        <v>3.6208072965381088E-2</v>
      </c>
      <c r="E96" s="89">
        <v>5.8000000000000003E-2</v>
      </c>
      <c r="F96" s="89">
        <v>1.6E-2</v>
      </c>
      <c r="G96" s="89">
        <v>-2.3E-2</v>
      </c>
      <c r="H96" s="148">
        <v>5.5E-2</v>
      </c>
      <c r="I96" s="116">
        <v>0.3</v>
      </c>
      <c r="J96" s="116">
        <f>(1.16^17/((1+I96)^7))^(1/10)-1</f>
        <v>7.1070936937017271E-2</v>
      </c>
      <c r="K96" s="77">
        <f>((1+Divisionals!O334)^(26)/((1+I96)^(7)*(1+J96)^10))^(1/9)-1</f>
        <v>0.22485403175843244</v>
      </c>
      <c r="L96" s="77">
        <v>0.184</v>
      </c>
      <c r="M96" s="77">
        <v>0.28150614626317161</v>
      </c>
      <c r="N96" s="181">
        <f>((1+AB96)^(26)/((1+L96)^(7)*(1+M96)^11))^(1/8)-1</f>
        <v>9.0205438935147431E-2</v>
      </c>
      <c r="O96" s="117">
        <v>-0.16</v>
      </c>
      <c r="P96" s="274">
        <f>((1-0.1)^16/((1+O96)^7))^(1/9)-1</f>
        <v>-5.0385715727827241E-2</v>
      </c>
      <c r="Q96" s="199">
        <f>((1+-0.059)^(26)/((1+O96)^(7)*(1+P96)^9))^(1/10)-1</f>
        <v>1.052021501158551E-2</v>
      </c>
      <c r="R96" s="77">
        <v>-2.4E-2</v>
      </c>
      <c r="S96" s="117">
        <f>((1-0.018)^17/((1+R96)^7))^(1/10)-1</f>
        <v>-1.3778066743645345E-2</v>
      </c>
      <c r="T96" s="199">
        <f>((1+Z96)^(27)/((1+R96)^(7)*(1+S96)^10))^(1/10)-1</f>
        <v>0.21118666573553435</v>
      </c>
      <c r="U96" s="117">
        <v>0.13</v>
      </c>
      <c r="V96" s="274">
        <f>((1-0.1)^16/((1+U96)^7))^(1/9)-1</f>
        <v>-0.24600213472406807</v>
      </c>
      <c r="Z96" s="77">
        <f>Divisionals!S334</f>
        <v>6.1334001694612006E-2</v>
      </c>
      <c r="AA96" s="77">
        <f>Divisionals!M334</f>
        <v>1.2992385786801952E-2</v>
      </c>
      <c r="AB96" s="77">
        <f>Divisionals!P334</f>
        <v>0.19361344975211114</v>
      </c>
      <c r="AC96" s="77">
        <f>Divisionals!O334</f>
        <v>0.18205134109253507</v>
      </c>
      <c r="AD96" s="151">
        <f>((1+AA96)*(1+AK96))^(1/2)-1</f>
        <v>0.10123977757692981</v>
      </c>
      <c r="AE96" s="189">
        <v>0.18270702066782119</v>
      </c>
      <c r="AF96" s="116">
        <v>0.16</v>
      </c>
      <c r="AG96" s="77">
        <f>(((1+AF96)^17)/((1+I96)^7))^(1/10)-1</f>
        <v>7.1070936937017271E-2</v>
      </c>
      <c r="AK96" s="77">
        <f>((1+Divisionals!P334)^26/((1+L96)^7))^(1/19)-1</f>
        <v>0.19717488969647734</v>
      </c>
    </row>
    <row r="97" spans="1:37">
      <c r="A97" t="s">
        <v>150</v>
      </c>
      <c r="B97" s="117">
        <v>0.05</v>
      </c>
      <c r="C97" s="117">
        <f>((1.065)^16/(1+B97)^6)^(1/10)-1</f>
        <v>7.4102662197418123E-2</v>
      </c>
      <c r="D97" s="77">
        <f>((1-0.005)^26/(1.065)^16)^(1/10)-1</f>
        <v>-0.10755669164784654</v>
      </c>
      <c r="E97" s="89">
        <v>-0.08</v>
      </c>
      <c r="F97" s="89">
        <v>-0.03</v>
      </c>
      <c r="G97" s="89">
        <v>-7.0000000000000001E-3</v>
      </c>
      <c r="H97" s="148">
        <v>0.68600000000000005</v>
      </c>
      <c r="I97" s="116">
        <v>0.72</v>
      </c>
      <c r="J97" s="116">
        <f>(1.61^17/((1+I97)^7))^(1/10)-1</f>
        <v>0.53721309854857657</v>
      </c>
      <c r="K97" s="77">
        <f>((1+Divisionals!O148)^(26)/((1+I97)^(7)*(1+J97)^10))^(1/9)-1</f>
        <v>0.26599647505189594</v>
      </c>
      <c r="L97" s="77">
        <v>0.71199999999999997</v>
      </c>
      <c r="M97" s="77">
        <v>0.71298320069715304</v>
      </c>
      <c r="N97" s="181">
        <f>((1+AB97)^(26)/((1+L97)^(7)*(1+M97)^11))^(1/8)-1</f>
        <v>-7.1062011086993837E-2</v>
      </c>
      <c r="O97" s="117">
        <v>-0.21</v>
      </c>
      <c r="P97" s="274">
        <f>((1-0.12)^16/((1+O97)^7))^(1/9)-1</f>
        <v>-4.2969228951183047E-2</v>
      </c>
      <c r="Q97" s="199">
        <f>((1+-0.037)^(26)/((1+O97)^(7)*(1+P97)^9))^(1/10)-1</f>
        <v>0.11238742590161155</v>
      </c>
      <c r="R97" s="77">
        <v>0.122</v>
      </c>
      <c r="S97" s="117">
        <f>(1.076^17/((1+R97)^7))^(1/10)-1</f>
        <v>4.4926784190816749E-2</v>
      </c>
      <c r="T97" s="199">
        <f>((1+Z97)^(27)/((1+R97)^(7)*(1+S97)^10))^(1/10)-1</f>
        <v>0.11090357260253847</v>
      </c>
      <c r="U97" s="117">
        <v>0.17</v>
      </c>
      <c r="V97" s="274">
        <f>((1-0.12)^16/((1+U97)^7))^(1/9)-1</f>
        <v>-0.29487018190576886</v>
      </c>
      <c r="Z97" s="77">
        <f>Divisionals!S148</f>
        <v>8.8797513164351916E-2</v>
      </c>
      <c r="AA97" s="77">
        <f>Divisionals!M148</f>
        <v>5.4547442583515737E-2</v>
      </c>
      <c r="AB97" s="77">
        <f>Divisionals!P148</f>
        <v>0.41876903753332018</v>
      </c>
      <c r="AC97" s="77">
        <f>Divisionals!O148</f>
        <v>0.48145923701479276</v>
      </c>
      <c r="AD97" s="151">
        <f>((1+AA97)*(1+AK97))^(1/2)-1</f>
        <v>0.18156820632950721</v>
      </c>
      <c r="AE97" s="189">
        <v>-1.5537047360417167E-2</v>
      </c>
      <c r="AF97" s="116">
        <v>0.61</v>
      </c>
      <c r="AG97" s="77">
        <f>(((1+AF97)^17)/((1+I97)^7))^(1/10)-1</f>
        <v>0.53721309854857635</v>
      </c>
      <c r="AK97" s="77">
        <f>((1+Divisionals!P148)^26/((1+L97)^7))^(1/19)-1</f>
        <v>0.32388868421930983</v>
      </c>
    </row>
    <row r="98" spans="1:37">
      <c r="A98" t="s">
        <v>246</v>
      </c>
      <c r="B98" s="117">
        <v>-0.03</v>
      </c>
      <c r="C98" s="117">
        <f>((1-0.021)^16/(1+B98)^6)^(1/10)-1</f>
        <v>-1.5559966952024107E-2</v>
      </c>
      <c r="D98" s="77">
        <f>((1-0.07)^26/(1-0.021)^16)^(1/10)-1</f>
        <v>-0.14335011808475195</v>
      </c>
      <c r="E98" s="89">
        <v>-4.0000000000000001E-3</v>
      </c>
      <c r="F98" s="89">
        <v>0.05</v>
      </c>
      <c r="G98" s="89">
        <v>-0.38800000000000001</v>
      </c>
      <c r="H98" s="148">
        <v>0.26</v>
      </c>
      <c r="I98" s="116">
        <v>0.16</v>
      </c>
      <c r="J98" s="116">
        <f>(0.99^17/((1+I98)^7))^(1/10)-1</f>
        <v>-0.11394794256555307</v>
      </c>
      <c r="K98" s="77">
        <f>((1+Divisionals!O199)^(26)/((1+I98)^(7)*(1+J98)^10))^(1/9)-1</f>
        <v>-0.14558814737247516</v>
      </c>
      <c r="L98" s="77">
        <v>0.08</v>
      </c>
      <c r="M98" s="77">
        <v>0.94299916168537634</v>
      </c>
      <c r="N98" s="181">
        <f>((1+AB98)^(26)/((1+L98)^(7)*(1+M98)^11))^(1/8)-1</f>
        <v>4.8923035614374388E-3</v>
      </c>
      <c r="O98" s="117">
        <v>-0.02</v>
      </c>
      <c r="P98" s="274">
        <f>((1-0.1)^16/((1+O98)^7))^(1/9)-1</f>
        <v>-0.15767922266929812</v>
      </c>
      <c r="Q98" s="199">
        <f>((1+-0.011)^(26)/((1+O98)^(7)*(1+P98)^9))^(1/10)-1</f>
        <v>0.15006488430464149</v>
      </c>
      <c r="R98" s="77">
        <v>0.08</v>
      </c>
      <c r="S98" s="117">
        <f>(1.012^17/((1+R98)^7))^(1/10)-1</f>
        <v>-3.3036140751850018E-2</v>
      </c>
      <c r="T98" s="199">
        <f>((1+Z98)^(27)/((1+R98)^(7)*(1+S98)^10))^(1/10)-1</f>
        <v>0.23706765422872134</v>
      </c>
      <c r="U98" s="117">
        <v>0.42</v>
      </c>
      <c r="V98" s="274">
        <f>((1-0.1)^16/((1+U98)^7))^(1/9)-1</f>
        <v>-0.36874205084905676</v>
      </c>
      <c r="Z98" s="77">
        <f>Divisionals!S199</f>
        <v>9.0138307455884581E-2</v>
      </c>
      <c r="AA98" s="77">
        <f>Divisionals!M199</f>
        <v>-0.13190015870725735</v>
      </c>
      <c r="AB98" s="77">
        <f>Divisionals!P199</f>
        <v>0.35424415240929008</v>
      </c>
      <c r="AC98" s="77">
        <f>Divisionals!O199</f>
        <v>-5.9210526315789491E-2</v>
      </c>
      <c r="AD98" s="151">
        <f>((1+AA98)*(1+AK98))^(1/2)-1</f>
        <v>0.13041076136889762</v>
      </c>
      <c r="AE98" s="189">
        <v>0.66342357102014526</v>
      </c>
      <c r="AF98" s="116">
        <v>-0.01</v>
      </c>
      <c r="AG98" s="77">
        <f>(((1+AF98)^17)/((1+I98)^7))^(1/10)-1</f>
        <v>-0.11394794256555307</v>
      </c>
      <c r="AK98" s="77">
        <f>((1+Divisionals!P199)^26/((1+L98)^7))^(1/19)-1</f>
        <v>0.47198332338791271</v>
      </c>
    </row>
    <row r="99" spans="1:37">
      <c r="A99" t="s">
        <v>157</v>
      </c>
      <c r="B99" s="117"/>
      <c r="C99" s="117"/>
      <c r="D99" s="77"/>
      <c r="E99" s="89"/>
      <c r="F99" s="89"/>
      <c r="G99" s="89"/>
      <c r="H99" s="148"/>
      <c r="I99" s="116"/>
      <c r="J99" s="116"/>
      <c r="K99" s="77"/>
      <c r="L99" s="77"/>
      <c r="M99" s="77"/>
      <c r="N99" s="181"/>
      <c r="O99" s="117">
        <v>-0.14000000000000001</v>
      </c>
      <c r="P99" s="274">
        <f>((1-0.12)^16/((1+O99)^7))^(1/9)-1</f>
        <v>-0.10412343261590273</v>
      </c>
      <c r="Q99" s="199">
        <f>((1+-0.059)^(26)/((1+O99)^(7)*(1+P99)^9))^(1/10)-1</f>
        <v>4.7516193605839696E-2</v>
      </c>
      <c r="R99" s="77">
        <v>0.06</v>
      </c>
      <c r="S99" s="117">
        <f>(1.044^17/((1+R99)^7))^(1/10)-1</f>
        <v>3.2943916087521563E-2</v>
      </c>
      <c r="T99" s="199">
        <f>((1+Z99)^(27)/((1+R99)^(7)*(1+S99)^10))^(1/10)-1</f>
        <v>-7.0586123723457073E-2</v>
      </c>
      <c r="U99" s="117">
        <v>0.17</v>
      </c>
      <c r="V99" s="274">
        <f>((1-0.12)^16/((1+U99)^7))^(1/9)-1</f>
        <v>-0.29487018190576886</v>
      </c>
      <c r="Z99" s="77"/>
      <c r="AA99" s="77"/>
      <c r="AC99" s="77"/>
      <c r="AD99" s="151"/>
      <c r="AE99" s="189"/>
      <c r="AF99" s="116"/>
      <c r="AG99" s="77"/>
      <c r="AK99" s="77"/>
    </row>
    <row r="100" spans="1:37">
      <c r="I100" s="116"/>
      <c r="O100" s="193">
        <v>1</v>
      </c>
      <c r="P100" s="193">
        <v>1</v>
      </c>
    </row>
    <row r="101" spans="1:37">
      <c r="A101" t="s">
        <v>669</v>
      </c>
      <c r="S101" s="1413" t="s">
        <v>176</v>
      </c>
      <c r="T101" s="1413"/>
      <c r="U101" s="1413"/>
      <c r="V101" s="1413"/>
    </row>
    <row r="102" spans="1:37">
      <c r="A102" t="s">
        <v>612</v>
      </c>
      <c r="B102" s="89">
        <v>0</v>
      </c>
      <c r="C102" s="89">
        <v>0</v>
      </c>
      <c r="D102" s="89">
        <v>0</v>
      </c>
      <c r="E102" s="89">
        <v>0</v>
      </c>
      <c r="F102" s="89">
        <v>0</v>
      </c>
      <c r="G102" s="89">
        <f>45/Divisionals!N65*7/9</f>
        <v>0.10835913312693497</v>
      </c>
      <c r="H102" s="89">
        <v>0</v>
      </c>
      <c r="I102" s="89">
        <f>(35/Divisionals!N65*2/7)+(12/Divisionals!N65*0.5/7)</f>
        <v>3.3613445378151259E-2</v>
      </c>
      <c r="J102" s="89"/>
      <c r="K102" s="77">
        <f>(35/Divisionals!N65*11/19)+(12/Divisionals!N65*2/19)</f>
        <v>6.6644940524686322E-2</v>
      </c>
      <c r="L102" s="77"/>
      <c r="N102">
        <f>I102*7/26+K102*19/26</f>
        <v>5.7751845677542268E-2</v>
      </c>
      <c r="Q102">
        <f>26-7-9</f>
        <v>10</v>
      </c>
      <c r="S102" s="270"/>
      <c r="T102" s="270" t="s">
        <v>786</v>
      </c>
      <c r="U102" s="270" t="s">
        <v>787</v>
      </c>
      <c r="V102" s="270" t="s">
        <v>788</v>
      </c>
    </row>
    <row r="103" spans="1:37">
      <c r="A103" t="s">
        <v>168</v>
      </c>
      <c r="B103" s="89">
        <v>0</v>
      </c>
      <c r="C103" s="89">
        <v>0</v>
      </c>
      <c r="D103" s="89">
        <v>0</v>
      </c>
      <c r="E103" s="89">
        <v>0</v>
      </c>
      <c r="F103" s="89">
        <v>0</v>
      </c>
      <c r="G103" s="89">
        <v>0</v>
      </c>
      <c r="H103" s="89">
        <v>0</v>
      </c>
      <c r="I103" s="89">
        <f>32/Divisionals!N344*2/7</f>
        <v>5.7142857142857148E-2</v>
      </c>
      <c r="J103" s="89"/>
      <c r="K103" s="77">
        <f>32/Divisionals!N344*11/19</f>
        <v>0.11578947368421054</v>
      </c>
      <c r="L103" s="77"/>
      <c r="N103">
        <f>I103*7/26+K103*19/26</f>
        <v>0.1</v>
      </c>
      <c r="S103" s="271" t="str">
        <f>A95</f>
        <v>Supercheap Auto</v>
      </c>
      <c r="T103" s="272">
        <f>R95</f>
        <v>9.2999999999999999E-2</v>
      </c>
      <c r="U103" s="272">
        <v>8.4000000000000005E-2</v>
      </c>
      <c r="V103" s="272">
        <f>Z95</f>
        <v>0.11191931968269508</v>
      </c>
      <c r="Z103" t="s">
        <v>726</v>
      </c>
    </row>
    <row r="104" spans="1:37">
      <c r="A104" t="s">
        <v>150</v>
      </c>
      <c r="B104" s="89">
        <v>0</v>
      </c>
      <c r="C104" s="89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f>13/Divisionals!N178*2/7</f>
        <v>2.6721479958890033E-2</v>
      </c>
      <c r="J104" s="89"/>
      <c r="K104" s="77">
        <f>13/Divisionals!N178*11/19</f>
        <v>5.4146156758803486E-2</v>
      </c>
      <c r="L104" s="77"/>
      <c r="N104">
        <f>I104*7/26+K104*19/26</f>
        <v>4.6762589928057555E-2</v>
      </c>
      <c r="R104" t="s">
        <v>715</v>
      </c>
      <c r="S104" s="271" t="str">
        <f>A96</f>
        <v>Rebel</v>
      </c>
      <c r="T104" s="272">
        <f>R96</f>
        <v>-2.4E-2</v>
      </c>
      <c r="U104" s="273">
        <v>-1.7999999999999999E-2</v>
      </c>
      <c r="V104" s="272">
        <f>Z96</f>
        <v>6.1334001694612006E-2</v>
      </c>
      <c r="W104" s="77"/>
      <c r="X104" s="180"/>
      <c r="Z104" s="77">
        <f>((1+G95)^4*(1+H95)^5)^(1/9)-1</f>
        <v>0.22224639795194201</v>
      </c>
    </row>
    <row r="105" spans="1:37">
      <c r="A105" t="s">
        <v>246</v>
      </c>
      <c r="B105" s="89">
        <v>0</v>
      </c>
      <c r="C105" s="89">
        <v>0</v>
      </c>
      <c r="D105" s="89">
        <v>0</v>
      </c>
      <c r="E105" s="89">
        <v>0</v>
      </c>
      <c r="F105" s="89">
        <v>0</v>
      </c>
      <c r="G105" s="89">
        <f>36/Divisionals!M233*7/9</f>
        <v>0.3888888888888889</v>
      </c>
      <c r="H105" s="89">
        <v>0</v>
      </c>
      <c r="I105" s="89">
        <f>(14/72*2/7)+(9/72*0.5/7)</f>
        <v>6.4484126984126991E-2</v>
      </c>
      <c r="J105" s="89"/>
      <c r="K105" s="77">
        <f>(14/72*11/19)+(9/72*2/19)</f>
        <v>0.12573099415204678</v>
      </c>
      <c r="L105" s="77"/>
      <c r="N105">
        <f>I105*7/26+K105*19/26</f>
        <v>0.10924145299145299</v>
      </c>
      <c r="R105" t="s">
        <v>716</v>
      </c>
      <c r="S105" s="271" t="str">
        <f>A97</f>
        <v>BCF</v>
      </c>
      <c r="T105" s="272">
        <f>R97</f>
        <v>0.122</v>
      </c>
      <c r="U105" s="273">
        <v>7.5999999999999998E-2</v>
      </c>
      <c r="V105" s="272">
        <f>Z97</f>
        <v>8.8797513164351916E-2</v>
      </c>
      <c r="W105" s="77"/>
      <c r="X105" s="180"/>
      <c r="Z105" s="77">
        <f>((1+G96)^4*(1+H96)^5)^(1/9)-1</f>
        <v>1.959272520310007E-2</v>
      </c>
    </row>
    <row r="106" spans="1:37">
      <c r="N106" s="1412" t="s">
        <v>672</v>
      </c>
      <c r="O106" s="1412"/>
      <c r="P106" s="1412"/>
      <c r="S106" s="271" t="str">
        <f>A98</f>
        <v>Macpac</v>
      </c>
      <c r="T106" s="272">
        <f>R98</f>
        <v>0.08</v>
      </c>
      <c r="U106" s="273">
        <v>1.2E-2</v>
      </c>
      <c r="V106" s="272">
        <f>Z98</f>
        <v>9.0138307455884581E-2</v>
      </c>
      <c r="W106" s="77"/>
      <c r="X106" s="180"/>
      <c r="Z106" s="77">
        <f>((1+G97)^4*(1+H97)^5)^(1/9)-1</f>
        <v>0.33252723430265152</v>
      </c>
    </row>
    <row r="107" spans="1:37">
      <c r="A107" s="152"/>
      <c r="B107" s="152"/>
      <c r="C107" s="152"/>
      <c r="D107" s="152"/>
      <c r="E107" s="152"/>
      <c r="F107" s="152"/>
      <c r="G107" s="152"/>
      <c r="H107" s="152"/>
      <c r="I107" s="152"/>
      <c r="J107" s="152"/>
      <c r="K107" s="152" t="s">
        <v>671</v>
      </c>
      <c r="L107" s="152"/>
      <c r="M107" s="153" t="s">
        <v>545</v>
      </c>
      <c r="N107" s="153" t="s">
        <v>670</v>
      </c>
      <c r="O107" s="153" t="s">
        <v>553</v>
      </c>
      <c r="S107" s="271" t="str">
        <f>A99</f>
        <v>Group</v>
      </c>
      <c r="T107" s="272">
        <f>R99</f>
        <v>0.06</v>
      </c>
      <c r="U107" s="273">
        <v>4.4000000000000004E-2</v>
      </c>
      <c r="V107" s="147"/>
      <c r="W107" s="77"/>
      <c r="X107" s="180"/>
      <c r="Z107" s="77">
        <f>((1+G98)^4*(1+H98)^5)^(1/9)-1</f>
        <v>-8.5919870506182217E-2</v>
      </c>
    </row>
    <row r="108" spans="1:37">
      <c r="A108" s="122" t="s">
        <v>612</v>
      </c>
      <c r="B108" s="124">
        <f>(1+B95)*(1+(B102*'Pure offline sales'!$K$4))-1</f>
        <v>3.0000000000000027E-2</v>
      </c>
      <c r="C108" s="124">
        <f>(1+C95)*(1+(C102*'Pure offline sales'!$K$4))-1</f>
        <v>2.5204195805225593E-2</v>
      </c>
      <c r="D108" s="124">
        <f>(1+D95)*(1+(D102*'Pure offline sales'!$K$4))-1</f>
        <v>1.9218217195807075E-2</v>
      </c>
      <c r="E108" s="124">
        <f>(1+E95)*(1+(E102*'Pure offline sales'!$K$4))-1</f>
        <v>3.0999999999999917E-2</v>
      </c>
      <c r="F108" s="124">
        <f>(1+F95)*(1+(F102*'Pure offline sales'!$K$4))-1</f>
        <v>7.4999999999999956E-2</v>
      </c>
      <c r="G108" s="124">
        <f>(1+G95)*(1+(G102*'Pure offline sales'!$K$4))-1</f>
        <v>0.13159485709000096</v>
      </c>
      <c r="H108" s="124">
        <f>(1+H95)*(1+(H102*'Pure offline sales'!$K$4))-1</f>
        <v>0.39400000000000013</v>
      </c>
      <c r="I108" s="124">
        <f>(1+I95)*(1+(I102*'Pure offline sales'!$K$4))-1</f>
        <v>0.26480497998848063</v>
      </c>
      <c r="J108" s="154">
        <f>(1+K95)*(1+(K102*'Pure offline sales'!$K$4))-1</f>
        <v>0.22587780198387764</v>
      </c>
      <c r="K108" s="124">
        <f>((1.024)^(26)/(1+B95)^6)^(1/20)-1</f>
        <v>2.2206824820820259E-2</v>
      </c>
      <c r="L108" s="124"/>
      <c r="M108" s="124">
        <f>((1+B95)*(1+I108))^(1/2)-1</f>
        <v>0.1413803613993605</v>
      </c>
      <c r="N108" s="124">
        <f>((1+J108)*(1+K108))^(1/2)-1</f>
        <v>0.11941978523888253</v>
      </c>
      <c r="O108" s="133">
        <f>AD95</f>
        <v>9.8604874268977571E-2</v>
      </c>
    </row>
    <row r="109" spans="1:37">
      <c r="A109" s="122" t="s">
        <v>168</v>
      </c>
      <c r="B109" s="124">
        <f>(1+B96)*(1+(B103*'Pure offline sales'!$K$11))-1</f>
        <v>2.0000000000000018E-2</v>
      </c>
      <c r="C109" s="124">
        <f>(1+C96)*(1+(C103*'Pure offline sales'!$K$11))-1</f>
        <v>3.7656859607721582E-2</v>
      </c>
      <c r="D109" s="124">
        <f>(1+D96)*(1+(D103*'Pure offline sales'!$K$11))-1</f>
        <v>3.6208072965381088E-2</v>
      </c>
      <c r="E109" s="124">
        <f>(1+E96)*(1+(E103*'Pure offline sales'!$K$11))-1</f>
        <v>5.8000000000000052E-2</v>
      </c>
      <c r="F109" s="124">
        <f>(1+F96)*(1+(F103*'Pure offline sales'!$K$11))-1</f>
        <v>1.6000000000000014E-2</v>
      </c>
      <c r="G109" s="124">
        <f>(1+G96)*(1+(G103*'Pure offline sales'!$K$11))-1</f>
        <v>-2.300000000000002E-2</v>
      </c>
      <c r="H109" s="124">
        <f>(1+H96)*(1+(H103*'Pure offline sales'!$K$11))-1</f>
        <v>5.4999999999999938E-2</v>
      </c>
      <c r="I109" s="124">
        <f>(1+I96)*(1+(I103*'Pure offline sales'!$K$11))-1</f>
        <v>0.34963867919091807</v>
      </c>
      <c r="J109" s="154">
        <f>(1+K96)*(1+(K103*'Pure offline sales'!$K$11))-1</f>
        <v>0.31962347503855915</v>
      </c>
      <c r="K109" s="124">
        <f>((1.033)^(26)/(1+B96)^6)^(1/20)-1</f>
        <v>3.6932213258622948E-2</v>
      </c>
      <c r="L109" s="124"/>
      <c r="M109" s="124">
        <f>((1+B96)*(1+I109))^(1/2)-1</f>
        <v>0.17329938752849294</v>
      </c>
      <c r="N109" s="124">
        <f>((1+J109)*(1+K109))^(1/2)-1</f>
        <v>0.1697692467490195</v>
      </c>
      <c r="O109" s="133">
        <f>AD96</f>
        <v>0.10123977757692981</v>
      </c>
    </row>
    <row r="110" spans="1:37">
      <c r="A110" s="122" t="s">
        <v>150</v>
      </c>
      <c r="B110" s="124">
        <f>(1+B97)*(1+(B104*'Pure offline sales'!$K$17))-1</f>
        <v>5.0000000000000044E-2</v>
      </c>
      <c r="C110" s="124">
        <f>(1+C97)*(1+(C104*'Pure offline sales'!$K$17))-1</f>
        <v>7.4102662197418123E-2</v>
      </c>
      <c r="D110" s="124">
        <f>(1+D97)*(1+(D104*'Pure offline sales'!$K$17))-1</f>
        <v>-0.10755669164784654</v>
      </c>
      <c r="E110" s="124">
        <f>(1+E97)*(1+(E104*'Pure offline sales'!$K$17))-1</f>
        <v>-7.999999999999996E-2</v>
      </c>
      <c r="F110" s="124">
        <f>(1+F97)*(1+(F104*'Pure offline sales'!$K$17))-1</f>
        <v>-3.0000000000000027E-2</v>
      </c>
      <c r="G110" s="124">
        <f>(1+G97)*(1+(G104*'Pure offline sales'!$K$17))-1</f>
        <v>-7.0000000000000062E-3</v>
      </c>
      <c r="H110" s="124">
        <f>(1+H97)*(1+(H104*'Pure offline sales'!$K$17))-1</f>
        <v>0.68599999999999994</v>
      </c>
      <c r="I110" s="124">
        <f>(1+I97)*(1+(I104*'Pure offline sales'!$K$17))-1</f>
        <v>0.75809550180928831</v>
      </c>
      <c r="J110" s="154">
        <f>(1+K97)*(1+(K104*'Pure offline sales'!$K$17))-1</f>
        <v>0.32281433563105244</v>
      </c>
      <c r="K110" s="124">
        <f>((1-0.005)^(26)/(1+B97)^6)^(1/20)-1</f>
        <v>-2.0931190691216295E-2</v>
      </c>
      <c r="L110" s="124"/>
      <c r="M110" s="124">
        <f>((1+B97)*(1+I110))^(1/2)-1</f>
        <v>0.35867592784289548</v>
      </c>
      <c r="N110" s="124">
        <f>((1+J110)*(1+K110))^(1/2)-1</f>
        <v>0.13803614025341227</v>
      </c>
      <c r="O110" s="133">
        <f>AD97</f>
        <v>0.18156820632950721</v>
      </c>
    </row>
    <row r="111" spans="1:37">
      <c r="A111" s="122" t="s">
        <v>246</v>
      </c>
      <c r="B111" s="124">
        <f>(1+B98)*(1+(B105*'Pure offline sales'!$K$23))-1</f>
        <v>-3.0000000000000027E-2</v>
      </c>
      <c r="C111" s="124">
        <f>(1+C98)*(1+(C105*'Pure offline sales'!$K$23))-1</f>
        <v>-1.5559966952024107E-2</v>
      </c>
      <c r="D111" s="124">
        <f>(1+D98)*(1+(D105*'Pure offline sales'!$K$23))-1</f>
        <v>-0.14335011808475195</v>
      </c>
      <c r="E111" s="124">
        <f>(1+E98)*(1+(E105*'Pure offline sales'!$K$23))-1</f>
        <v>-4.0000000000000036E-3</v>
      </c>
      <c r="F111" s="124">
        <f>(1+F98)*(1+(F105*'Pure offline sales'!$K$23))-1</f>
        <v>5.0000000000000044E-2</v>
      </c>
      <c r="G111" s="124">
        <f>(1+G98)*(1+(G105*'Pure offline sales'!$K$23))-1</f>
        <v>-0.26208562691131498</v>
      </c>
      <c r="H111" s="124">
        <f>(1+H98)*(1+(H105*'Pure offline sales'!$K$23))-1</f>
        <v>0.26</v>
      </c>
      <c r="I111" s="124">
        <f>(1+I98)*(1+(I105*'Pure offline sales'!$K$23))-1</f>
        <v>0.19957392845007527</v>
      </c>
      <c r="J111" s="154">
        <f>(1+K98)*(1+(K105*'Pure offline sales'!$K$23))-1</f>
        <v>-8.8754181211056049E-2</v>
      </c>
      <c r="K111" s="124">
        <f>((1-0.07)^(26)/(1+B98)^6)^(1/20)-1</f>
        <v>-8.1675200126234526E-2</v>
      </c>
      <c r="L111" s="124"/>
      <c r="M111" s="124">
        <f>((1+B98)*(1+I111))^(1/2)-1</f>
        <v>7.8696764895757498E-2</v>
      </c>
      <c r="N111" s="124">
        <f>((1+J111)*(1+K111))^(1/2)-1</f>
        <v>-8.5221538198913205E-2</v>
      </c>
      <c r="O111" s="133">
        <f>AD98</f>
        <v>0.13041076136889762</v>
      </c>
    </row>
    <row r="115" spans="1:10">
      <c r="D115">
        <f>7+10+9</f>
        <v>26</v>
      </c>
      <c r="E115" t="s">
        <v>279</v>
      </c>
      <c r="I115" s="191"/>
      <c r="J115" t="s">
        <v>762</v>
      </c>
    </row>
    <row r="116" spans="1:10">
      <c r="B116" s="194">
        <f t="shared" ref="B116:D119" si="9">B92</f>
        <v>43687</v>
      </c>
      <c r="C116" s="194">
        <f t="shared" si="9"/>
        <v>43757</v>
      </c>
      <c r="D116" s="194">
        <f t="shared" si="9"/>
        <v>43827</v>
      </c>
      <c r="E116" s="194">
        <f>E117+7*7-1</f>
        <v>43876</v>
      </c>
      <c r="F116" s="194">
        <f>F117+7*20-1</f>
        <v>44016</v>
      </c>
      <c r="G116" t="s">
        <v>766</v>
      </c>
    </row>
    <row r="117" spans="1:10">
      <c r="B117" s="194">
        <f t="shared" si="9"/>
        <v>43646</v>
      </c>
      <c r="C117" s="194">
        <f t="shared" si="9"/>
        <v>43688</v>
      </c>
      <c r="D117" s="194">
        <f t="shared" si="9"/>
        <v>43758</v>
      </c>
      <c r="E117" s="194">
        <f>D116+1</f>
        <v>43828</v>
      </c>
      <c r="F117" s="194">
        <f>E116+1</f>
        <v>43877</v>
      </c>
      <c r="G117" t="s">
        <v>767</v>
      </c>
    </row>
    <row r="118" spans="1:10">
      <c r="A118" s="195" t="s">
        <v>410</v>
      </c>
      <c r="B118" s="196" t="str">
        <f t="shared" si="9"/>
        <v>6 weeks</v>
      </c>
      <c r="C118" s="196" t="str">
        <f t="shared" si="9"/>
        <v>10 weeks</v>
      </c>
      <c r="D118" s="196" t="str">
        <f t="shared" si="9"/>
        <v>10 weeks</v>
      </c>
      <c r="E118" s="197" t="s">
        <v>545</v>
      </c>
      <c r="F118" s="197" t="s">
        <v>725</v>
      </c>
      <c r="G118" t="s">
        <v>765</v>
      </c>
    </row>
    <row r="119" spans="1:10">
      <c r="A119" s="197" t="s">
        <v>612</v>
      </c>
      <c r="B119" s="198">
        <f t="shared" si="9"/>
        <v>0.03</v>
      </c>
      <c r="C119" s="198">
        <f t="shared" si="9"/>
        <v>2.5204195805225593E-2</v>
      </c>
      <c r="D119" s="198">
        <f t="shared" si="9"/>
        <v>1.9218217195807075E-2</v>
      </c>
      <c r="E119" s="199">
        <f>E95</f>
        <v>3.1E-2</v>
      </c>
      <c r="F119" s="116">
        <f>((1+G119)^27/((1+Divisionals!L$57)^7))^(1/20)-1</f>
        <v>7.8924534241767486E-2</v>
      </c>
      <c r="G119" s="199">
        <f>Divisionals!N$57</f>
        <v>6.4408141918834927E-2</v>
      </c>
    </row>
    <row r="120" spans="1:10">
      <c r="A120" s="197" t="s">
        <v>168</v>
      </c>
      <c r="B120" s="198">
        <f t="shared" ref="B120:E122" si="10">B96</f>
        <v>0.02</v>
      </c>
      <c r="C120" s="198">
        <f t="shared" si="10"/>
        <v>3.7656859607721582E-2</v>
      </c>
      <c r="D120" s="198">
        <f t="shared" si="10"/>
        <v>3.6208072965381088E-2</v>
      </c>
      <c r="E120" s="199">
        <f t="shared" si="10"/>
        <v>5.8000000000000003E-2</v>
      </c>
      <c r="F120" s="116">
        <f>((1+G120)^27/((1+Divisionals!L$334)^7))^(1/20)-1</f>
        <v>1.9353968298625679E-2</v>
      </c>
      <c r="G120" s="199">
        <f>Divisionals!N$334</f>
        <v>1.8658486797823892E-2</v>
      </c>
    </row>
    <row r="121" spans="1:10">
      <c r="A121" s="197" t="s">
        <v>150</v>
      </c>
      <c r="B121" s="198">
        <f t="shared" si="10"/>
        <v>0.05</v>
      </c>
      <c r="C121" s="198">
        <f t="shared" si="10"/>
        <v>7.4102662197418123E-2</v>
      </c>
      <c r="D121" s="198">
        <f t="shared" si="10"/>
        <v>-0.10755669164784654</v>
      </c>
      <c r="E121" s="199">
        <f t="shared" si="10"/>
        <v>-0.08</v>
      </c>
      <c r="F121" s="116">
        <f>((1+G121)^27/((1+Divisionals!L$148)^7))^(1/20)-1</f>
        <v>3.8900069781667934E-2</v>
      </c>
      <c r="G121" s="199">
        <f>Divisionals!N$148</f>
        <v>2.8196835878583792E-2</v>
      </c>
    </row>
    <row r="122" spans="1:10">
      <c r="A122" s="197" t="s">
        <v>246</v>
      </c>
      <c r="B122" s="198">
        <f t="shared" si="10"/>
        <v>-0.03</v>
      </c>
      <c r="C122" s="198">
        <f t="shared" si="10"/>
        <v>-1.5559966952024107E-2</v>
      </c>
      <c r="D122" s="198">
        <f t="shared" si="10"/>
        <v>-0.14335011808475195</v>
      </c>
      <c r="E122" s="199">
        <f t="shared" si="10"/>
        <v>-4.0000000000000001E-3</v>
      </c>
      <c r="F122" s="116">
        <f>((1+G122)^27/((1+Divisionals!L$199)^7))^(1/20)-1</f>
        <v>-5.2724633485962569E-2</v>
      </c>
      <c r="G122" s="199">
        <f>Divisionals!N$199</f>
        <v>-6.3096156187847585E-2</v>
      </c>
    </row>
    <row r="123" spans="1:10">
      <c r="B123" s="182">
        <f>I92</f>
        <v>44058</v>
      </c>
      <c r="C123" s="182">
        <f>C124+10*7-1</f>
        <v>44128</v>
      </c>
      <c r="D123" s="182">
        <f>D124+9*7-1</f>
        <v>44191</v>
      </c>
      <c r="E123" s="194">
        <f>E124+7*7-1</f>
        <v>44240</v>
      </c>
      <c r="F123" s="194">
        <f>F124+7*20-1</f>
        <v>44380</v>
      </c>
      <c r="G123" t="s">
        <v>766</v>
      </c>
    </row>
    <row r="124" spans="1:10">
      <c r="B124" s="182">
        <f>I93</f>
        <v>44010</v>
      </c>
      <c r="C124" s="182">
        <f>B123+1</f>
        <v>44059</v>
      </c>
      <c r="D124" s="182">
        <f>C123+1</f>
        <v>44129</v>
      </c>
      <c r="E124" s="194">
        <f>D123+1</f>
        <v>44192</v>
      </c>
      <c r="F124" s="194">
        <f>E123+1</f>
        <v>44241</v>
      </c>
      <c r="G124" t="s">
        <v>767</v>
      </c>
    </row>
    <row r="125" spans="1:10">
      <c r="A125" s="195" t="s">
        <v>411</v>
      </c>
      <c r="B125" s="197" t="s">
        <v>545</v>
      </c>
      <c r="C125" s="197" t="s">
        <v>543</v>
      </c>
      <c r="D125" s="197" t="s">
        <v>546</v>
      </c>
      <c r="E125" s="197" t="s">
        <v>545</v>
      </c>
      <c r="F125" s="197" t="s">
        <v>725</v>
      </c>
      <c r="G125" t="s">
        <v>765</v>
      </c>
    </row>
    <row r="126" spans="1:10">
      <c r="A126" s="197" t="s">
        <v>612</v>
      </c>
      <c r="B126" s="198">
        <f t="shared" ref="B126:E129" si="11">I95</f>
        <v>0.23</v>
      </c>
      <c r="C126" s="198">
        <f t="shared" si="11"/>
        <v>0.19619381223771026</v>
      </c>
      <c r="D126" s="198">
        <f t="shared" si="11"/>
        <v>0.16075529582191939</v>
      </c>
      <c r="E126" s="199">
        <f t="shared" si="11"/>
        <v>0.23100000000000001</v>
      </c>
      <c r="F126" s="116">
        <f>((1+G126)^27/((1+Divisionals!O$57)^7))^(1/20)-1</f>
        <v>0.15106678376015648</v>
      </c>
      <c r="G126" s="199">
        <f>Divisionals!Q$57</f>
        <v>0.16172443368048284</v>
      </c>
    </row>
    <row r="127" spans="1:10">
      <c r="A127" s="197" t="s">
        <v>168</v>
      </c>
      <c r="B127" s="198">
        <f t="shared" si="11"/>
        <v>0.3</v>
      </c>
      <c r="C127" s="198">
        <f t="shared" si="11"/>
        <v>7.1070936937017271E-2</v>
      </c>
      <c r="D127" s="198">
        <f t="shared" si="11"/>
        <v>0.22485403175843244</v>
      </c>
      <c r="E127" s="199">
        <f t="shared" si="11"/>
        <v>0.184</v>
      </c>
      <c r="F127" s="116">
        <f>((1+G127)^27/((1+Divisionals!O$334)^7))^(1/20)-1</f>
        <v>0.18194180125928239</v>
      </c>
      <c r="G127" s="199">
        <f>Divisionals!Q$334</f>
        <v>0.18197019950055648</v>
      </c>
    </row>
    <row r="128" spans="1:10">
      <c r="A128" s="197" t="s">
        <v>150</v>
      </c>
      <c r="B128" s="198">
        <f t="shared" si="11"/>
        <v>0.72</v>
      </c>
      <c r="C128" s="198">
        <f t="shared" si="11"/>
        <v>0.53721309854857657</v>
      </c>
      <c r="D128" s="198">
        <f t="shared" si="11"/>
        <v>0.26599647505189594</v>
      </c>
      <c r="E128" s="199">
        <f t="shared" si="11"/>
        <v>0.71199999999999997</v>
      </c>
      <c r="F128" s="116">
        <f>((1+G128)^27/((1+Divisionals!O$148)^7))^(1/20)-1</f>
        <v>0.43369146041161666</v>
      </c>
      <c r="G128" s="199">
        <f>Divisionals!Q$148</f>
        <v>0.44592576578973619</v>
      </c>
    </row>
    <row r="129" spans="1:7">
      <c r="A129" s="197" t="s">
        <v>246</v>
      </c>
      <c r="B129" s="198">
        <f t="shared" si="11"/>
        <v>0.16</v>
      </c>
      <c r="C129" s="198">
        <f t="shared" si="11"/>
        <v>-0.11394794256555307</v>
      </c>
      <c r="D129" s="198">
        <f t="shared" si="11"/>
        <v>-0.14558814737247516</v>
      </c>
      <c r="E129" s="199">
        <f t="shared" si="11"/>
        <v>0.08</v>
      </c>
      <c r="F129" s="116">
        <f>((1+G129)^27/((1+Divisionals!O$199)^7))^(1/20)-1</f>
        <v>0.18453351554869668</v>
      </c>
      <c r="G129" s="199">
        <f>Divisionals!Q$199</f>
        <v>0.11585353359424611</v>
      </c>
    </row>
    <row r="130" spans="1:7">
      <c r="B130" s="182">
        <f>B131+7*7-1</f>
        <v>44428</v>
      </c>
      <c r="C130" s="192">
        <f>C131+7*9-1</f>
        <v>44491</v>
      </c>
      <c r="D130" s="182">
        <f>D131+7*10-1</f>
        <v>44561</v>
      </c>
      <c r="E130" s="194">
        <f>E131+7*7-1</f>
        <v>44610</v>
      </c>
      <c r="F130" s="194">
        <f>F131+7*20-1</f>
        <v>44750</v>
      </c>
      <c r="G130" t="s">
        <v>766</v>
      </c>
    </row>
    <row r="131" spans="1:7">
      <c r="B131" s="182">
        <f>F123</f>
        <v>44380</v>
      </c>
      <c r="C131" s="192">
        <f>B130+1</f>
        <v>44429</v>
      </c>
      <c r="D131" s="182">
        <f>C130+1</f>
        <v>44492</v>
      </c>
      <c r="E131" s="194">
        <f>D130+1</f>
        <v>44562</v>
      </c>
      <c r="F131" s="194">
        <f>E130+1</f>
        <v>44611</v>
      </c>
      <c r="G131" t="s">
        <v>767</v>
      </c>
    </row>
    <row r="132" spans="1:7">
      <c r="A132" s="195" t="s">
        <v>526</v>
      </c>
      <c r="B132" s="197" t="s">
        <v>545</v>
      </c>
      <c r="C132" s="200" t="s">
        <v>546</v>
      </c>
      <c r="D132" s="203" t="s">
        <v>761</v>
      </c>
      <c r="E132" s="197" t="s">
        <v>545</v>
      </c>
      <c r="F132" s="197" t="s">
        <v>725</v>
      </c>
      <c r="G132" t="s">
        <v>765</v>
      </c>
    </row>
    <row r="133" spans="1:7">
      <c r="A133" s="197" t="s">
        <v>612</v>
      </c>
      <c r="B133" s="201">
        <f t="shared" ref="B133:D136" si="12">O95</f>
        <v>-0.11</v>
      </c>
      <c r="C133" s="202">
        <f t="shared" si="12"/>
        <v>-0.1452443120357958</v>
      </c>
      <c r="D133" s="204">
        <f t="shared" si="12"/>
        <v>1.4597104271831807E-2</v>
      </c>
      <c r="E133" s="204">
        <f t="shared" ref="E133:F136" si="13">R95</f>
        <v>9.2999999999999999E-2</v>
      </c>
      <c r="F133" s="204">
        <f t="shared" si="13"/>
        <v>7.7744130641736575E-2</v>
      </c>
      <c r="G133" s="199">
        <f>Divisionals!T$57</f>
        <v>1.9004329044665758E-2</v>
      </c>
    </row>
    <row r="134" spans="1:7">
      <c r="A134" s="197" t="s">
        <v>168</v>
      </c>
      <c r="B134" s="201">
        <f t="shared" si="12"/>
        <v>-0.16</v>
      </c>
      <c r="C134" s="202">
        <f t="shared" si="12"/>
        <v>-5.0385715727827241E-2</v>
      </c>
      <c r="D134" s="204">
        <f t="shared" si="12"/>
        <v>1.052021501158551E-2</v>
      </c>
      <c r="E134" s="204">
        <f t="shared" si="13"/>
        <v>-2.4E-2</v>
      </c>
      <c r="F134" s="204">
        <f t="shared" si="13"/>
        <v>-1.3778066743645345E-2</v>
      </c>
      <c r="G134" s="199">
        <f>Divisionals!T$334</f>
        <v>2.905342360229568E-2</v>
      </c>
    </row>
    <row r="135" spans="1:7">
      <c r="A135" s="197" t="s">
        <v>150</v>
      </c>
      <c r="B135" s="201">
        <f t="shared" si="12"/>
        <v>-0.21</v>
      </c>
      <c r="C135" s="202">
        <f t="shared" si="12"/>
        <v>-4.2969228951183047E-2</v>
      </c>
      <c r="D135" s="204">
        <f t="shared" si="12"/>
        <v>0.11238742590161155</v>
      </c>
      <c r="E135" s="204">
        <f t="shared" si="13"/>
        <v>0.122</v>
      </c>
      <c r="F135" s="204">
        <f t="shared" si="13"/>
        <v>4.4926784190816749E-2</v>
      </c>
      <c r="G135" s="199">
        <f>Divisionals!T$148</f>
        <v>1.1323211673006428E-2</v>
      </c>
    </row>
    <row r="136" spans="1:7">
      <c r="A136" s="197" t="s">
        <v>246</v>
      </c>
      <c r="B136" s="201">
        <f t="shared" si="12"/>
        <v>-0.02</v>
      </c>
      <c r="C136" s="202">
        <f t="shared" si="12"/>
        <v>-0.15767922266929812</v>
      </c>
      <c r="D136" s="204">
        <f t="shared" si="12"/>
        <v>0.15006488430464149</v>
      </c>
      <c r="E136" s="204">
        <f t="shared" si="13"/>
        <v>0.08</v>
      </c>
      <c r="F136" s="204">
        <f t="shared" si="13"/>
        <v>-3.3036140751850018E-2</v>
      </c>
      <c r="G136" s="199">
        <f>Divisionals!T$199</f>
        <v>5.947994525739575E-2</v>
      </c>
    </row>
    <row r="139" spans="1:7" s="156" customFormat="1" ht="63.75">
      <c r="A139" s="155"/>
      <c r="B139" s="155" t="s">
        <v>674</v>
      </c>
      <c r="C139" s="155" t="s">
        <v>675</v>
      </c>
      <c r="D139" s="155" t="s">
        <v>676</v>
      </c>
      <c r="E139" s="155" t="s">
        <v>677</v>
      </c>
    </row>
    <row r="140" spans="1:7" s="122" customFormat="1">
      <c r="A140" s="122" t="s">
        <v>612</v>
      </c>
      <c r="B140" s="157">
        <f>I95</f>
        <v>0.23</v>
      </c>
      <c r="C140" s="157">
        <f t="shared" ref="C140:D143" si="14">AF95</f>
        <v>0.21</v>
      </c>
      <c r="D140" s="158">
        <f t="shared" si="14"/>
        <v>0.19619381223771026</v>
      </c>
      <c r="E140" s="133">
        <f>K95</f>
        <v>0.16075529582191939</v>
      </c>
    </row>
    <row r="141" spans="1:7" s="122" customFormat="1">
      <c r="A141" s="122" t="s">
        <v>168</v>
      </c>
      <c r="B141" s="157">
        <f>I96</f>
        <v>0.3</v>
      </c>
      <c r="C141" s="157">
        <f t="shared" si="14"/>
        <v>0.16</v>
      </c>
      <c r="D141" s="158">
        <f t="shared" si="14"/>
        <v>7.1070936937017271E-2</v>
      </c>
      <c r="E141" s="133">
        <f>K96</f>
        <v>0.22485403175843244</v>
      </c>
    </row>
    <row r="142" spans="1:7" s="122" customFormat="1">
      <c r="A142" s="122" t="s">
        <v>150</v>
      </c>
      <c r="B142" s="157">
        <f>I97</f>
        <v>0.72</v>
      </c>
      <c r="C142" s="157">
        <f t="shared" si="14"/>
        <v>0.61</v>
      </c>
      <c r="D142" s="158">
        <f t="shared" si="14"/>
        <v>0.53721309854857635</v>
      </c>
      <c r="E142" s="133">
        <f>K97</f>
        <v>0.26599647505189594</v>
      </c>
    </row>
    <row r="143" spans="1:7" s="122" customFormat="1">
      <c r="A143" s="122" t="s">
        <v>246</v>
      </c>
      <c r="B143" s="157">
        <f>I98</f>
        <v>0.16</v>
      </c>
      <c r="C143" s="157">
        <f t="shared" si="14"/>
        <v>-0.01</v>
      </c>
      <c r="D143" s="158">
        <f t="shared" si="14"/>
        <v>-0.11394794256555307</v>
      </c>
      <c r="E143" s="133">
        <f>K98</f>
        <v>-0.14558814737247516</v>
      </c>
    </row>
    <row r="144" spans="1:7" s="122" customFormat="1"/>
    <row r="146" spans="1:14" ht="38.25">
      <c r="A146" s="155"/>
      <c r="B146" s="155" t="s">
        <v>279</v>
      </c>
      <c r="C146" s="155" t="s">
        <v>680</v>
      </c>
      <c r="D146" s="155" t="s">
        <v>678</v>
      </c>
      <c r="E146" s="155" t="s">
        <v>679</v>
      </c>
    </row>
    <row r="147" spans="1:14" ht="15">
      <c r="A147" s="159" t="s">
        <v>97</v>
      </c>
      <c r="B147" s="161">
        <v>7.9000000000000001E-2</v>
      </c>
      <c r="C147" s="163">
        <v>1.32</v>
      </c>
      <c r="D147" s="161">
        <v>0.128</v>
      </c>
      <c r="E147" s="161">
        <v>0.40500000000000003</v>
      </c>
    </row>
    <row r="148" spans="1:14" ht="15">
      <c r="A148" s="159" t="s">
        <v>168</v>
      </c>
      <c r="B148" s="161">
        <v>0.16600000000000001</v>
      </c>
      <c r="C148" s="163">
        <v>1.84</v>
      </c>
      <c r="D148" s="161">
        <v>0.26700000000000002</v>
      </c>
      <c r="E148" s="161">
        <v>1.256</v>
      </c>
    </row>
    <row r="149" spans="1:14" ht="15">
      <c r="A149" s="159" t="s">
        <v>150</v>
      </c>
      <c r="B149" s="161">
        <v>8.5999999999999993E-2</v>
      </c>
      <c r="C149" s="163">
        <v>1.4</v>
      </c>
      <c r="D149" s="161">
        <v>0.123</v>
      </c>
      <c r="E149" s="161">
        <v>0.185</v>
      </c>
    </row>
    <row r="150" spans="1:14" ht="15">
      <c r="A150" s="159" t="s">
        <v>246</v>
      </c>
      <c r="B150" s="161">
        <v>0.23499999999999999</v>
      </c>
      <c r="C150" s="163">
        <v>1.21</v>
      </c>
      <c r="D150" s="161">
        <v>0.224</v>
      </c>
      <c r="E150" s="162" t="s">
        <v>589</v>
      </c>
    </row>
    <row r="151" spans="1:14" ht="15">
      <c r="A151" s="160"/>
    </row>
    <row r="154" spans="1:14">
      <c r="H154" s="119"/>
      <c r="I154" s="119"/>
      <c r="J154" s="119"/>
      <c r="K154" s="119"/>
      <c r="L154" s="119"/>
      <c r="M154" s="119"/>
      <c r="N154" s="119"/>
    </row>
  </sheetData>
  <mergeCells count="9">
    <mergeCell ref="N106:P106"/>
    <mergeCell ref="V80:W80"/>
    <mergeCell ref="X80:Y80"/>
    <mergeCell ref="Z80:AA80"/>
    <mergeCell ref="H60:K60"/>
    <mergeCell ref="M60:O60"/>
    <mergeCell ref="H68:K68"/>
    <mergeCell ref="M68:O68"/>
    <mergeCell ref="S101:V101"/>
  </mergeCells>
  <printOptions horizontalCentered="1" verticalCentered="1"/>
  <pageMargins left="0.7" right="0.7" top="0.75" bottom="0.75" header="0.3" footer="0.3"/>
  <pageSetup scale="10" orientation="portrait" r:id="rId1"/>
  <customProperties>
    <customPr name="Qube.Worksheet.Visibility" r:id="rId2"/>
  </customPropertie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B2:F23"/>
  <sheetViews>
    <sheetView workbookViewId="0"/>
  </sheetViews>
  <sheetFormatPr defaultRowHeight="12.75"/>
  <cols>
    <col min="2" max="2" width="12" bestFit="1" customWidth="1"/>
  </cols>
  <sheetData>
    <row r="2" spans="2:6">
      <c r="C2">
        <v>2019</v>
      </c>
      <c r="D2">
        <v>2022</v>
      </c>
      <c r="E2">
        <v>2026</v>
      </c>
    </row>
    <row r="3" spans="2:6">
      <c r="B3" t="s">
        <v>542</v>
      </c>
      <c r="C3">
        <v>323</v>
      </c>
      <c r="D3">
        <v>329</v>
      </c>
      <c r="E3">
        <v>360</v>
      </c>
    </row>
    <row r="4" spans="2:6">
      <c r="B4" t="s">
        <v>789</v>
      </c>
      <c r="C4">
        <v>161</v>
      </c>
      <c r="D4">
        <v>154</v>
      </c>
      <c r="E4">
        <v>157.5</v>
      </c>
    </row>
    <row r="5" spans="2:6">
      <c r="B5" t="s">
        <v>150</v>
      </c>
      <c r="C5">
        <v>136</v>
      </c>
      <c r="D5">
        <v>145</v>
      </c>
      <c r="E5">
        <v>165</v>
      </c>
    </row>
    <row r="6" spans="2:6">
      <c r="B6" t="s">
        <v>790</v>
      </c>
      <c r="C6">
        <v>59</v>
      </c>
      <c r="D6">
        <v>83</v>
      </c>
      <c r="E6">
        <v>105</v>
      </c>
    </row>
    <row r="7" spans="2:6">
      <c r="C7">
        <f>SUM(C3:C6)</f>
        <v>679</v>
      </c>
      <c r="D7">
        <f>SUM(D3:D6)</f>
        <v>711</v>
      </c>
      <c r="E7">
        <f>SUM(E3:E6)</f>
        <v>787.5</v>
      </c>
      <c r="F7">
        <f>E7-D7</f>
        <v>76.5</v>
      </c>
    </row>
    <row r="8" spans="2:6">
      <c r="F8">
        <f>E7-C7</f>
        <v>108.5</v>
      </c>
    </row>
    <row r="11" spans="2:6">
      <c r="C11" t="s">
        <v>791</v>
      </c>
      <c r="D11" t="s">
        <v>792</v>
      </c>
    </row>
    <row r="12" spans="2:6">
      <c r="B12" t="s">
        <v>542</v>
      </c>
      <c r="C12" s="92">
        <v>2.8</v>
      </c>
      <c r="D12" s="116">
        <v>0.56999999999999995</v>
      </c>
    </row>
    <row r="13" spans="2:6">
      <c r="B13" t="s">
        <v>789</v>
      </c>
      <c r="C13" s="92">
        <v>3.3</v>
      </c>
      <c r="D13" s="116">
        <v>0.7</v>
      </c>
    </row>
    <row r="14" spans="2:6">
      <c r="B14" t="s">
        <v>150</v>
      </c>
      <c r="C14" s="92">
        <v>2.1</v>
      </c>
      <c r="D14" s="116">
        <v>0.86</v>
      </c>
    </row>
    <row r="15" spans="2:6">
      <c r="B15" t="s">
        <v>790</v>
      </c>
      <c r="C15" s="92">
        <v>0.5</v>
      </c>
      <c r="D15" s="116">
        <v>0.69</v>
      </c>
    </row>
    <row r="16" spans="2:6">
      <c r="D16" s="116"/>
    </row>
    <row r="18" spans="2:3">
      <c r="B18" t="s">
        <v>793</v>
      </c>
    </row>
    <row r="19" spans="2:3">
      <c r="B19" t="s">
        <v>157</v>
      </c>
      <c r="C19">
        <v>100</v>
      </c>
    </row>
    <row r="20" spans="2:3">
      <c r="B20" t="s">
        <v>794</v>
      </c>
      <c r="C20">
        <v>89</v>
      </c>
    </row>
    <row r="21" spans="2:3">
      <c r="B21" t="s">
        <v>795</v>
      </c>
      <c r="C21">
        <v>159</v>
      </c>
    </row>
    <row r="22" spans="2:3">
      <c r="B22" t="s">
        <v>796</v>
      </c>
      <c r="C22">
        <v>167</v>
      </c>
    </row>
    <row r="23" spans="2:3">
      <c r="B23" t="s">
        <v>797</v>
      </c>
      <c r="C23">
        <v>161</v>
      </c>
    </row>
  </sheetData>
  <pageMargins left="0.7" right="0.7" top="0.75" bottom="0.75" header="0.3" footer="0.3"/>
  <pageSetup paperSize="0" orientation="portrait" r:id="rId1"/>
  <customProperties>
    <customPr name="Qube.Worksheet.Visibility" r:id="rId2"/>
  </customPropertie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N25"/>
  <sheetViews>
    <sheetView workbookViewId="0"/>
  </sheetViews>
  <sheetFormatPr defaultColWidth="9.140625" defaultRowHeight="12.75"/>
  <cols>
    <col min="1" max="1" width="26.42578125" style="122" bestFit="1" customWidth="1"/>
    <col min="2" max="16384" width="9.140625" style="122"/>
  </cols>
  <sheetData>
    <row r="1" spans="1:14">
      <c r="A1" s="125" t="s">
        <v>604</v>
      </c>
      <c r="B1" s="125" t="s">
        <v>283</v>
      </c>
      <c r="C1" s="125" t="s">
        <v>284</v>
      </c>
      <c r="D1" s="125" t="s">
        <v>361</v>
      </c>
      <c r="E1" s="125" t="s">
        <v>276</v>
      </c>
      <c r="F1" s="125" t="s">
        <v>277</v>
      </c>
      <c r="G1" s="125" t="s">
        <v>409</v>
      </c>
      <c r="H1" s="125" t="s">
        <v>278</v>
      </c>
      <c r="I1" s="125" t="s">
        <v>279</v>
      </c>
      <c r="J1" s="125" t="s">
        <v>410</v>
      </c>
      <c r="K1" s="125" t="s">
        <v>552</v>
      </c>
      <c r="L1" s="125" t="s">
        <v>553</v>
      </c>
      <c r="M1" s="125" t="s">
        <v>411</v>
      </c>
      <c r="N1" s="125" t="s">
        <v>526</v>
      </c>
    </row>
    <row r="2" spans="1:14">
      <c r="A2" s="122" t="s">
        <v>65</v>
      </c>
      <c r="B2" s="123">
        <f>Divisionals!F63</f>
        <v>516.70000000000005</v>
      </c>
      <c r="C2" s="123">
        <f>Divisionals!G63</f>
        <v>489.69999999999993</v>
      </c>
      <c r="D2" s="123">
        <f>Divisionals!H63</f>
        <v>1006.4</v>
      </c>
      <c r="E2" s="123">
        <f>Divisionals!I63</f>
        <v>530.79999999999995</v>
      </c>
      <c r="F2" s="123">
        <f>Divisionals!J63</f>
        <v>509.79999999999995</v>
      </c>
      <c r="G2" s="123">
        <f>Divisionals!K63</f>
        <v>1040.5999999999999</v>
      </c>
      <c r="H2" s="123">
        <f>Divisionals!L63</f>
        <v>550.70000000000005</v>
      </c>
      <c r="I2" s="123">
        <f>J2-H2</f>
        <v>574.96834702327442</v>
      </c>
      <c r="J2" s="123">
        <f>G2*(1+J15)</f>
        <v>1125.6683470232745</v>
      </c>
      <c r="K2" s="123">
        <f>H2*(1+K15)</f>
        <v>660.8738951584404</v>
      </c>
      <c r="L2" s="123">
        <f>Divisionals!P63</f>
        <v>646.9</v>
      </c>
      <c r="M2" s="123">
        <f>J2*(1+M15)</f>
        <v>1311.7278230280808</v>
      </c>
      <c r="N2" s="123">
        <f>M2*(1+N15)</f>
        <v>1344.8315982685303</v>
      </c>
    </row>
    <row r="3" spans="1:14">
      <c r="A3" s="122" t="s">
        <v>598</v>
      </c>
      <c r="B3" s="123">
        <f t="shared" ref="B3:G3" si="0">B2-B4</f>
        <v>284.09019508022294</v>
      </c>
      <c r="C3" s="123">
        <f t="shared" si="0"/>
        <v>191.34452502091466</v>
      </c>
      <c r="D3" s="123">
        <f t="shared" si="0"/>
        <v>475.4347201011376</v>
      </c>
      <c r="E3" s="123">
        <f t="shared" si="0"/>
        <v>290.25020799028897</v>
      </c>
      <c r="F3" s="123">
        <f t="shared" si="0"/>
        <v>201.34097815562092</v>
      </c>
      <c r="G3" s="123">
        <f t="shared" si="0"/>
        <v>491.59118614590989</v>
      </c>
    </row>
    <row r="4" spans="1:14">
      <c r="A4" s="122" t="s">
        <v>158</v>
      </c>
      <c r="B4" s="123">
        <f>B5*B2</f>
        <v>232.6098049197771</v>
      </c>
      <c r="C4" s="123">
        <f>D4-B4</f>
        <v>298.35547497908527</v>
      </c>
      <c r="D4" s="123">
        <f>D5*D2</f>
        <v>530.96527989886238</v>
      </c>
      <c r="E4" s="122">
        <f>E5*E2</f>
        <v>240.54979200971098</v>
      </c>
      <c r="F4" s="123">
        <f>G4-E4</f>
        <v>308.45902184437904</v>
      </c>
      <c r="G4" s="123">
        <f>G5*G2</f>
        <v>549.00881385409002</v>
      </c>
    </row>
    <row r="5" spans="1:14">
      <c r="A5" s="122" t="s">
        <v>599</v>
      </c>
      <c r="B5" s="135">
        <f>Divisionals!F76</f>
        <v>0.45018348155559723</v>
      </c>
      <c r="C5" s="124">
        <f>C4/C2</f>
        <v>0.6092617418400762</v>
      </c>
      <c r="D5" s="135">
        <f>Divisionals!H76</f>
        <v>0.52758871214115899</v>
      </c>
      <c r="E5" s="136">
        <f>B5+0.3%</f>
        <v>0.45318348155559723</v>
      </c>
      <c r="F5" s="124">
        <f>F4/F2</f>
        <v>0.60505888945543163</v>
      </c>
      <c r="G5" s="133">
        <f>D5</f>
        <v>0.52758871214115899</v>
      </c>
    </row>
    <row r="6" spans="1:14">
      <c r="A6" s="122" t="s">
        <v>600</v>
      </c>
      <c r="B6" s="123">
        <f t="shared" ref="B6:G6" si="1">B4-B8</f>
        <v>161.6098049197771</v>
      </c>
      <c r="C6" s="123">
        <f t="shared" si="1"/>
        <v>221.15547497908528</v>
      </c>
      <c r="D6" s="123">
        <f t="shared" si="1"/>
        <v>382.76527989886239</v>
      </c>
      <c r="E6" s="123">
        <f t="shared" si="1"/>
        <v>166.24979200971097</v>
      </c>
      <c r="F6" s="123">
        <f t="shared" si="1"/>
        <v>226.65902184437903</v>
      </c>
      <c r="G6" s="123">
        <f t="shared" si="1"/>
        <v>392.90881385409</v>
      </c>
    </row>
    <row r="7" spans="1:14">
      <c r="A7" s="122" t="s">
        <v>601</v>
      </c>
      <c r="B7" s="124">
        <f t="shared" ref="B7:G7" si="2">B6/B2</f>
        <v>0.31277299190976793</v>
      </c>
      <c r="C7" s="124">
        <f t="shared" si="2"/>
        <v>0.45161420253029472</v>
      </c>
      <c r="D7" s="124">
        <f t="shared" si="2"/>
        <v>0.38033116047184262</v>
      </c>
      <c r="E7" s="124">
        <f t="shared" si="2"/>
        <v>0.31320608894067631</v>
      </c>
      <c r="F7" s="124">
        <f t="shared" si="2"/>
        <v>0.44460380903173607</v>
      </c>
      <c r="G7" s="124">
        <f t="shared" si="2"/>
        <v>0.37757910230068231</v>
      </c>
    </row>
    <row r="8" spans="1:14">
      <c r="A8" s="122" t="s">
        <v>66</v>
      </c>
      <c r="B8" s="123">
        <f>B9*B2</f>
        <v>71</v>
      </c>
      <c r="C8" s="122">
        <f>D8-B8</f>
        <v>77.199999999999989</v>
      </c>
      <c r="D8" s="122">
        <f>D9*D2</f>
        <v>148.19999999999999</v>
      </c>
      <c r="E8" s="123">
        <f>E9*E2</f>
        <v>74.3</v>
      </c>
      <c r="F8" s="122">
        <f>G8-E8</f>
        <v>81.8</v>
      </c>
      <c r="G8" s="122">
        <f>G9*G2</f>
        <v>156.1</v>
      </c>
      <c r="H8" s="123">
        <f>H9*H2</f>
        <v>75.5</v>
      </c>
    </row>
    <row r="9" spans="1:14">
      <c r="A9" s="122" t="s">
        <v>286</v>
      </c>
      <c r="B9" s="134">
        <f>71/B2</f>
        <v>0.13741048964582928</v>
      </c>
      <c r="C9" s="124">
        <f>C8/C2</f>
        <v>0.15764753930978151</v>
      </c>
      <c r="D9" s="134">
        <f>148.2/D2</f>
        <v>0.14725755166931637</v>
      </c>
      <c r="E9" s="134">
        <f>74.3/E2</f>
        <v>0.13997739261492087</v>
      </c>
      <c r="F9" s="124">
        <f>F8/F2</f>
        <v>0.16045508042369558</v>
      </c>
      <c r="G9" s="134">
        <f>156.1/G2</f>
        <v>0.15000960984047665</v>
      </c>
      <c r="H9" s="134">
        <f>75.5/H2</f>
        <v>0.13709823860541129</v>
      </c>
    </row>
    <row r="10" spans="1:14">
      <c r="A10" s="122" t="s">
        <v>602</v>
      </c>
    </row>
    <row r="11" spans="1:14">
      <c r="A11" s="122" t="s">
        <v>603</v>
      </c>
    </row>
    <row r="12" spans="1:14">
      <c r="A12" s="122" t="s">
        <v>70</v>
      </c>
    </row>
    <row r="13" spans="1:14">
      <c r="A13" s="122" t="s">
        <v>285</v>
      </c>
    </row>
    <row r="15" spans="1:14">
      <c r="A15" s="122" t="s">
        <v>149</v>
      </c>
      <c r="E15" s="124">
        <f>E2/B2-1</f>
        <v>2.7288562028256136E-2</v>
      </c>
      <c r="F15" s="124">
        <f>F2/C2-1</f>
        <v>4.1045538084541588E-2</v>
      </c>
      <c r="G15" s="124">
        <f>G2/D2-1</f>
        <v>3.3982511923688286E-2</v>
      </c>
      <c r="H15" s="124">
        <f>H2/E2-1</f>
        <v>3.7490580256217099E-2</v>
      </c>
      <c r="I15" s="124"/>
      <c r="J15" s="124">
        <f>(1+J16)*(1+J17)*(1+J18)-1</f>
        <v>8.1749324450580918E-2</v>
      </c>
      <c r="K15" s="124">
        <f>(1+K16)*(1+K17)*(1+K18)-1</f>
        <v>0.20006154922542274</v>
      </c>
      <c r="L15" s="124"/>
      <c r="M15" s="124">
        <f>(1+M16)*(1+M17)*(1+M18)-1</f>
        <v>0.16528800556293821</v>
      </c>
      <c r="N15" s="124">
        <f>(1+N16)*(1+N17)*(1+N18)-1</f>
        <v>2.5236771424143933E-2</v>
      </c>
    </row>
    <row r="16" spans="1:14">
      <c r="A16" s="122" t="s">
        <v>176</v>
      </c>
      <c r="E16" s="124">
        <f>Divisionals!I70</f>
        <v>1.7999999999999999E-2</v>
      </c>
      <c r="F16" s="124"/>
      <c r="G16" s="124">
        <f>Divisionals!K70</f>
        <v>2.3E-2</v>
      </c>
      <c r="H16" s="124">
        <f>Divisionals!L70</f>
        <v>2.4E-2</v>
      </c>
      <c r="J16" s="124">
        <f>Divisionals!N57</f>
        <v>6.4408141918834927E-2</v>
      </c>
      <c r="K16" s="124">
        <f>Divisionals!O57</f>
        <v>0.19272172323627634</v>
      </c>
      <c r="L16" s="134"/>
      <c r="M16" s="124">
        <f>Divisionals!Q57</f>
        <v>0.16172443368048284</v>
      </c>
      <c r="N16" s="124">
        <f>Divisionals!T57</f>
        <v>1.9004329044665758E-2</v>
      </c>
    </row>
    <row r="17" spans="1:14">
      <c r="A17" s="122" t="s">
        <v>605</v>
      </c>
      <c r="E17" s="124">
        <f>Divisionals!I67/Divisionals!F67-1</f>
        <v>6.230529595015577E-3</v>
      </c>
      <c r="F17" s="124"/>
      <c r="G17" s="124">
        <f>Divisionals!K67/Divisionals!H67-1</f>
        <v>1.2539184952978122E-2</v>
      </c>
      <c r="H17" s="124">
        <f>Divisionals!L67/Divisionals!I67-1</f>
        <v>6.1919504643963563E-3</v>
      </c>
      <c r="I17" s="124"/>
      <c r="J17" s="124">
        <f>Divisionals!N67/Divisionals!K67-1</f>
        <v>9.2879256965945345E-3</v>
      </c>
      <c r="K17" s="124">
        <f>Divisionals!O67/Divisionals!L67-1</f>
        <v>6.1538461538461764E-3</v>
      </c>
      <c r="L17" s="124"/>
      <c r="M17" s="124">
        <f>Divisionals!Q67/Divisionals!N67-1</f>
        <v>3.0674846625766694E-3</v>
      </c>
      <c r="N17" s="124">
        <f>Divisionals!T67/Divisionals!O67-1</f>
        <v>6.1162079510703737E-3</v>
      </c>
    </row>
    <row r="18" spans="1:14">
      <c r="A18" s="122" t="s">
        <v>606</v>
      </c>
      <c r="E18" s="124">
        <f>(1+E15)/((1+E16)*(1+E17))-1</f>
        <v>2.8758763649667785E-3</v>
      </c>
      <c r="G18" s="124">
        <f>(1+G15)/((1+G16)*(1+G17))-1</f>
        <v>-1.7812561740750965E-3</v>
      </c>
      <c r="H18" s="124">
        <f>(1+H15)/((1+H16)*(1+H17))-1</f>
        <v>6.939475428960451E-3</v>
      </c>
      <c r="J18" s="134">
        <f>H18</f>
        <v>6.939475428960451E-3</v>
      </c>
      <c r="K18" s="134">
        <v>0</v>
      </c>
      <c r="M18" s="134">
        <v>0</v>
      </c>
      <c r="N18" s="134">
        <v>0</v>
      </c>
    </row>
    <row r="21" spans="1:14">
      <c r="A21" s="122" t="s">
        <v>607</v>
      </c>
      <c r="E21" s="123">
        <f>(E9-B9)*(10^4)</f>
        <v>25.669029690915945</v>
      </c>
      <c r="F21" s="123">
        <f>(F9-C9)*(10^4)</f>
        <v>28.075411139140694</v>
      </c>
      <c r="G21" s="123">
        <f>(G9-D9)*(10^4)</f>
        <v>27.520581711602819</v>
      </c>
      <c r="H21" s="123">
        <f>(H9-E9)*(10^4)</f>
        <v>-28.791540095095826</v>
      </c>
    </row>
    <row r="23" spans="1:14">
      <c r="A23" s="122" t="s">
        <v>608</v>
      </c>
      <c r="E23" s="124">
        <f>E6/B6-1</f>
        <v>2.8711049383650655E-2</v>
      </c>
      <c r="F23" s="124">
        <f>F6/C6-1</f>
        <v>2.488541993280613E-2</v>
      </c>
      <c r="G23" s="124">
        <f>G6/D6-1</f>
        <v>2.6500663691094939E-2</v>
      </c>
    </row>
    <row r="24" spans="1:14">
      <c r="A24" s="122" t="s">
        <v>609</v>
      </c>
      <c r="E24" s="124">
        <f>E17</f>
        <v>6.230529595015577E-3</v>
      </c>
      <c r="F24" s="124"/>
      <c r="G24" s="124">
        <f>G17</f>
        <v>1.2539184952978122E-2</v>
      </c>
    </row>
    <row r="25" spans="1:14">
      <c r="A25" s="122" t="s">
        <v>610</v>
      </c>
      <c r="E25" s="124">
        <f>(1+E23)/(1+E24)-1</f>
        <v>2.2341321523690061E-2</v>
      </c>
      <c r="F25" s="124"/>
      <c r="G25" s="124">
        <f>(1+G23)/(1+G24)-1</f>
        <v>1.3788581168604486E-2</v>
      </c>
    </row>
  </sheetData>
  <pageMargins left="0.7" right="0.7" top="0.75" bottom="0.75" header="0.3" footer="0.3"/>
  <pageSetup paperSize="0" orientation="portrait" r:id="rId1"/>
  <customProperties>
    <customPr name="Qube.Worksheet.Visibility" r:id="rId2"/>
  </customProperties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O94"/>
  <sheetViews>
    <sheetView workbookViewId="0"/>
  </sheetViews>
  <sheetFormatPr defaultColWidth="9.140625" defaultRowHeight="12.75" outlineLevelCol="1"/>
  <cols>
    <col min="1" max="1" width="38.5703125" bestFit="1" customWidth="1"/>
    <col min="2" max="34" width="9.140625" hidden="1" customWidth="1" outlineLevel="1"/>
    <col min="35" max="35" width="9.140625" customWidth="1" collapsed="1"/>
    <col min="36" max="37" width="0" hidden="1" customWidth="1" outlineLevel="1"/>
    <col min="38" max="38" width="9.140625" collapsed="1"/>
    <col min="39" max="40" width="0" hidden="1" customWidth="1" outlineLevel="1"/>
    <col min="41" max="41" width="9.140625" collapsed="1"/>
    <col min="42" max="43" width="0" hidden="1" customWidth="1" outlineLevel="1"/>
    <col min="44" max="44" width="9.140625" collapsed="1"/>
    <col min="45" max="46" width="0" hidden="1" customWidth="1" outlineLevel="1"/>
    <col min="47" max="47" width="9.140625" collapsed="1"/>
    <col min="48" max="49" width="0" hidden="1" customWidth="1" outlineLevel="1"/>
    <col min="50" max="50" width="9.140625" collapsed="1"/>
    <col min="51" max="52" width="9.140625" hidden="1" customWidth="1" outlineLevel="1"/>
    <col min="53" max="53" width="9.140625" collapsed="1"/>
    <col min="54" max="55" width="9.140625" hidden="1" customWidth="1" outlineLevel="1"/>
    <col min="56" max="56" width="9.140625" collapsed="1"/>
    <col min="57" max="58" width="9.140625" hidden="1" customWidth="1" outlineLevel="1"/>
    <col min="59" max="59" width="9.140625" collapsed="1"/>
  </cols>
  <sheetData>
    <row r="1" spans="1:67" s="4" customFormat="1" ht="30.75" customHeight="1">
      <c r="A1" s="1" t="s">
        <v>132</v>
      </c>
      <c r="B1" s="2" t="str">
        <f t="shared" ref="B1:Q1" si="0">IF(ABS(B112-B128-B135)&lt;0.001,"","Error")</f>
        <v/>
      </c>
      <c r="C1" s="2" t="str">
        <f t="shared" si="0"/>
        <v/>
      </c>
      <c r="D1" s="2" t="str">
        <f t="shared" si="0"/>
        <v/>
      </c>
      <c r="E1" s="2" t="str">
        <f t="shared" si="0"/>
        <v/>
      </c>
      <c r="F1" s="2" t="str">
        <f t="shared" si="0"/>
        <v/>
      </c>
      <c r="G1" s="2" t="str">
        <f t="shared" si="0"/>
        <v/>
      </c>
      <c r="H1" s="2" t="str">
        <f t="shared" si="0"/>
        <v/>
      </c>
      <c r="I1" s="2" t="str">
        <f t="shared" si="0"/>
        <v/>
      </c>
      <c r="J1" s="2" t="str">
        <f t="shared" si="0"/>
        <v/>
      </c>
      <c r="K1" s="2" t="str">
        <f t="shared" si="0"/>
        <v/>
      </c>
      <c r="L1" s="2" t="str">
        <f t="shared" si="0"/>
        <v/>
      </c>
      <c r="M1" s="2" t="str">
        <f t="shared" si="0"/>
        <v/>
      </c>
      <c r="N1" s="2" t="str">
        <f t="shared" si="0"/>
        <v/>
      </c>
      <c r="O1" s="2" t="str">
        <f t="shared" si="0"/>
        <v/>
      </c>
      <c r="P1" s="2" t="str">
        <f t="shared" si="0"/>
        <v/>
      </c>
      <c r="Q1" s="2" t="str">
        <f t="shared" si="0"/>
        <v/>
      </c>
      <c r="R1" s="2"/>
      <c r="S1" s="2"/>
      <c r="T1" s="2" t="str">
        <f>IF(ABS(T112-T128-T135)&lt;0.001,"","Error")</f>
        <v/>
      </c>
      <c r="U1" s="2"/>
      <c r="V1" s="2"/>
      <c r="W1" s="2" t="str">
        <f>IF(ABS(W112-W128-W135)&lt;0.001,"","Error")</f>
        <v/>
      </c>
      <c r="X1" s="2"/>
      <c r="Y1" s="2"/>
      <c r="Z1" s="2" t="str">
        <f>IF(ABS(Z112-Z128-Z135)&lt;0.001,"","Error")</f>
        <v/>
      </c>
      <c r="AA1" s="2"/>
      <c r="AB1" s="2"/>
      <c r="AC1" s="2" t="str">
        <f>IF(ABS(AC112-AC128-AC135)&lt;0.001,"","Error")</f>
        <v/>
      </c>
      <c r="AD1" s="2" t="e">
        <f>MODEL!#REF!/MODEL!#REF!</f>
        <v>#REF!</v>
      </c>
      <c r="AE1" s="2"/>
      <c r="AF1" s="2" t="str">
        <f>IF(ABS(AF112-AF128-AF135)&lt;0.001,"","Error")</f>
        <v/>
      </c>
      <c r="AG1" s="2" t="e">
        <f>MODEL!#REF!/MODEL!#REF!</f>
        <v>#REF!</v>
      </c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67" s="8" customFormat="1" ht="15" customHeight="1">
      <c r="A2" s="51" t="s">
        <v>136</v>
      </c>
      <c r="B2" s="49">
        <v>2001</v>
      </c>
      <c r="C2" s="49">
        <v>2002</v>
      </c>
      <c r="D2" s="49">
        <v>2003</v>
      </c>
      <c r="E2" s="49">
        <v>2004</v>
      </c>
      <c r="F2" s="49" t="s">
        <v>137</v>
      </c>
      <c r="G2" s="49" t="s">
        <v>138</v>
      </c>
      <c r="H2" s="49">
        <v>2005</v>
      </c>
      <c r="I2" s="49" t="s">
        <v>137</v>
      </c>
      <c r="J2" s="49" t="s">
        <v>138</v>
      </c>
      <c r="K2" s="49">
        <v>2006</v>
      </c>
      <c r="L2" s="49" t="s">
        <v>137</v>
      </c>
      <c r="M2" s="49" t="s">
        <v>138</v>
      </c>
      <c r="N2" s="49">
        <v>2007</v>
      </c>
      <c r="O2" s="49" t="s">
        <v>137</v>
      </c>
      <c r="P2" s="49" t="s">
        <v>138</v>
      </c>
      <c r="Q2" s="49">
        <v>2008</v>
      </c>
      <c r="R2" s="49" t="s">
        <v>137</v>
      </c>
      <c r="S2" s="49" t="s">
        <v>138</v>
      </c>
      <c r="T2" s="49">
        <v>2009</v>
      </c>
      <c r="U2" s="49" t="s">
        <v>137</v>
      </c>
      <c r="V2" s="49" t="s">
        <v>138</v>
      </c>
      <c r="W2" s="49">
        <v>2010</v>
      </c>
      <c r="X2" s="49" t="s">
        <v>137</v>
      </c>
      <c r="Y2" s="49" t="s">
        <v>138</v>
      </c>
      <c r="Z2" s="49">
        <v>2011</v>
      </c>
      <c r="AA2" s="49" t="s">
        <v>137</v>
      </c>
      <c r="AB2" s="49" t="s">
        <v>138</v>
      </c>
      <c r="AC2" s="49">
        <v>2012</v>
      </c>
      <c r="AD2" s="49" t="s">
        <v>137</v>
      </c>
      <c r="AE2" s="49" t="s">
        <v>138</v>
      </c>
      <c r="AF2" s="49">
        <v>2013</v>
      </c>
      <c r="AG2" s="49" t="s">
        <v>137</v>
      </c>
      <c r="AH2" s="49" t="s">
        <v>138</v>
      </c>
      <c r="AI2" s="49">
        <v>2014</v>
      </c>
      <c r="AJ2" s="49" t="s">
        <v>137</v>
      </c>
      <c r="AK2" s="49" t="s">
        <v>138</v>
      </c>
      <c r="AL2" s="49">
        <v>2015</v>
      </c>
      <c r="AM2" s="49" t="s">
        <v>137</v>
      </c>
      <c r="AN2" s="49" t="s">
        <v>138</v>
      </c>
      <c r="AO2" s="49">
        <v>2016</v>
      </c>
      <c r="AP2" s="49" t="s">
        <v>137</v>
      </c>
      <c r="AQ2" s="49" t="s">
        <v>138</v>
      </c>
      <c r="AR2" s="49">
        <v>2017</v>
      </c>
      <c r="AS2" s="49" t="s">
        <v>137</v>
      </c>
      <c r="AT2" s="49" t="s">
        <v>138</v>
      </c>
      <c r="AU2" s="49">
        <v>2018</v>
      </c>
      <c r="AV2" s="49" t="s">
        <v>137</v>
      </c>
      <c r="AW2" s="49" t="s">
        <v>138</v>
      </c>
      <c r="AX2" s="49" t="s">
        <v>238</v>
      </c>
      <c r="AY2" s="49"/>
      <c r="AZ2" s="49"/>
      <c r="BA2" s="49" t="s">
        <v>239</v>
      </c>
      <c r="BB2" s="49"/>
      <c r="BC2" s="49"/>
      <c r="BD2" s="49" t="s">
        <v>240</v>
      </c>
      <c r="BE2" s="49"/>
      <c r="BF2" s="49"/>
      <c r="BG2" s="49" t="s">
        <v>241</v>
      </c>
      <c r="BH2" s="49" t="s">
        <v>242</v>
      </c>
      <c r="BI2" s="49" t="s">
        <v>243</v>
      </c>
      <c r="BJ2" s="49" t="s">
        <v>244</v>
      </c>
      <c r="BK2" s="49" t="s">
        <v>245</v>
      </c>
      <c r="BL2" s="49" t="s">
        <v>321</v>
      </c>
      <c r="BM2" s="49" t="s">
        <v>322</v>
      </c>
      <c r="BN2" s="49" t="s">
        <v>551</v>
      </c>
      <c r="BO2" s="49" t="s">
        <v>652</v>
      </c>
    </row>
    <row r="40" spans="1:67" s="14" customFormat="1">
      <c r="A40" s="52" t="s">
        <v>63</v>
      </c>
      <c r="B40" s="53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</row>
    <row r="41" spans="1:67" s="4" customFormat="1">
      <c r="A41" s="4" t="s">
        <v>65</v>
      </c>
      <c r="B41" s="11"/>
      <c r="C41" s="11"/>
      <c r="D41" s="5" t="e">
        <f>MODEL!#REF!</f>
        <v>#REF!</v>
      </c>
      <c r="E41" s="5" t="e">
        <f>MODEL!#REF!</f>
        <v>#REF!</v>
      </c>
      <c r="F41" s="5" t="e">
        <f>MODEL!#REF!</f>
        <v>#REF!</v>
      </c>
      <c r="G41" s="5"/>
      <c r="H41" s="5" t="e">
        <f>MODEL!#REF!</f>
        <v>#REF!</v>
      </c>
      <c r="I41" s="5" t="e">
        <f>MODEL!#REF!</f>
        <v>#REF!</v>
      </c>
      <c r="J41" s="5"/>
      <c r="K41" s="5" t="e">
        <f>MODEL!#REF!</f>
        <v>#REF!</v>
      </c>
      <c r="L41" s="5" t="e">
        <f>MODEL!#REF!</f>
        <v>#REF!</v>
      </c>
      <c r="M41" s="5"/>
      <c r="N41" s="5">
        <f>Total_Sales</f>
        <v>2825.3999999999996</v>
      </c>
      <c r="O41" s="5" t="e">
        <f>MODEL!#REF!</f>
        <v>#REF!</v>
      </c>
      <c r="P41" s="5"/>
      <c r="Q41" s="5" t="e">
        <f>MODEL!#REF!</f>
        <v>#REF!</v>
      </c>
      <c r="R41" s="5" t="e">
        <f>MODEL!#REF!</f>
        <v>#REF!</v>
      </c>
      <c r="S41" s="5" t="e">
        <f>T41-R41</f>
        <v>#REF!</v>
      </c>
      <c r="T41" s="5" t="e">
        <f>MODEL!#REF!</f>
        <v>#REF!</v>
      </c>
      <c r="U41" s="5" t="e">
        <f>MODEL!#REF!</f>
        <v>#REF!</v>
      </c>
      <c r="V41" s="5" t="e">
        <f>W41-U41</f>
        <v>#REF!</v>
      </c>
      <c r="W41" s="5" t="e">
        <f>MODEL!#REF!</f>
        <v>#REF!</v>
      </c>
      <c r="X41" s="5" t="e">
        <f>MODEL!#REF!</f>
        <v>#REF!</v>
      </c>
      <c r="Y41" s="5" t="e">
        <f>Z41-X41</f>
        <v>#REF!</v>
      </c>
      <c r="Z41" s="5" t="e">
        <f>MODEL!#REF!</f>
        <v>#REF!</v>
      </c>
      <c r="AA41" s="5" t="e">
        <f>MODEL!#REF!</f>
        <v>#REF!</v>
      </c>
      <c r="AB41" s="5" t="e">
        <f>AC41-AA41</f>
        <v>#REF!</v>
      </c>
      <c r="AC41" s="5" t="e">
        <f>MODEL!#REF!</f>
        <v>#REF!</v>
      </c>
      <c r="AD41" s="5" t="e">
        <f>MODEL!#REF!</f>
        <v>#REF!</v>
      </c>
      <c r="AE41" s="5" t="e">
        <f>AF41-AD41</f>
        <v>#REF!</v>
      </c>
      <c r="AF41" s="5" t="e">
        <f>MODEL!#REF!</f>
        <v>#REF!</v>
      </c>
      <c r="AG41" s="5" t="e">
        <f>MODEL!#REF!</f>
        <v>#REF!</v>
      </c>
      <c r="AH41" s="5"/>
      <c r="AI41" s="5" t="e">
        <f>MODEL!#REF!</f>
        <v>#REF!</v>
      </c>
      <c r="AJ41" s="5" t="e">
        <f>MODEL!#REF!</f>
        <v>#REF!</v>
      </c>
      <c r="AK41" s="5"/>
      <c r="AL41" s="5" t="e">
        <f>MODEL!#REF!</f>
        <v>#REF!</v>
      </c>
      <c r="AM41" s="5"/>
      <c r="AN41" s="5"/>
      <c r="AO41" s="5" t="e">
        <f>MODEL!#REF!</f>
        <v>#REF!</v>
      </c>
      <c r="AP41" s="5">
        <f>MODEL!C6</f>
        <v>1295.5</v>
      </c>
      <c r="AQ41" s="5"/>
      <c r="AR41" s="5">
        <f>MODEL!E6</f>
        <v>2465.2628999999997</v>
      </c>
      <c r="AS41" s="5">
        <f>MODEL!F6</f>
        <v>1323.9424657534246</v>
      </c>
      <c r="AT41" s="5"/>
      <c r="AU41" s="5">
        <f>MODEL!H6</f>
        <v>2570.4</v>
      </c>
      <c r="AV41" s="5">
        <f>MODEL!I6</f>
        <v>1404.6</v>
      </c>
      <c r="AW41" s="5"/>
      <c r="AX41" s="5">
        <f>MODEL!K6</f>
        <v>2713.2</v>
      </c>
      <c r="AY41" s="5"/>
      <c r="AZ41" s="5"/>
      <c r="BA41" s="5">
        <f>MODEL!N6</f>
        <v>2825.3999999999996</v>
      </c>
      <c r="BB41" s="5"/>
      <c r="BC41" s="5"/>
      <c r="BD41" s="5">
        <f>MODEL!Q6</f>
        <v>3453.1</v>
      </c>
      <c r="BE41" s="5"/>
      <c r="BF41" s="5"/>
      <c r="BG41" s="5">
        <f>MODEL!T6</f>
        <v>3551</v>
      </c>
      <c r="BH41" s="5">
        <f>MODEL!W6</f>
        <v>3802.8</v>
      </c>
      <c r="BI41" s="5">
        <f>MODEL!Z6</f>
        <v>3882.8</v>
      </c>
      <c r="BJ41" s="5">
        <f>MODEL!AC6</f>
        <v>4074.9</v>
      </c>
      <c r="BK41" s="5">
        <f>MODEL!AF6</f>
        <v>4278.0572852721198</v>
      </c>
      <c r="BL41" s="5">
        <f>MODEL!AI6</f>
        <v>4496.2192293779117</v>
      </c>
      <c r="BM41" s="5">
        <f>MODEL!AL6</f>
        <v>4710.8392238962624</v>
      </c>
      <c r="BN41" s="5">
        <f>MODEL!AO6</f>
        <v>4921.5713660318479</v>
      </c>
      <c r="BO41" s="5">
        <f>MODEL!AR6</f>
        <v>5123.9095411398748</v>
      </c>
    </row>
    <row r="42" spans="1:67" s="4" customFormat="1">
      <c r="A42" s="4" t="s">
        <v>66</v>
      </c>
      <c r="B42" s="11"/>
      <c r="C42" s="11"/>
      <c r="D42" s="5" t="e">
        <f>MODEL!#REF!+MODEL!#REF!+MODEL!#REF!</f>
        <v>#REF!</v>
      </c>
      <c r="E42" s="5" t="e">
        <f>MODEL!#REF!+MODEL!#REF!+MODEL!#REF!</f>
        <v>#REF!</v>
      </c>
      <c r="F42" s="5" t="e">
        <f>MODEL!#REF!+MODEL!#REF!+MODEL!#REF!</f>
        <v>#REF!</v>
      </c>
      <c r="G42" s="5"/>
      <c r="H42" s="5" t="e">
        <f>MODEL!#REF!+MODEL!#REF!+MODEL!#REF!</f>
        <v>#REF!</v>
      </c>
      <c r="I42" s="5" t="e">
        <f>MODEL!#REF!+MODEL!#REF!+MODEL!#REF!</f>
        <v>#REF!</v>
      </c>
      <c r="J42" s="5"/>
      <c r="K42" s="5" t="e">
        <f>MODEL!#REF!+MODEL!#REF!+MODEL!#REF!</f>
        <v>#REF!</v>
      </c>
      <c r="L42" s="5" t="e">
        <f>MODEL!#REF!+MODEL!#REF!+MODEL!#REF!</f>
        <v>#REF!</v>
      </c>
      <c r="M42" s="5"/>
      <c r="N42" s="5" t="e">
        <f>MODEL!#REF!+MODEL!#REF!+MODEL!#REF!</f>
        <v>#REF!</v>
      </c>
      <c r="O42" s="5" t="e">
        <f>MODEL!#REF!+MODEL!#REF!+MODEL!#REF!</f>
        <v>#REF!</v>
      </c>
      <c r="P42" s="5"/>
      <c r="Q42" s="5" t="e">
        <f>MODEL!#REF!+MODEL!#REF!+MODEL!#REF!</f>
        <v>#REF!</v>
      </c>
      <c r="R42" s="5" t="e">
        <f>MODEL!#REF!+MODEL!#REF!+MODEL!#REF!</f>
        <v>#REF!</v>
      </c>
      <c r="S42" s="5" t="e">
        <f>T42-R42</f>
        <v>#REF!</v>
      </c>
      <c r="T42" s="5" t="e">
        <f>MODEL!#REF!+MODEL!#REF!+MODEL!#REF!</f>
        <v>#REF!</v>
      </c>
      <c r="U42" s="5" t="e">
        <f>MODEL!#REF!+MODEL!#REF!+MODEL!#REF!</f>
        <v>#REF!</v>
      </c>
      <c r="V42" s="5" t="e">
        <f>W42-U42</f>
        <v>#REF!</v>
      </c>
      <c r="W42" s="5" t="e">
        <f>MODEL!#REF!+MODEL!#REF!+MODEL!#REF!</f>
        <v>#REF!</v>
      </c>
      <c r="X42" s="5" t="e">
        <f>MODEL!#REF!+MODEL!#REF!+MODEL!#REF!</f>
        <v>#REF!</v>
      </c>
      <c r="Y42" s="5" t="e">
        <f>Z42-X42</f>
        <v>#REF!</v>
      </c>
      <c r="Z42" s="5" t="e">
        <f>MODEL!#REF!+MODEL!#REF!+MODEL!#REF!</f>
        <v>#REF!</v>
      </c>
      <c r="AA42" s="5" t="e">
        <f>MODEL!#REF!+MODEL!#REF!+MODEL!#REF!</f>
        <v>#REF!</v>
      </c>
      <c r="AB42" s="5" t="e">
        <f>AC42-AA42</f>
        <v>#REF!</v>
      </c>
      <c r="AC42" s="5" t="e">
        <f>MODEL!#REF!+MODEL!#REF!+MODEL!#REF!</f>
        <v>#REF!</v>
      </c>
      <c r="AD42" s="5" t="e">
        <f>MODEL!#REF!+MODEL!#REF!+MODEL!#REF!</f>
        <v>#REF!</v>
      </c>
      <c r="AE42" s="5" t="e">
        <f>AF42-AD42</f>
        <v>#REF!</v>
      </c>
      <c r="AF42" s="5" t="e">
        <f>MODEL!#REF!+MODEL!#REF!+MODEL!#REF!</f>
        <v>#REF!</v>
      </c>
      <c r="AG42" s="5" t="e">
        <f>MODEL!#REF!+MODEL!#REF!+MODEL!#REF!</f>
        <v>#REF!</v>
      </c>
      <c r="AH42" s="5"/>
      <c r="AI42" s="5" t="e">
        <f>MODEL!#REF!+MODEL!#REF!+MODEL!#REF!</f>
        <v>#REF!</v>
      </c>
      <c r="AJ42" s="5" t="e">
        <f>MODEL!#REF!+MODEL!#REF!+MODEL!#REF!</f>
        <v>#REF!</v>
      </c>
      <c r="AK42" s="5"/>
      <c r="AL42" s="5" t="e">
        <f>MODEL!#REF!+MODEL!#REF!+MODEL!#REF!</f>
        <v>#REF!</v>
      </c>
      <c r="AM42" s="5" t="e">
        <f>MODEL!#REF!+MODEL!#REF!+MODEL!#REF!</f>
        <v>#REF!</v>
      </c>
      <c r="AN42" s="5"/>
      <c r="AO42" s="5" t="e">
        <f>MODEL!#REF!+MODEL!#REF!+MODEL!#REF!</f>
        <v>#REF!</v>
      </c>
      <c r="AP42" s="5" t="e">
        <f>MODEL!C31+MODEL!C106+MODEL!#REF!</f>
        <v>#REF!</v>
      </c>
      <c r="AQ42" s="5"/>
      <c r="AR42" s="5" t="e">
        <f>MODEL!E31+MODEL!E106+MODEL!#REF!</f>
        <v>#REF!</v>
      </c>
      <c r="AS42" s="5" t="e">
        <f>MODEL!F31+MODEL!F106+MODEL!#REF!</f>
        <v>#REF!</v>
      </c>
      <c r="AT42" s="5"/>
      <c r="AU42" s="5" t="e">
        <f>MODEL!H31+MODEL!H106+MODEL!#REF!</f>
        <v>#REF!</v>
      </c>
      <c r="AV42" s="5" t="e">
        <f>MODEL!I31+MODEL!I106+MODEL!#REF!</f>
        <v>#REF!</v>
      </c>
      <c r="AW42" s="5"/>
      <c r="AX42" s="5" t="e">
        <f>MODEL!K31+MODEL!K106+MODEL!#REF!</f>
        <v>#REF!</v>
      </c>
      <c r="AY42" s="5"/>
      <c r="AZ42" s="5"/>
      <c r="BA42" s="5" t="e">
        <f>MODEL!N31+MODEL!N106+MODEL!#REF!</f>
        <v>#REF!</v>
      </c>
      <c r="BB42" s="5"/>
      <c r="BC42" s="5"/>
      <c r="BD42" s="5" t="e">
        <f>MODEL!Q31+MODEL!Q106+MODEL!#REF!</f>
        <v>#REF!</v>
      </c>
      <c r="BE42" s="5"/>
      <c r="BF42" s="5"/>
      <c r="BG42" s="5" t="e">
        <f>MODEL!T31+MODEL!T106+MODEL!#REF!</f>
        <v>#REF!</v>
      </c>
      <c r="BH42" s="5" t="e">
        <f>MODEL!W31+MODEL!W106+MODEL!#REF!</f>
        <v>#REF!</v>
      </c>
      <c r="BI42" s="5" t="e">
        <f>MODEL!Z31+MODEL!Z106+MODEL!#REF!</f>
        <v>#REF!</v>
      </c>
      <c r="BJ42" s="5" t="e">
        <f>MODEL!AC31+MODEL!AC106+MODEL!#REF!</f>
        <v>#REF!</v>
      </c>
      <c r="BK42" s="5" t="e">
        <f>MODEL!AF31+MODEL!AF106+MODEL!#REF!</f>
        <v>#REF!</v>
      </c>
      <c r="BL42" s="5" t="e">
        <f>MODEL!AI31+MODEL!AI106+MODEL!#REF!</f>
        <v>#REF!</v>
      </c>
      <c r="BM42" s="5" t="e">
        <f>MODEL!AL31+MODEL!AL106+MODEL!#REF!</f>
        <v>#REF!</v>
      </c>
      <c r="BN42" s="5" t="e">
        <f>MODEL!AO31+MODEL!AO106+MODEL!#REF!</f>
        <v>#REF!</v>
      </c>
      <c r="BO42" s="5" t="e">
        <f>MODEL!AR31+MODEL!AR106+MODEL!#REF!</f>
        <v>#REF!</v>
      </c>
    </row>
    <row r="43" spans="1:67" s="4" customFormat="1">
      <c r="A43" s="4" t="s">
        <v>126</v>
      </c>
      <c r="B43" s="11"/>
      <c r="C43" s="11"/>
      <c r="D43" s="5" t="e">
        <f>MODEL!#REF!+MODEL!#REF!</f>
        <v>#REF!</v>
      </c>
      <c r="E43" s="5" t="e">
        <f>MODEL!#REF!+MODEL!#REF!</f>
        <v>#REF!</v>
      </c>
      <c r="F43" s="5" t="e">
        <f>MODEL!#REF!+MODEL!#REF!</f>
        <v>#REF!</v>
      </c>
      <c r="G43" s="5"/>
      <c r="H43" s="5" t="e">
        <f>MODEL!#REF!+MODEL!#REF!</f>
        <v>#REF!</v>
      </c>
      <c r="I43" s="5" t="e">
        <f>MODEL!#REF!+MODEL!#REF!</f>
        <v>#REF!</v>
      </c>
      <c r="J43" s="5"/>
      <c r="K43" s="5" t="e">
        <f>MODEL!#REF!+MODEL!#REF!</f>
        <v>#REF!</v>
      </c>
      <c r="L43" s="5" t="e">
        <f>MODEL!#REF!+MODEL!#REF!</f>
        <v>#REF!</v>
      </c>
      <c r="M43" s="5"/>
      <c r="N43" s="5" t="e">
        <f>MODEL!#REF!+MODEL!#REF!</f>
        <v>#REF!</v>
      </c>
      <c r="O43" s="5" t="e">
        <f>MODEL!#REF!+MODEL!#REF!</f>
        <v>#REF!</v>
      </c>
      <c r="P43" s="5"/>
      <c r="Q43" s="5" t="e">
        <f>MODEL!#REF!+MODEL!#REF!</f>
        <v>#REF!</v>
      </c>
      <c r="R43" s="5" t="e">
        <f>MODEL!#REF!+MODEL!#REF!</f>
        <v>#REF!</v>
      </c>
      <c r="S43" s="5" t="e">
        <f>T43-R43</f>
        <v>#REF!</v>
      </c>
      <c r="T43" s="5" t="e">
        <f>MODEL!#REF!+MODEL!#REF!</f>
        <v>#REF!</v>
      </c>
      <c r="U43" s="5" t="e">
        <f>MODEL!#REF!+MODEL!#REF!</f>
        <v>#REF!</v>
      </c>
      <c r="V43" s="5" t="e">
        <f>W43-U43</f>
        <v>#REF!</v>
      </c>
      <c r="W43" s="5" t="e">
        <f>MODEL!#REF!+MODEL!#REF!</f>
        <v>#REF!</v>
      </c>
      <c r="X43" s="5" t="e">
        <f>MODEL!#REF!+MODEL!#REF!</f>
        <v>#REF!</v>
      </c>
      <c r="Y43" s="5" t="e">
        <f>Z43-X43</f>
        <v>#REF!</v>
      </c>
      <c r="Z43" s="5" t="e">
        <f>MODEL!#REF!+MODEL!#REF!</f>
        <v>#REF!</v>
      </c>
      <c r="AA43" s="5" t="e">
        <f>MODEL!#REF!+MODEL!#REF!</f>
        <v>#REF!</v>
      </c>
      <c r="AB43" s="5" t="e">
        <f>AC43-AA43</f>
        <v>#REF!</v>
      </c>
      <c r="AC43" s="5" t="e">
        <f>MODEL!#REF!+MODEL!#REF!</f>
        <v>#REF!</v>
      </c>
      <c r="AD43" s="5" t="e">
        <f>MODEL!#REF!+MODEL!#REF!</f>
        <v>#REF!</v>
      </c>
      <c r="AE43" s="5" t="e">
        <f>AF43-AD43</f>
        <v>#REF!</v>
      </c>
      <c r="AF43" s="5" t="e">
        <f>MODEL!#REF!+MODEL!#REF!</f>
        <v>#REF!</v>
      </c>
      <c r="AG43" s="5" t="e">
        <f>MODEL!#REF!+MODEL!#REF!</f>
        <v>#REF!</v>
      </c>
      <c r="AH43" s="5"/>
      <c r="AI43" s="5" t="e">
        <f>MODEL!#REF!+MODEL!#REF!</f>
        <v>#REF!</v>
      </c>
      <c r="AJ43" s="5" t="e">
        <f>MODEL!#REF!+MODEL!#REF!</f>
        <v>#REF!</v>
      </c>
      <c r="AK43" s="5"/>
      <c r="AL43" s="5" t="e">
        <f>MODEL!#REF!+MODEL!#REF!</f>
        <v>#REF!</v>
      </c>
      <c r="AM43" s="5" t="e">
        <f>MODEL!#REF!+MODEL!#REF!</f>
        <v>#REF!</v>
      </c>
      <c r="AN43" s="5"/>
      <c r="AO43" s="5" t="e">
        <f>MODEL!#REF!+MODEL!#REF!</f>
        <v>#REF!</v>
      </c>
      <c r="AP43" s="5" t="e">
        <f>MODEL!C106+MODEL!#REF!</f>
        <v>#REF!</v>
      </c>
      <c r="AQ43" s="5"/>
      <c r="AR43" s="5" t="e">
        <f>MODEL!E106+MODEL!#REF!</f>
        <v>#REF!</v>
      </c>
      <c r="AS43" s="5" t="e">
        <f>MODEL!F106+MODEL!#REF!</f>
        <v>#REF!</v>
      </c>
      <c r="AT43" s="5"/>
      <c r="AU43" s="5" t="e">
        <f>MODEL!H106+MODEL!#REF!</f>
        <v>#REF!</v>
      </c>
      <c r="AV43" s="5" t="e">
        <f>MODEL!I106+MODEL!#REF!</f>
        <v>#REF!</v>
      </c>
      <c r="AW43" s="5"/>
      <c r="AX43" s="5" t="e">
        <f>MODEL!K106+MODEL!#REF!</f>
        <v>#REF!</v>
      </c>
      <c r="AY43" s="5"/>
      <c r="AZ43" s="5"/>
      <c r="BA43" s="5" t="e">
        <f>MODEL!N106+MODEL!#REF!</f>
        <v>#REF!</v>
      </c>
      <c r="BB43" s="5"/>
      <c r="BC43" s="5"/>
      <c r="BD43" s="5" t="e">
        <f>MODEL!Q106+MODEL!#REF!</f>
        <v>#REF!</v>
      </c>
      <c r="BE43" s="5"/>
      <c r="BF43" s="5"/>
      <c r="BG43" s="5" t="e">
        <f>MODEL!T106+MODEL!#REF!</f>
        <v>#REF!</v>
      </c>
      <c r="BH43" s="5" t="e">
        <f>MODEL!W106+MODEL!#REF!</f>
        <v>#REF!</v>
      </c>
      <c r="BI43" s="5" t="e">
        <f>MODEL!Z106+MODEL!#REF!</f>
        <v>#REF!</v>
      </c>
      <c r="BJ43" s="5" t="e">
        <f>MODEL!AC106+MODEL!#REF!</f>
        <v>#REF!</v>
      </c>
      <c r="BK43" s="5" t="e">
        <f>MODEL!AF106+MODEL!#REF!</f>
        <v>#REF!</v>
      </c>
      <c r="BL43" s="5" t="e">
        <f>MODEL!AI106+MODEL!#REF!</f>
        <v>#REF!</v>
      </c>
      <c r="BM43" s="5" t="e">
        <f>MODEL!AL106+MODEL!#REF!</f>
        <v>#REF!</v>
      </c>
      <c r="BN43" s="5" t="e">
        <f>MODEL!AO106+MODEL!#REF!</f>
        <v>#REF!</v>
      </c>
      <c r="BO43" s="5" t="e">
        <f>MODEL!AR106+MODEL!#REF!</f>
        <v>#REF!</v>
      </c>
    </row>
    <row r="44" spans="1:67" s="4" customFormat="1">
      <c r="A44" s="4" t="s">
        <v>141</v>
      </c>
      <c r="B44" s="11"/>
      <c r="C44" s="11"/>
      <c r="D44" s="5" t="e">
        <f>MODEL!#REF!</f>
        <v>#REF!</v>
      </c>
      <c r="E44" s="5" t="e">
        <f>MODEL!#REF!</f>
        <v>#REF!</v>
      </c>
      <c r="F44" s="5" t="e">
        <f>MODEL!#REF!</f>
        <v>#REF!</v>
      </c>
      <c r="G44" s="5"/>
      <c r="H44" s="5" t="e">
        <f>MODEL!#REF!</f>
        <v>#REF!</v>
      </c>
      <c r="I44" s="5" t="e">
        <f>MODEL!#REF!</f>
        <v>#REF!</v>
      </c>
      <c r="J44" s="5"/>
      <c r="K44" s="5" t="e">
        <f>MODEL!#REF!</f>
        <v>#REF!</v>
      </c>
      <c r="L44" s="5" t="e">
        <f>MODEL!#REF!</f>
        <v>#REF!</v>
      </c>
      <c r="M44" s="5"/>
      <c r="N44" s="5" t="e">
        <f>MODEL!#REF!</f>
        <v>#REF!</v>
      </c>
      <c r="O44" s="5" t="e">
        <f>MODEL!#REF!</f>
        <v>#REF!</v>
      </c>
      <c r="P44" s="5"/>
      <c r="Q44" s="5" t="e">
        <f>MODEL!#REF!</f>
        <v>#REF!</v>
      </c>
      <c r="R44" s="5" t="e">
        <f>MODEL!#REF!</f>
        <v>#REF!</v>
      </c>
      <c r="S44" s="5"/>
      <c r="T44" s="5" t="e">
        <f>MODEL!#REF!</f>
        <v>#REF!</v>
      </c>
      <c r="U44" s="5" t="e">
        <f>MODEL!#REF!</f>
        <v>#REF!</v>
      </c>
      <c r="V44" s="5"/>
      <c r="W44" s="5" t="e">
        <f>MODEL!#REF!</f>
        <v>#REF!</v>
      </c>
      <c r="X44" s="5" t="e">
        <f>MODEL!#REF!</f>
        <v>#REF!</v>
      </c>
      <c r="Y44" s="5"/>
      <c r="Z44" s="5" t="e">
        <f>MODEL!#REF!</f>
        <v>#REF!</v>
      </c>
      <c r="AA44" s="5" t="e">
        <f>MODEL!#REF!</f>
        <v>#REF!</v>
      </c>
      <c r="AB44" s="5"/>
      <c r="AC44" s="5" t="e">
        <f>MODEL!#REF!</f>
        <v>#REF!</v>
      </c>
      <c r="AD44" s="5" t="e">
        <f>MODEL!#REF!</f>
        <v>#REF!</v>
      </c>
      <c r="AE44" s="5"/>
      <c r="AF44" s="5" t="e">
        <f>MODEL!#REF!</f>
        <v>#REF!</v>
      </c>
      <c r="AG44" s="5" t="e">
        <f>MODEL!#REF!</f>
        <v>#REF!</v>
      </c>
      <c r="AH44" s="5"/>
      <c r="AI44" s="5" t="e">
        <f>MODEL!#REF!</f>
        <v>#REF!</v>
      </c>
      <c r="AJ44" s="5" t="e">
        <f>MODEL!#REF!</f>
        <v>#REF!</v>
      </c>
      <c r="AK44" s="5"/>
      <c r="AL44" s="5" t="e">
        <f>MODEL!#REF!</f>
        <v>#REF!</v>
      </c>
      <c r="AM44" s="5"/>
      <c r="AN44" s="5"/>
      <c r="AO44" s="5" t="e">
        <f>MODEL!#REF!</f>
        <v>#REF!</v>
      </c>
      <c r="AP44" s="5">
        <f>MODEL!C37</f>
        <v>-9.1</v>
      </c>
      <c r="AQ44" s="5"/>
      <c r="AR44" s="5">
        <f>MODEL!E37</f>
        <v>-16.8</v>
      </c>
      <c r="AS44" s="5">
        <f>MODEL!F37</f>
        <v>-8.4</v>
      </c>
      <c r="AT44" s="5"/>
      <c r="AU44" s="5">
        <f>MODEL!H37</f>
        <v>-17.7</v>
      </c>
      <c r="AV44" s="5">
        <f>MODEL!I37</f>
        <v>-11</v>
      </c>
      <c r="AW44" s="5"/>
      <c r="AX44" s="5">
        <f>MODEL!K37</f>
        <v>-21.3</v>
      </c>
      <c r="AY44" s="5"/>
      <c r="AZ44" s="5"/>
      <c r="BA44" s="5">
        <f>MODEL!N37</f>
        <v>-55.1</v>
      </c>
      <c r="BB44" s="5"/>
      <c r="BC44" s="5"/>
      <c r="BD44" s="5">
        <f>MODEL!Q37</f>
        <v>-41</v>
      </c>
      <c r="BE44" s="5"/>
      <c r="BF44" s="5"/>
      <c r="BG44" s="5">
        <f>MODEL!T37</f>
        <v>-47</v>
      </c>
      <c r="BH44" s="5">
        <f>MODEL!W37</f>
        <v>-43.2</v>
      </c>
      <c r="BI44" s="5">
        <f>MODEL!Z37</f>
        <v>-49.599999999999994</v>
      </c>
      <c r="BJ44" s="5">
        <f>MODEL!AC37</f>
        <v>-67</v>
      </c>
      <c r="BK44" s="5">
        <f>MODEL!AF37</f>
        <v>-68.480500000000006</v>
      </c>
      <c r="BL44" s="5">
        <f>MODEL!AI37</f>
        <v>-66.482262093117669</v>
      </c>
      <c r="BM44" s="5">
        <f>MODEL!AL37</f>
        <v>-65.701288181117832</v>
      </c>
      <c r="BN44" s="5">
        <f>MODEL!AO37</f>
        <v>-63.160586682348828</v>
      </c>
      <c r="BO44" s="5">
        <f>MODEL!AR37</f>
        <v>-62.807870064625241</v>
      </c>
    </row>
    <row r="45" spans="1:67" s="4" customFormat="1">
      <c r="A45" s="4" t="s">
        <v>127</v>
      </c>
      <c r="B45" s="11"/>
      <c r="C45" s="11"/>
      <c r="D45" s="5" t="e">
        <f>MODEL!#REF!</f>
        <v>#REF!</v>
      </c>
      <c r="E45" s="5" t="e">
        <f>MODEL!#REF!</f>
        <v>#REF!</v>
      </c>
      <c r="F45" s="5" t="e">
        <f>MODEL!#REF!</f>
        <v>#REF!</v>
      </c>
      <c r="G45" s="5"/>
      <c r="H45" s="5" t="e">
        <f>MODEL!#REF!</f>
        <v>#REF!</v>
      </c>
      <c r="I45" s="5" t="e">
        <f>MODEL!#REF!</f>
        <v>#REF!</v>
      </c>
      <c r="J45" s="5"/>
      <c r="K45" s="5" t="e">
        <f>MODEL!#REF!</f>
        <v>#REF!</v>
      </c>
      <c r="L45" s="5" t="e">
        <f>MODEL!#REF!</f>
        <v>#REF!</v>
      </c>
      <c r="M45" s="5"/>
      <c r="N45" s="5" t="e">
        <f>MODEL!#REF!</f>
        <v>#REF!</v>
      </c>
      <c r="O45" s="5" t="e">
        <f>MODEL!#REF!</f>
        <v>#REF!</v>
      </c>
      <c r="P45" s="5"/>
      <c r="Q45" s="5" t="e">
        <f>MODEL!#REF!</f>
        <v>#REF!</v>
      </c>
      <c r="R45" s="5" t="e">
        <f>MODEL!#REF!</f>
        <v>#REF!</v>
      </c>
      <c r="S45" s="5"/>
      <c r="T45" s="5" t="e">
        <f>MODEL!#REF!</f>
        <v>#REF!</v>
      </c>
      <c r="U45" s="5" t="e">
        <f>MODEL!#REF!</f>
        <v>#REF!</v>
      </c>
      <c r="V45" s="5"/>
      <c r="W45" s="5" t="e">
        <f>MODEL!#REF!</f>
        <v>#REF!</v>
      </c>
      <c r="X45" s="5" t="e">
        <f>MODEL!#REF!</f>
        <v>#REF!</v>
      </c>
      <c r="Y45" s="5"/>
      <c r="Z45" s="5" t="e">
        <f>MODEL!#REF!</f>
        <v>#REF!</v>
      </c>
      <c r="AA45" s="5" t="e">
        <f>MODEL!#REF!</f>
        <v>#REF!</v>
      </c>
      <c r="AB45" s="5"/>
      <c r="AC45" s="5" t="e">
        <f>MODEL!#REF!</f>
        <v>#REF!</v>
      </c>
      <c r="AD45" s="5" t="e">
        <f>MODEL!#REF!</f>
        <v>#REF!</v>
      </c>
      <c r="AE45" s="5"/>
      <c r="AF45" s="5" t="e">
        <f>MODEL!#REF!</f>
        <v>#REF!</v>
      </c>
      <c r="AG45" s="5" t="e">
        <f>MODEL!#REF!</f>
        <v>#REF!</v>
      </c>
      <c r="AH45" s="5"/>
      <c r="AI45" s="5" t="e">
        <f>MODEL!#REF!</f>
        <v>#REF!</v>
      </c>
      <c r="AJ45" s="5" t="e">
        <f>MODEL!#REF!</f>
        <v>#REF!</v>
      </c>
      <c r="AK45" s="5"/>
      <c r="AL45" s="5" t="e">
        <f>MODEL!#REF!</f>
        <v>#REF!</v>
      </c>
      <c r="AM45" s="5"/>
      <c r="AN45" s="5"/>
      <c r="AO45" s="5" t="e">
        <f>MODEL!#REF!</f>
        <v>#REF!</v>
      </c>
      <c r="AP45" s="5">
        <f>MODEL!C41</f>
        <v>-32.899999999999991</v>
      </c>
      <c r="AQ45" s="5"/>
      <c r="AR45" s="5">
        <f>MODEL!E41</f>
        <v>-57.30000000000004</v>
      </c>
      <c r="AS45" s="5">
        <f>MODEL!F41</f>
        <v>-31.700000000000003</v>
      </c>
      <c r="AT45" s="5"/>
      <c r="AU45" s="5">
        <f>MODEL!H41</f>
        <v>-58.599999999999994</v>
      </c>
      <c r="AV45" s="5">
        <f>MODEL!I41</f>
        <v>-31.799999999999997</v>
      </c>
      <c r="AW45" s="5"/>
      <c r="AX45" s="5">
        <f>MODEL!K41</f>
        <v>-51.599999999999994</v>
      </c>
      <c r="AY45" s="5"/>
      <c r="AZ45" s="5"/>
      <c r="BA45" s="5">
        <f>MODEL!N41</f>
        <v>-61.700000000000017</v>
      </c>
      <c r="BB45" s="5"/>
      <c r="BC45" s="5"/>
      <c r="BD45" s="5">
        <f>MODEL!Q41</f>
        <v>-129</v>
      </c>
      <c r="BE45" s="5"/>
      <c r="BF45" s="5"/>
      <c r="BG45" s="5">
        <f>MODEL!T41</f>
        <v>-105.50000000000003</v>
      </c>
      <c r="BH45" s="5">
        <f>MODEL!W41</f>
        <v>-117.1</v>
      </c>
      <c r="BI45" s="5">
        <f>MODEL!Z41</f>
        <v>-100.5</v>
      </c>
      <c r="BJ45" s="5">
        <f>MODEL!AC41</f>
        <v>-97</v>
      </c>
      <c r="BK45" s="5">
        <f>MODEL!AF41</f>
        <v>-97.942260450810366</v>
      </c>
      <c r="BL45" s="5">
        <f>MODEL!AI41</f>
        <v>-115.00004212641215</v>
      </c>
      <c r="BM45" s="5">
        <f>MODEL!AL41</f>
        <v>-123.84153437150746</v>
      </c>
      <c r="BN45" s="5">
        <f>MODEL!AO41</f>
        <v>-131.88956641606674</v>
      </c>
      <c r="BO45" s="5">
        <f>MODEL!AR41</f>
        <v>-138.75652563606539</v>
      </c>
    </row>
    <row r="46" spans="1:67" s="4" customFormat="1">
      <c r="A46" s="4" t="s">
        <v>128</v>
      </c>
      <c r="B46" s="11"/>
      <c r="C46" s="11"/>
      <c r="D46" s="5" t="e">
        <f>MODEL!#REF!</f>
        <v>#REF!</v>
      </c>
      <c r="E46" s="5" t="e">
        <f>MODEL!#REF!</f>
        <v>#REF!</v>
      </c>
      <c r="F46" s="5" t="e">
        <f>MODEL!#REF!</f>
        <v>#REF!</v>
      </c>
      <c r="G46" s="5"/>
      <c r="H46" s="5" t="e">
        <f>MODEL!#REF!</f>
        <v>#REF!</v>
      </c>
      <c r="I46" s="5" t="e">
        <f>MODEL!#REF!</f>
        <v>#REF!</v>
      </c>
      <c r="J46" s="5"/>
      <c r="K46" s="5" t="e">
        <f>MODEL!#REF!</f>
        <v>#REF!</v>
      </c>
      <c r="L46" s="5" t="e">
        <f>MODEL!#REF!</f>
        <v>#REF!</v>
      </c>
      <c r="M46" s="5"/>
      <c r="N46" s="5" t="e">
        <f>MODEL!#REF!</f>
        <v>#REF!</v>
      </c>
      <c r="O46" s="5" t="e">
        <f>MODEL!#REF!</f>
        <v>#REF!</v>
      </c>
      <c r="P46" s="5"/>
      <c r="Q46" s="5" t="e">
        <f>MODEL!#REF!</f>
        <v>#REF!</v>
      </c>
      <c r="R46" s="5" t="e">
        <f>MODEL!#REF!</f>
        <v>#REF!</v>
      </c>
      <c r="S46" s="5"/>
      <c r="T46" s="5" t="e">
        <f>MODEL!#REF!</f>
        <v>#REF!</v>
      </c>
      <c r="U46" s="5" t="e">
        <f>MODEL!#REF!</f>
        <v>#REF!</v>
      </c>
      <c r="V46" s="5"/>
      <c r="W46" s="5" t="e">
        <f>MODEL!#REF!</f>
        <v>#REF!</v>
      </c>
      <c r="X46" s="5" t="e">
        <f>MODEL!#REF!</f>
        <v>#REF!</v>
      </c>
      <c r="Y46" s="5"/>
      <c r="Z46" s="5" t="e">
        <f>MODEL!#REF!</f>
        <v>#REF!</v>
      </c>
      <c r="AA46" s="5" t="e">
        <f>MODEL!#REF!</f>
        <v>#REF!</v>
      </c>
      <c r="AB46" s="5"/>
      <c r="AC46" s="5" t="e">
        <f>MODEL!#REF!</f>
        <v>#REF!</v>
      </c>
      <c r="AD46" s="5" t="e">
        <f>MODEL!#REF!</f>
        <v>#REF!</v>
      </c>
      <c r="AE46" s="5"/>
      <c r="AF46" s="5" t="e">
        <f>MODEL!#REF!</f>
        <v>#REF!</v>
      </c>
      <c r="AG46" s="5" t="e">
        <f>MODEL!#REF!</f>
        <v>#REF!</v>
      </c>
      <c r="AH46" s="5"/>
      <c r="AI46" s="5" t="e">
        <f>MODEL!#REF!</f>
        <v>#REF!</v>
      </c>
      <c r="AJ46" s="5" t="e">
        <f>MODEL!#REF!</f>
        <v>#REF!</v>
      </c>
      <c r="AK46" s="5"/>
      <c r="AL46" s="5" t="e">
        <f>MODEL!#REF!</f>
        <v>#REF!</v>
      </c>
      <c r="AM46" s="5" t="e">
        <f>MODEL!#REF!</f>
        <v>#REF!</v>
      </c>
      <c r="AN46" s="5"/>
      <c r="AO46" s="5" t="e">
        <f>MODEL!#REF!</f>
        <v>#REF!</v>
      </c>
      <c r="AP46" s="5">
        <f>MODEL!C132</f>
        <v>242.89999999999995</v>
      </c>
      <c r="AQ46" s="5"/>
      <c r="AR46" s="5">
        <f>MODEL!E132</f>
        <v>380.70000000000005</v>
      </c>
      <c r="AS46" s="5">
        <f>MODEL!F132</f>
        <v>199.2</v>
      </c>
      <c r="AT46" s="5"/>
      <c r="AU46" s="5">
        <f>MODEL!H132</f>
        <v>422.90000000000003</v>
      </c>
      <c r="AV46" s="5">
        <f>MODEL!I132</f>
        <v>294</v>
      </c>
      <c r="AW46" s="5"/>
      <c r="AX46" s="5">
        <f>MODEL!K132</f>
        <v>386.7</v>
      </c>
      <c r="AY46" s="5"/>
      <c r="AZ46" s="5"/>
      <c r="BA46" s="5">
        <f>MODEL!N132</f>
        <v>902</v>
      </c>
      <c r="BB46" s="5"/>
      <c r="BC46" s="5"/>
      <c r="BD46" s="5">
        <f>MODEL!Q132</f>
        <v>747.30000000000018</v>
      </c>
      <c r="BE46" s="5"/>
      <c r="BF46" s="5"/>
      <c r="BG46" s="5">
        <f>MODEL!T132</f>
        <v>997.30000000000018</v>
      </c>
      <c r="BH46" s="5">
        <f>MODEL!W132</f>
        <v>842.70000000000027</v>
      </c>
      <c r="BI46" s="5">
        <f>MODEL!Z132</f>
        <v>885.60000000000036</v>
      </c>
      <c r="BJ46" s="5">
        <f>MODEL!AC132</f>
        <v>1172.5000000000002</v>
      </c>
      <c r="BK46" s="5">
        <f>MODEL!AF132</f>
        <v>1181.9529464852315</v>
      </c>
      <c r="BL46" s="5">
        <f>MODEL!AI132</f>
        <v>1139.6223782876455</v>
      </c>
      <c r="BM46" s="5">
        <f>MODEL!AL132</f>
        <v>1115.1902083060302</v>
      </c>
      <c r="BN46" s="5">
        <f>MODEL!AO132</f>
        <v>1082.9981181592082</v>
      </c>
      <c r="BO46" s="5">
        <f>MODEL!AR132</f>
        <v>1044.8241757447388</v>
      </c>
    </row>
    <row r="47" spans="1:67" s="4" customFormat="1">
      <c r="A47" s="4" t="s">
        <v>43</v>
      </c>
      <c r="B47" s="3"/>
      <c r="C47" s="3"/>
      <c r="D47" s="3"/>
      <c r="E47" s="6" t="e">
        <f>E46/E42</f>
        <v>#REF!</v>
      </c>
      <c r="F47" s="3"/>
      <c r="G47" s="3"/>
      <c r="H47" s="6" t="e">
        <f>H46/H42</f>
        <v>#REF!</v>
      </c>
      <c r="I47" s="3"/>
      <c r="J47" s="3"/>
      <c r="K47" s="6" t="e">
        <f>K46/K42</f>
        <v>#REF!</v>
      </c>
      <c r="L47" s="3"/>
      <c r="M47" s="3"/>
      <c r="N47" s="6" t="e">
        <f>N46/N42</f>
        <v>#REF!</v>
      </c>
      <c r="O47" s="3"/>
      <c r="P47" s="3"/>
      <c r="Q47" s="6" t="e">
        <f>Q46/Q42</f>
        <v>#REF!</v>
      </c>
      <c r="R47" s="3"/>
      <c r="S47" s="3"/>
      <c r="T47" s="6" t="e">
        <f>T46/T42</f>
        <v>#REF!</v>
      </c>
      <c r="U47" s="3"/>
      <c r="V47" s="3"/>
      <c r="W47" s="6" t="e">
        <f>W46/W42</f>
        <v>#REF!</v>
      </c>
      <c r="X47" s="6"/>
      <c r="Y47" s="6"/>
      <c r="Z47" s="6" t="e">
        <f>Z46/Z42</f>
        <v>#REF!</v>
      </c>
      <c r="AA47" s="6" t="e">
        <f>AA46/AA42</f>
        <v>#REF!</v>
      </c>
      <c r="AB47" s="6"/>
      <c r="AC47" s="6" t="e">
        <f>AC46/AC42</f>
        <v>#REF!</v>
      </c>
      <c r="AD47" s="6" t="e">
        <f>AD46/AD42</f>
        <v>#REF!</v>
      </c>
      <c r="AE47" s="6"/>
      <c r="AF47" s="6" t="e">
        <f>AF46/AF42</f>
        <v>#REF!</v>
      </c>
      <c r="AG47" s="6" t="e">
        <f>AG46/AG42</f>
        <v>#REF!</v>
      </c>
      <c r="AH47" s="6"/>
      <c r="AI47" s="6" t="e">
        <f>AI46/AI42</f>
        <v>#REF!</v>
      </c>
      <c r="AJ47" s="6" t="e">
        <f>AJ46/AJ42</f>
        <v>#REF!</v>
      </c>
      <c r="AK47" s="6"/>
      <c r="AL47" s="6" t="e">
        <f>AL46/AL42</f>
        <v>#REF!</v>
      </c>
      <c r="AM47" s="6"/>
      <c r="AN47" s="6"/>
      <c r="AO47" s="6" t="e">
        <f>AO46/AO42</f>
        <v>#REF!</v>
      </c>
      <c r="AP47" s="6" t="e">
        <f>AP46/AP42</f>
        <v>#REF!</v>
      </c>
      <c r="AQ47" s="6"/>
      <c r="AR47" s="6" t="e">
        <f>AR46/AR42</f>
        <v>#REF!</v>
      </c>
      <c r="AS47" s="6" t="e">
        <f>AS46/AS42</f>
        <v>#REF!</v>
      </c>
      <c r="AT47" s="6"/>
      <c r="AU47" s="6" t="e">
        <f>AU46/AU42</f>
        <v>#REF!</v>
      </c>
      <c r="AV47" s="6" t="e">
        <f>AV46/AV42</f>
        <v>#REF!</v>
      </c>
      <c r="AW47" s="6"/>
      <c r="AX47" s="6" t="e">
        <f>AX46/AX42</f>
        <v>#REF!</v>
      </c>
      <c r="AY47" s="6"/>
      <c r="AZ47" s="6"/>
      <c r="BA47" s="6" t="e">
        <f>BA46/BA42</f>
        <v>#REF!</v>
      </c>
      <c r="BB47" s="6"/>
      <c r="BC47" s="6"/>
      <c r="BD47" s="6" t="e">
        <f t="shared" ref="BD47:BM47" si="1">BD46/BD42</f>
        <v>#REF!</v>
      </c>
      <c r="BE47" s="6"/>
      <c r="BF47" s="6"/>
      <c r="BG47" s="6" t="e">
        <f t="shared" si="1"/>
        <v>#REF!</v>
      </c>
      <c r="BH47" s="6" t="e">
        <f t="shared" si="1"/>
        <v>#REF!</v>
      </c>
      <c r="BI47" s="6" t="e">
        <f t="shared" si="1"/>
        <v>#REF!</v>
      </c>
      <c r="BJ47" s="6" t="e">
        <f t="shared" si="1"/>
        <v>#REF!</v>
      </c>
      <c r="BK47" s="6" t="e">
        <f t="shared" si="1"/>
        <v>#REF!</v>
      </c>
      <c r="BL47" s="6" t="e">
        <f t="shared" si="1"/>
        <v>#REF!</v>
      </c>
      <c r="BM47" s="6" t="e">
        <f t="shared" si="1"/>
        <v>#REF!</v>
      </c>
      <c r="BN47" s="6" t="e">
        <f>BN46/BN42</f>
        <v>#REF!</v>
      </c>
      <c r="BO47" s="6" t="e">
        <f>BO46/BO42</f>
        <v>#REF!</v>
      </c>
    </row>
    <row r="48" spans="1:67" s="4" customFormat="1">
      <c r="A48" s="4" t="s">
        <v>54</v>
      </c>
      <c r="B48" s="11"/>
      <c r="C48" s="11"/>
      <c r="D48" s="11"/>
      <c r="E48" s="5" t="e">
        <f>MODEL!#REF!</f>
        <v>#REF!</v>
      </c>
      <c r="F48" s="3" t="e">
        <f>MODEL!#REF!</f>
        <v>#REF!</v>
      </c>
      <c r="G48" s="5"/>
      <c r="H48" s="5" t="e">
        <f>MODEL!#REF!</f>
        <v>#REF!</v>
      </c>
      <c r="I48" s="5" t="e">
        <f>MODEL!#REF!</f>
        <v>#REF!</v>
      </c>
      <c r="J48" s="5"/>
      <c r="K48" s="5" t="e">
        <f>MODEL!#REF!</f>
        <v>#REF!</v>
      </c>
      <c r="L48" s="5" t="e">
        <f>MODEL!#REF!</f>
        <v>#REF!</v>
      </c>
      <c r="M48" s="5"/>
      <c r="N48" s="5" t="e">
        <f>MODEL!#REF!</f>
        <v>#REF!</v>
      </c>
      <c r="O48" s="5" t="e">
        <f>MODEL!#REF!</f>
        <v>#REF!</v>
      </c>
      <c r="P48" s="5"/>
      <c r="Q48" s="5" t="e">
        <f>MODEL!#REF!</f>
        <v>#REF!</v>
      </c>
      <c r="R48" s="5" t="e">
        <f>MODEL!#REF!</f>
        <v>#REF!</v>
      </c>
      <c r="S48" s="5"/>
      <c r="T48" s="5" t="e">
        <f>MODEL!#REF!</f>
        <v>#REF!</v>
      </c>
      <c r="U48" s="5" t="e">
        <f>MODEL!#REF!</f>
        <v>#REF!</v>
      </c>
      <c r="V48" s="5"/>
      <c r="W48" s="5" t="e">
        <f>MODEL!#REF!</f>
        <v>#REF!</v>
      </c>
      <c r="X48" s="5" t="e">
        <f>MODEL!#REF!</f>
        <v>#REF!</v>
      </c>
      <c r="Y48" s="5"/>
      <c r="Z48" s="5" t="e">
        <f>MODEL!#REF!</f>
        <v>#REF!</v>
      </c>
      <c r="AA48" s="5" t="e">
        <f>MODEL!#REF!</f>
        <v>#REF!</v>
      </c>
      <c r="AB48" s="5"/>
      <c r="AC48" s="5" t="e">
        <f>MODEL!#REF!</f>
        <v>#REF!</v>
      </c>
      <c r="AD48" s="5" t="e">
        <f>MODEL!#REF!</f>
        <v>#REF!</v>
      </c>
      <c r="AE48" s="5"/>
      <c r="AF48" s="5" t="e">
        <f>MODEL!#REF!</f>
        <v>#REF!</v>
      </c>
      <c r="AG48" s="5" t="e">
        <f>MODEL!#REF!</f>
        <v>#REF!</v>
      </c>
      <c r="AH48" s="5"/>
      <c r="AI48" s="5" t="e">
        <f>MODEL!#REF!</f>
        <v>#REF!</v>
      </c>
      <c r="AJ48" s="5" t="e">
        <f>MODEL!#REF!</f>
        <v>#REF!</v>
      </c>
      <c r="AK48" s="5"/>
      <c r="AL48" s="5" t="e">
        <f>MODEL!#REF!</f>
        <v>#REF!</v>
      </c>
      <c r="AM48" s="5" t="e">
        <f>MODEL!#REF!</f>
        <v>#REF!</v>
      </c>
      <c r="AN48" s="5"/>
      <c r="AO48" s="5" t="e">
        <f>MODEL!#REF!</f>
        <v>#REF!</v>
      </c>
      <c r="AP48" s="5">
        <f>MODEL!C189</f>
        <v>772.49999999999989</v>
      </c>
      <c r="AQ48" s="5"/>
      <c r="AR48" s="5">
        <f>MODEL!E189</f>
        <v>754.6</v>
      </c>
      <c r="AS48" s="5">
        <f>MODEL!F189</f>
        <v>776.5</v>
      </c>
      <c r="AT48" s="5">
        <f>MODEL!G189</f>
        <v>775.19999999999982</v>
      </c>
      <c r="AU48" s="5">
        <f>MODEL!H189</f>
        <v>775.19999999999982</v>
      </c>
      <c r="AV48" s="5">
        <f>MODEL!I189</f>
        <v>796.5</v>
      </c>
      <c r="AW48" s="5">
        <f>MODEL!J189</f>
        <v>816</v>
      </c>
      <c r="AX48" s="5">
        <f>MODEL!K189</f>
        <v>816</v>
      </c>
      <c r="AY48" s="5"/>
      <c r="AZ48" s="5"/>
      <c r="BA48" s="5">
        <f>MODEL!N189</f>
        <v>991.3</v>
      </c>
      <c r="BB48" s="5"/>
      <c r="BC48" s="5"/>
      <c r="BD48" s="5">
        <f>MODEL!Q189</f>
        <v>1226.5</v>
      </c>
      <c r="BE48" s="5"/>
      <c r="BF48" s="5"/>
      <c r="BG48" s="5">
        <f>MODEL!T189</f>
        <v>1289</v>
      </c>
      <c r="BH48" s="5">
        <f>MODEL!W189</f>
        <v>1367.6000000000001</v>
      </c>
      <c r="BI48" s="5">
        <f>MODEL!Z189</f>
        <v>1373.2000000000003</v>
      </c>
      <c r="BJ48" s="5">
        <f>MODEL!AC189</f>
        <v>1321.4</v>
      </c>
      <c r="BK48" s="5">
        <f>MODEL!AF189</f>
        <v>1360.3105469518382</v>
      </c>
      <c r="BL48" s="5">
        <f>MODEL!AI189</f>
        <v>1474.2045091406917</v>
      </c>
      <c r="BM48" s="5">
        <f>MODEL!AL189</f>
        <v>1587.2694310710267</v>
      </c>
      <c r="BN48" s="5">
        <f>MODEL!AO189</f>
        <v>1705.84741309014</v>
      </c>
      <c r="BO48" s="5">
        <f>MODEL!AR189</f>
        <v>1828.3444219347848</v>
      </c>
    </row>
    <row r="49" spans="1:67" s="4" customFormat="1">
      <c r="A49" s="4" t="s">
        <v>199</v>
      </c>
      <c r="B49" s="3"/>
      <c r="C49" s="10"/>
      <c r="D49" s="3"/>
      <c r="E49" s="5"/>
      <c r="F49" s="3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7" t="e">
        <f>AC46/AC53</f>
        <v>#REF!</v>
      </c>
      <c r="AD49" s="5"/>
      <c r="AE49" s="5"/>
      <c r="AF49" s="7" t="e">
        <f>AF46/AF53</f>
        <v>#REF!</v>
      </c>
      <c r="AG49" s="5"/>
      <c r="AH49" s="5"/>
      <c r="AI49" s="7" t="e">
        <f>AI46/AI53</f>
        <v>#REF!</v>
      </c>
      <c r="AJ49" s="7"/>
      <c r="AK49" s="7"/>
      <c r="AL49" s="7" t="e">
        <f>AL46/AL53</f>
        <v>#REF!</v>
      </c>
      <c r="AM49" s="7"/>
      <c r="AN49" s="7"/>
      <c r="AO49" s="7" t="e">
        <f>AO46/AO53</f>
        <v>#REF!</v>
      </c>
      <c r="AP49" s="7" t="e">
        <f>AP46/AP53</f>
        <v>#DIV/0!</v>
      </c>
      <c r="AQ49" s="7"/>
      <c r="AR49" s="7" t="e">
        <f>AR46/AR53</f>
        <v>#DIV/0!</v>
      </c>
      <c r="AS49" s="7" t="e">
        <f>AS46/AS53</f>
        <v>#DIV/0!</v>
      </c>
      <c r="AT49" s="7"/>
      <c r="AU49" s="7" t="e">
        <f>AU46/AU53</f>
        <v>#DIV/0!</v>
      </c>
      <c r="AV49" s="7" t="e">
        <f>AV46/AV53</f>
        <v>#DIV/0!</v>
      </c>
      <c r="AW49" s="7"/>
      <c r="AX49" s="7" t="e">
        <f>AX46/AX53</f>
        <v>#DIV/0!</v>
      </c>
      <c r="AY49" s="7"/>
      <c r="AZ49" s="7"/>
      <c r="BA49" s="7" t="e">
        <f>BA46/BA53</f>
        <v>#DIV/0!</v>
      </c>
      <c r="BB49" s="7"/>
      <c r="BC49" s="7"/>
      <c r="BD49" s="7" t="e">
        <f>BD46/BD53</f>
        <v>#DIV/0!</v>
      </c>
      <c r="BE49" s="7"/>
      <c r="BF49" s="7"/>
      <c r="BG49" s="7" t="e">
        <f>BG46/BG53</f>
        <v>#DIV/0!</v>
      </c>
      <c r="BH49" s="5"/>
      <c r="BI49" s="5"/>
      <c r="BJ49" s="5"/>
      <c r="BK49" s="5"/>
      <c r="BL49" s="5"/>
      <c r="BM49" s="5"/>
      <c r="BN49" s="5"/>
      <c r="BO49" s="5"/>
    </row>
    <row r="50" spans="1:67" s="4" customFormat="1">
      <c r="B50" s="3"/>
      <c r="C50" s="10"/>
      <c r="D50" s="3"/>
      <c r="E50" s="5"/>
      <c r="F50" s="3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</row>
    <row r="51" spans="1:67" s="4" customFormat="1">
      <c r="A51" s="18" t="s">
        <v>27</v>
      </c>
      <c r="B51" s="19"/>
      <c r="C51" s="20"/>
      <c r="D51" s="19"/>
      <c r="E51" s="20"/>
      <c r="F51" s="19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</row>
    <row r="52" spans="1:67" s="4" customFormat="1">
      <c r="A52" s="21" t="s">
        <v>231</v>
      </c>
      <c r="B52" s="19"/>
      <c r="C52" s="20"/>
      <c r="D52" s="19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0"/>
      <c r="Y52" s="20"/>
      <c r="Z52" s="22"/>
      <c r="AA52" s="22"/>
      <c r="AB52" s="22"/>
      <c r="AC52" s="23"/>
      <c r="AD52" s="22"/>
      <c r="AE52" s="22"/>
      <c r="AF52" s="23"/>
      <c r="AG52" s="20"/>
      <c r="AH52" s="20"/>
      <c r="AI52" s="23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0"/>
      <c r="BI52" s="25"/>
      <c r="BJ52" s="20"/>
      <c r="BK52" s="20"/>
      <c r="BL52" s="20"/>
      <c r="BM52" s="20"/>
      <c r="BN52" s="20"/>
      <c r="BO52" s="20"/>
    </row>
    <row r="53" spans="1:67" s="4" customFormat="1">
      <c r="A53" s="21" t="s">
        <v>259</v>
      </c>
      <c r="B53" s="19"/>
      <c r="C53" s="20"/>
      <c r="D53" s="19"/>
      <c r="E53" s="20"/>
      <c r="F53" s="19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6"/>
      <c r="BJ53" s="20"/>
      <c r="BK53" s="20"/>
      <c r="BL53" s="20"/>
      <c r="BM53" s="20"/>
      <c r="BN53" s="20"/>
      <c r="BO53" s="20"/>
    </row>
    <row r="54" spans="1:67" s="4" customFormat="1">
      <c r="A54" s="21" t="s">
        <v>31</v>
      </c>
      <c r="B54" s="19"/>
      <c r="C54" s="20"/>
      <c r="D54" s="19"/>
      <c r="E54" s="20"/>
      <c r="F54" s="19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7"/>
      <c r="X54" s="20"/>
      <c r="Y54" s="20"/>
      <c r="Z54" s="28"/>
      <c r="AA54" s="28"/>
      <c r="AB54" s="28"/>
      <c r="AC54" s="20" t="e">
        <f>AC46</f>
        <v>#REF!</v>
      </c>
      <c r="AD54" s="28"/>
      <c r="AE54" s="28"/>
      <c r="AF54" s="20" t="e">
        <f>AF46</f>
        <v>#REF!</v>
      </c>
      <c r="AG54" s="28"/>
      <c r="AH54" s="28"/>
      <c r="AI54" s="20" t="e">
        <f>AI46</f>
        <v>#REF!</v>
      </c>
      <c r="AJ54" s="20"/>
      <c r="AK54" s="20"/>
      <c r="AL54" s="20" t="e">
        <f>AL46</f>
        <v>#REF!</v>
      </c>
      <c r="AM54" s="20"/>
      <c r="AN54" s="20"/>
      <c r="AO54" s="20" t="e">
        <f>AO46</f>
        <v>#REF!</v>
      </c>
      <c r="AP54" s="20"/>
      <c r="AQ54" s="20"/>
      <c r="AR54" s="20">
        <f>AR46</f>
        <v>380.70000000000005</v>
      </c>
      <c r="AS54" s="20">
        <f>AS46</f>
        <v>199.2</v>
      </c>
      <c r="AT54" s="20"/>
      <c r="AU54" s="20">
        <f>AU46</f>
        <v>422.90000000000003</v>
      </c>
      <c r="AV54" s="20"/>
      <c r="AW54" s="20"/>
      <c r="AX54" s="20">
        <f>AX46</f>
        <v>386.7</v>
      </c>
      <c r="AY54" s="20"/>
      <c r="AZ54" s="20"/>
      <c r="BA54" s="20">
        <f>BA46</f>
        <v>902</v>
      </c>
      <c r="BB54" s="20"/>
      <c r="BC54" s="20"/>
      <c r="BD54" s="20">
        <f>BD46</f>
        <v>747.30000000000018</v>
      </c>
      <c r="BE54" s="20"/>
      <c r="BF54" s="20"/>
      <c r="BG54" s="20">
        <f>BG46</f>
        <v>997.30000000000018</v>
      </c>
      <c r="BH54" s="20"/>
      <c r="BI54" s="25">
        <v>11.2</v>
      </c>
      <c r="BJ54" s="20"/>
      <c r="BK54" s="20"/>
      <c r="BL54" s="20"/>
      <c r="BM54" s="20"/>
      <c r="BN54" s="20"/>
      <c r="BO54" s="20"/>
    </row>
    <row r="55" spans="1:67" s="4" customFormat="1">
      <c r="A55" s="21" t="s">
        <v>32</v>
      </c>
      <c r="B55" s="19"/>
      <c r="C55" s="20"/>
      <c r="D55" s="19"/>
      <c r="E55" s="20"/>
      <c r="F55" s="19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7"/>
      <c r="X55" s="20"/>
      <c r="Y55" s="20"/>
      <c r="Z55" s="29"/>
      <c r="AA55" s="29"/>
      <c r="AB55" s="29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 t="e">
        <f>AO53+AO54</f>
        <v>#REF!</v>
      </c>
      <c r="AP55" s="20">
        <f>AM55</f>
        <v>0</v>
      </c>
      <c r="AQ55" s="20"/>
      <c r="AR55" s="20">
        <f>AR53+AR54</f>
        <v>380.70000000000005</v>
      </c>
      <c r="AS55" s="20">
        <f>AP55</f>
        <v>0</v>
      </c>
      <c r="AT55" s="20"/>
      <c r="AU55" s="20">
        <f>AU53+AU54</f>
        <v>422.90000000000003</v>
      </c>
      <c r="AV55" s="20">
        <f>AS55</f>
        <v>0</v>
      </c>
      <c r="AW55" s="20"/>
      <c r="AX55" s="20">
        <f>AX53+AX54</f>
        <v>386.7</v>
      </c>
      <c r="AY55" s="20"/>
      <c r="AZ55" s="20"/>
      <c r="BA55" s="20">
        <f>BA53+BA54</f>
        <v>902</v>
      </c>
      <c r="BB55" s="20"/>
      <c r="BC55" s="20"/>
      <c r="BD55" s="20">
        <f>BD53+BD54</f>
        <v>747.30000000000018</v>
      </c>
      <c r="BE55" s="20"/>
      <c r="BF55" s="20"/>
      <c r="BG55" s="20">
        <f>BG53+BG54</f>
        <v>997.30000000000018</v>
      </c>
      <c r="BH55" s="20"/>
      <c r="BI55" s="20" t="e">
        <f>+MODEL!#REF!</f>
        <v>#REF!</v>
      </c>
      <c r="BJ55" s="20"/>
      <c r="BK55" s="20"/>
      <c r="BL55" s="20"/>
      <c r="BM55" s="20"/>
      <c r="BN55" s="20"/>
      <c r="BO55" s="20"/>
    </row>
    <row r="56" spans="1:67" s="56" customFormat="1">
      <c r="A56" s="55" t="s">
        <v>69</v>
      </c>
      <c r="B56" s="17"/>
      <c r="C56" s="9"/>
      <c r="D56" s="17"/>
      <c r="E56" s="9"/>
      <c r="F56" s="17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15"/>
      <c r="AP56" s="15" t="e">
        <f>AP55/AP42</f>
        <v>#REF!</v>
      </c>
      <c r="AQ56" s="15"/>
      <c r="AR56" s="15" t="e">
        <f>AR55/AR42</f>
        <v>#REF!</v>
      </c>
      <c r="AS56" s="15" t="e">
        <f>AS55/AS42</f>
        <v>#REF!</v>
      </c>
      <c r="AT56" s="15"/>
      <c r="AU56" s="15" t="e">
        <f>AU55/AU42</f>
        <v>#REF!</v>
      </c>
      <c r="AV56" s="15" t="e">
        <f>AV55/AV42</f>
        <v>#REF!</v>
      </c>
      <c r="AW56" s="15"/>
      <c r="AX56" s="15" t="e">
        <f>AX55/AX42</f>
        <v>#REF!</v>
      </c>
      <c r="AY56" s="15"/>
      <c r="AZ56" s="15"/>
      <c r="BA56" s="15" t="e">
        <f>BA55/BA42</f>
        <v>#REF!</v>
      </c>
      <c r="BB56" s="15"/>
      <c r="BC56" s="15"/>
      <c r="BD56" s="15" t="e">
        <f>BD55/BD42</f>
        <v>#REF!</v>
      </c>
      <c r="BE56" s="15"/>
      <c r="BF56" s="15"/>
      <c r="BG56" s="15" t="e">
        <f>BG55/BG42</f>
        <v>#REF!</v>
      </c>
      <c r="BH56" s="9"/>
      <c r="BI56" s="15" t="s">
        <v>232</v>
      </c>
      <c r="BJ56" s="9"/>
      <c r="BK56" s="9"/>
      <c r="BL56" s="9"/>
      <c r="BM56" s="9"/>
      <c r="BN56" s="9"/>
      <c r="BO56" s="9"/>
    </row>
    <row r="57" spans="1:67" s="4" customFormat="1">
      <c r="A57" s="21" t="s">
        <v>28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>
        <f>AP55/MODEL!C31</f>
        <v>0</v>
      </c>
      <c r="AQ57" s="29"/>
      <c r="AR57" s="29">
        <f>AR55/MODEL!E31</f>
        <v>1.8364688856729381</v>
      </c>
      <c r="AS57" s="29">
        <f>AS55/MODEL!F31</f>
        <v>0</v>
      </c>
      <c r="AT57" s="29"/>
      <c r="AU57" s="29">
        <f>AU55/MODEL!H31</f>
        <v>1.9257741347905284</v>
      </c>
      <c r="AV57" s="29">
        <f>AV55/MODEL!I31</f>
        <v>0</v>
      </c>
      <c r="AW57" s="29"/>
      <c r="AX57" s="29">
        <f>AX55/MODEL!K31</f>
        <v>1.6953090749671196</v>
      </c>
      <c r="AY57" s="29"/>
      <c r="AZ57" s="29"/>
      <c r="BA57" s="29">
        <f>BA55/MODEL!N31</f>
        <v>3.4037735849056605</v>
      </c>
      <c r="BB57" s="29"/>
      <c r="BC57" s="29"/>
      <c r="BD57" s="29">
        <f>BD55/MODEL!Q31</f>
        <v>1.5673238255033561</v>
      </c>
      <c r="BE57" s="29"/>
      <c r="BF57" s="29"/>
      <c r="BG57" s="29">
        <f>BG55/MODEL!T31</f>
        <v>2.5146243066061524</v>
      </c>
      <c r="BH57" s="19"/>
      <c r="BI57" s="30" t="e">
        <f>+BI55*BI53/100</f>
        <v>#REF!</v>
      </c>
      <c r="BJ57" s="19"/>
      <c r="BK57" s="19"/>
      <c r="BL57" s="19"/>
      <c r="BM57" s="19"/>
      <c r="BN57" s="19"/>
      <c r="BO57" s="19"/>
    </row>
    <row r="58" spans="1:67" s="56" customFormat="1">
      <c r="A58" s="55" t="s">
        <v>191</v>
      </c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2"/>
      <c r="AD58" s="57"/>
      <c r="AE58" s="57"/>
      <c r="AF58" s="12"/>
      <c r="AG58" s="12"/>
      <c r="AH58" s="12"/>
      <c r="AI58" s="12"/>
      <c r="AJ58" s="12"/>
      <c r="AK58" s="12"/>
      <c r="AL58" s="12"/>
      <c r="AM58" s="12"/>
      <c r="AN58" s="12"/>
      <c r="AO58" s="58" t="e">
        <f>AO52/(MODEL!#REF!/100)</f>
        <v>#REF!</v>
      </c>
      <c r="AP58" s="58" t="e">
        <f>AP52/(MODEL!#REF!/100)</f>
        <v>#REF!</v>
      </c>
      <c r="AQ58" s="58"/>
      <c r="AR58" s="58" t="e">
        <f>AR52/(MODEL!#REF!/100)</f>
        <v>#REF!</v>
      </c>
      <c r="AS58" s="58" t="e">
        <f>AS52/(MODEL!#REF!/100)</f>
        <v>#REF!</v>
      </c>
      <c r="AT58" s="58"/>
      <c r="AU58" s="58" t="e">
        <f>AU52/(MODEL!#REF!/100)</f>
        <v>#REF!</v>
      </c>
      <c r="AV58" s="58" t="e">
        <f>AV52/(MODEL!#REF!/100)</f>
        <v>#REF!</v>
      </c>
      <c r="AW58" s="58"/>
      <c r="AX58" s="58" t="e">
        <f>AX52/(MODEL!#REF!/100)</f>
        <v>#REF!</v>
      </c>
      <c r="AY58" s="58"/>
      <c r="AZ58" s="58"/>
      <c r="BA58" s="58" t="e">
        <f>BA52/(MODEL!#REF!/100)</f>
        <v>#REF!</v>
      </c>
      <c r="BB58" s="58"/>
      <c r="BC58" s="58"/>
      <c r="BD58" s="58" t="e">
        <f>BD52/(MODEL!#REF!/100)</f>
        <v>#REF!</v>
      </c>
      <c r="BE58" s="58"/>
      <c r="BF58" s="58"/>
      <c r="BG58" s="58" t="e">
        <f>BG52/(MODEL!#REF!/100)</f>
        <v>#REF!</v>
      </c>
      <c r="BH58" s="17"/>
      <c r="BI58" s="15" t="s">
        <v>231</v>
      </c>
      <c r="BJ58" s="17"/>
      <c r="BK58" s="17"/>
      <c r="BL58" s="17"/>
      <c r="BM58" s="17"/>
      <c r="BN58" s="17"/>
      <c r="BO58" s="17"/>
    </row>
    <row r="59" spans="1:67" s="4" customFormat="1">
      <c r="A59" s="55" t="s">
        <v>64</v>
      </c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59"/>
      <c r="AG59" s="59"/>
      <c r="AH59" s="59"/>
      <c r="AI59" s="59"/>
      <c r="AJ59" s="59"/>
      <c r="AK59" s="59"/>
      <c r="AL59" s="59"/>
      <c r="AM59" s="59"/>
      <c r="AN59" s="59"/>
      <c r="AO59" s="60" t="e">
        <f>MODEL!#REF!/100/AO52</f>
        <v>#REF!</v>
      </c>
      <c r="AP59" s="60" t="e">
        <f>MODEL!C56/100/AP52</f>
        <v>#DIV/0!</v>
      </c>
      <c r="AQ59" s="60"/>
      <c r="AR59" s="60" t="e">
        <f>MODEL!E56/100/AR52</f>
        <v>#DIV/0!</v>
      </c>
      <c r="AS59" s="60" t="e">
        <f>MODEL!F56/100/AS52</f>
        <v>#DIV/0!</v>
      </c>
      <c r="AT59" s="60"/>
      <c r="AU59" s="60" t="e">
        <f>MODEL!H56/100/AU52</f>
        <v>#DIV/0!</v>
      </c>
      <c r="AV59" s="60" t="e">
        <f>MODEL!I56/100/AV52</f>
        <v>#DIV/0!</v>
      </c>
      <c r="AW59" s="60"/>
      <c r="AX59" s="60" t="e">
        <f>MODEL!K56/100/AX52</f>
        <v>#DIV/0!</v>
      </c>
      <c r="AY59" s="60"/>
      <c r="AZ59" s="60"/>
      <c r="BA59" s="60" t="e">
        <f>MODEL!N56/100/BA52</f>
        <v>#DIV/0!</v>
      </c>
      <c r="BB59" s="60"/>
      <c r="BC59" s="60"/>
      <c r="BD59" s="60" t="e">
        <f>MODEL!Q56/100/BD52</f>
        <v>#DIV/0!</v>
      </c>
      <c r="BE59" s="60"/>
      <c r="BF59" s="60"/>
      <c r="BG59" s="60" t="e">
        <f>MODEL!T56/100/BG52</f>
        <v>#DIV/0!</v>
      </c>
      <c r="BH59" s="19"/>
      <c r="BI59" s="24">
        <f>+AI52</f>
        <v>0</v>
      </c>
      <c r="BJ59" s="19"/>
      <c r="BK59" s="19"/>
      <c r="BL59" s="19"/>
      <c r="BM59" s="19"/>
      <c r="BN59" s="19"/>
      <c r="BO59" s="19"/>
    </row>
    <row r="60" spans="1:67" s="4" customFormat="1">
      <c r="A60" s="21" t="s">
        <v>258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32"/>
      <c r="AM60" s="19"/>
      <c r="AN60" s="19"/>
      <c r="AO60" s="32"/>
      <c r="AP60" s="19"/>
      <c r="AQ60" s="19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19"/>
      <c r="BI60" s="33"/>
      <c r="BJ60" s="19"/>
      <c r="BK60" s="19"/>
      <c r="BL60" s="19"/>
      <c r="BM60" s="19"/>
      <c r="BN60" s="19"/>
      <c r="BO60" s="19"/>
    </row>
    <row r="61" spans="1:67" s="4" customFormat="1">
      <c r="A61" s="21" t="s">
        <v>230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47" t="e">
        <f>+AL60/MODEL!#REF!</f>
        <v>#REF!</v>
      </c>
      <c r="AM61" s="19"/>
      <c r="AN61" s="19"/>
      <c r="AO61" s="47" t="e">
        <f>+AO60/MODEL!#REF!</f>
        <v>#REF!</v>
      </c>
      <c r="AP61" s="19"/>
      <c r="AQ61" s="19"/>
      <c r="AR61" s="47">
        <f>+AR60/MODEL!E88</f>
        <v>0</v>
      </c>
      <c r="AS61" s="30"/>
      <c r="AT61" s="30"/>
      <c r="AU61" s="30">
        <f>+AU60/MODEL!H88</f>
        <v>0</v>
      </c>
      <c r="AV61" s="30"/>
      <c r="AW61" s="30"/>
      <c r="AX61" s="30">
        <f>+AX60/MODEL!K88</f>
        <v>0</v>
      </c>
      <c r="AY61" s="30"/>
      <c r="AZ61" s="30"/>
      <c r="BA61" s="30">
        <f>+BA60/MODEL!N88</f>
        <v>0</v>
      </c>
      <c r="BB61" s="30"/>
      <c r="BC61" s="30"/>
      <c r="BD61" s="30">
        <f>+BD60/MODEL!Q88</f>
        <v>0</v>
      </c>
      <c r="BE61" s="30"/>
      <c r="BF61" s="30"/>
      <c r="BG61" s="30">
        <f>+BG60/MODEL!T88</f>
        <v>0</v>
      </c>
      <c r="BH61" s="19"/>
      <c r="BI61" s="31" t="e">
        <f>+BI57/BI59-1</f>
        <v>#REF!</v>
      </c>
      <c r="BJ61" s="19"/>
      <c r="BK61" s="19"/>
      <c r="BL61" s="19"/>
      <c r="BM61" s="19"/>
      <c r="BN61" s="19"/>
      <c r="BO61" s="19"/>
    </row>
    <row r="62" spans="1:67" s="56" customFormat="1">
      <c r="A62" s="55" t="s">
        <v>227</v>
      </c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60" t="e">
        <f>+AL61/AL52</f>
        <v>#REF!</v>
      </c>
      <c r="AM62" s="17"/>
      <c r="AN62" s="17"/>
      <c r="AO62" s="60" t="e">
        <f>+AO61/AO52</f>
        <v>#REF!</v>
      </c>
      <c r="AP62" s="17"/>
      <c r="AQ62" s="17"/>
      <c r="AR62" s="60" t="e">
        <f>+AR61/AR52</f>
        <v>#DIV/0!</v>
      </c>
      <c r="AS62" s="61"/>
      <c r="AT62" s="61"/>
      <c r="AU62" s="60" t="e">
        <f>+AU61/AU52</f>
        <v>#DIV/0!</v>
      </c>
      <c r="AV62" s="61"/>
      <c r="AW62" s="61"/>
      <c r="AX62" s="60" t="e">
        <f>+AX61/AX52</f>
        <v>#DIV/0!</v>
      </c>
      <c r="AY62" s="60"/>
      <c r="AZ62" s="60"/>
      <c r="BA62" s="60" t="e">
        <f>+BA61/BA52</f>
        <v>#DIV/0!</v>
      </c>
      <c r="BB62" s="60"/>
      <c r="BC62" s="60"/>
      <c r="BD62" s="60" t="e">
        <f>+BD61/BD52</f>
        <v>#DIV/0!</v>
      </c>
      <c r="BE62" s="60"/>
      <c r="BF62" s="60"/>
      <c r="BG62" s="60" t="e">
        <f>+BG61/BG52</f>
        <v>#DIV/0!</v>
      </c>
      <c r="BH62" s="17"/>
      <c r="BI62" s="62"/>
      <c r="BJ62" s="17"/>
      <c r="BK62" s="17"/>
      <c r="BL62" s="17"/>
      <c r="BM62" s="17"/>
      <c r="BN62" s="17"/>
      <c r="BO62" s="17"/>
    </row>
    <row r="63" spans="1:67" s="4" customFormat="1">
      <c r="A63" s="21" t="s">
        <v>229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46"/>
      <c r="AP63" s="46"/>
      <c r="AQ63" s="19"/>
      <c r="AR63" s="46"/>
      <c r="AS63" s="19"/>
      <c r="AT63" s="19"/>
      <c r="AU63" s="46">
        <v>121.9</v>
      </c>
      <c r="AV63" s="19"/>
      <c r="AW63" s="19"/>
      <c r="AX63" s="29" t="e">
        <f>1/AX62</f>
        <v>#DIV/0!</v>
      </c>
      <c r="AY63" s="29"/>
      <c r="AZ63" s="29"/>
      <c r="BA63" s="29" t="e">
        <f>1/BA62</f>
        <v>#DIV/0!</v>
      </c>
      <c r="BB63" s="29"/>
      <c r="BC63" s="2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</row>
    <row r="64" spans="1:67" s="4" customFormat="1">
      <c r="A64" s="21" t="s">
        <v>228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46"/>
      <c r="AP64" s="46"/>
      <c r="AQ64" s="19"/>
      <c r="AR64" s="46"/>
      <c r="AS64" s="19"/>
      <c r="AT64" s="19"/>
      <c r="AU64" s="46">
        <f>+AU63*0.7/0.3</f>
        <v>284.43333333333334</v>
      </c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</row>
    <row r="65" spans="1:67" s="4" customFormat="1">
      <c r="A65" s="21" t="s">
        <v>225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47"/>
      <c r="AP65" s="47"/>
      <c r="AQ65" s="19"/>
      <c r="AR65" s="47"/>
      <c r="AS65" s="19"/>
      <c r="AT65" s="19"/>
      <c r="AU65" s="47">
        <f>+AU64/MODEL!H88</f>
        <v>1.4292187392079476</v>
      </c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</row>
    <row r="66" spans="1:67" s="4" customFormat="1">
      <c r="A66" s="21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48"/>
      <c r="AP66" s="48"/>
      <c r="AQ66" s="19"/>
      <c r="AR66" s="48"/>
      <c r="AS66" s="19"/>
      <c r="AT66" s="19"/>
      <c r="AU66" s="48" t="e">
        <f>+AU65/AU52</f>
        <v>#DIV/0!</v>
      </c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</row>
    <row r="67" spans="1:67" s="4" customFormat="1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</row>
    <row r="68" spans="1:67" s="4" customFormat="1">
      <c r="A68" s="34" t="s">
        <v>166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</row>
    <row r="69" spans="1:67" s="4" customFormat="1">
      <c r="A69" s="36" t="s">
        <v>130</v>
      </c>
      <c r="B69" s="35"/>
      <c r="C69" s="35"/>
      <c r="D69" s="35"/>
      <c r="E69" s="35"/>
      <c r="F69" s="35"/>
      <c r="G69" s="35"/>
      <c r="H69" s="35"/>
      <c r="I69" s="35"/>
      <c r="J69" s="35"/>
      <c r="K69" s="37" t="e">
        <f>(MODEL!#REF!-MODEL!#REF!)-MODEL!#REF!-Divisionals!#REF!</f>
        <v>#REF!</v>
      </c>
      <c r="L69" s="35"/>
      <c r="M69" s="35"/>
      <c r="N69" s="37" t="e">
        <f>(MODEL!#REF!-MODEL!#REF!)-MODEL!#REF!-Divisionals!#REF!</f>
        <v>#REF!</v>
      </c>
      <c r="O69" s="35"/>
      <c r="P69" s="35"/>
      <c r="Q69" s="37" t="e">
        <f>(MODEL!#REF!-MODEL!#REF!)-MODEL!#REF!-Divisionals!#REF!</f>
        <v>#REF!</v>
      </c>
      <c r="R69" s="35"/>
      <c r="S69" s="35"/>
      <c r="T69" s="37" t="e">
        <f>(MODEL!#REF!-MODEL!#REF!)-MODEL!#REF!-Divisionals!#REF!</f>
        <v>#REF!</v>
      </c>
      <c r="U69" s="35"/>
      <c r="V69" s="35"/>
      <c r="W69" s="37" t="e">
        <f>(MODEL!#REF!-MODEL!#REF!)-MODEL!#REF!-Divisionals!#REF!</f>
        <v>#REF!</v>
      </c>
      <c r="X69" s="35"/>
      <c r="Y69" s="35"/>
      <c r="Z69" s="37" t="e">
        <f>(MODEL!#REF!-MODEL!#REF!)-MODEL!#REF!-Divisionals!#REF!</f>
        <v>#REF!</v>
      </c>
      <c r="AA69" s="35"/>
      <c r="AB69" s="35"/>
      <c r="AC69" s="37" t="e">
        <f>(MODEL!#REF!-MODEL!#REF!)-MODEL!#REF!-Divisionals!#REF!</f>
        <v>#REF!</v>
      </c>
      <c r="AD69" s="37"/>
      <c r="AE69" s="37"/>
      <c r="AF69" s="37" t="e">
        <f>(MODEL!#REF!-MODEL!#REF!)-MODEL!#REF!-Divisionals!#REF!</f>
        <v>#REF!</v>
      </c>
      <c r="AG69" s="37"/>
      <c r="AH69" s="37"/>
      <c r="AI69" s="37" t="e">
        <f>(MODEL!#REF!-MODEL!#REF!)-MODEL!#REF!-Divisionals!#REF!</f>
        <v>#REF!</v>
      </c>
      <c r="AJ69" s="37"/>
      <c r="AK69" s="37"/>
      <c r="AL69" s="37" t="e">
        <f>(MODEL!#REF!-MODEL!#REF!)-MODEL!#REF!-Divisionals!#REF!</f>
        <v>#REF!</v>
      </c>
      <c r="AM69" s="37"/>
      <c r="AN69" s="37"/>
      <c r="AO69" s="37" t="e">
        <f>(MODEL!#REF!-MODEL!#REF!)-MODEL!#REF!-Divisionals!#REF!</f>
        <v>#REF!</v>
      </c>
      <c r="AP69" s="37" t="e">
        <f>(MODEL!C6-MODEL!C25)-MODEL!C9-Divisionals!#REF!</f>
        <v>#REF!</v>
      </c>
      <c r="AQ69" s="37"/>
      <c r="AR69" s="37" t="e">
        <f>(MODEL!E6-MODEL!E25)-MODEL!E9-Divisionals!#REF!</f>
        <v>#REF!</v>
      </c>
      <c r="AS69" s="37" t="e">
        <f>(MODEL!F6-MODEL!F25)-MODEL!F9-Divisionals!#REF!</f>
        <v>#REF!</v>
      </c>
      <c r="AT69" s="37"/>
      <c r="AU69" s="37" t="e">
        <f>(MODEL!H6-MODEL!H25)-MODEL!H9-Divisionals!#REF!</f>
        <v>#REF!</v>
      </c>
      <c r="AV69" s="37" t="e">
        <f>(MODEL!I6-MODEL!I25)-MODEL!I9-Divisionals!#REF!</f>
        <v>#REF!</v>
      </c>
      <c r="AW69" s="37"/>
      <c r="AX69" s="37" t="e">
        <f>(MODEL!K6-MODEL!K25)-MODEL!K9-Divisionals!#REF!</f>
        <v>#REF!</v>
      </c>
      <c r="AY69" s="37"/>
      <c r="AZ69" s="37"/>
      <c r="BA69" s="37" t="e">
        <f>(MODEL!N6-MODEL!N25)-MODEL!N9-Divisionals!#REF!</f>
        <v>#REF!</v>
      </c>
      <c r="BB69" s="37"/>
      <c r="BC69" s="37"/>
      <c r="BD69" s="37" t="e">
        <f>(MODEL!Q6-MODEL!Q25)-MODEL!Q9-Divisionals!#REF!</f>
        <v>#REF!</v>
      </c>
      <c r="BE69" s="37"/>
      <c r="BF69" s="37"/>
      <c r="BG69" s="37" t="e">
        <f>(MODEL!T6-MODEL!T25)-MODEL!T9-Divisionals!#REF!</f>
        <v>#REF!</v>
      </c>
      <c r="BH69" s="37" t="e">
        <f>(MODEL!W6-MODEL!W25)-MODEL!W9-Divisionals!#REF!</f>
        <v>#REF!</v>
      </c>
      <c r="BI69" s="37" t="e">
        <f>(MODEL!Z6-MODEL!Z25)-MODEL!Z9-Divisionals!#REF!</f>
        <v>#REF!</v>
      </c>
      <c r="BJ69" s="37" t="e">
        <f>(MODEL!AC6-MODEL!AC25)-MODEL!AC9-Divisionals!#REF!</f>
        <v>#REF!</v>
      </c>
      <c r="BK69" s="37" t="e">
        <f>(MODEL!AF6-MODEL!AF25)-MODEL!AF9-Divisionals!#REF!</f>
        <v>#REF!</v>
      </c>
      <c r="BL69" s="37" t="e">
        <f>(MODEL!AI6-MODEL!AI25)-MODEL!AI9-Divisionals!#REF!</f>
        <v>#REF!</v>
      </c>
      <c r="BM69" s="37" t="e">
        <f>(MODEL!AL6-MODEL!AL25)-MODEL!AL9-Divisionals!#REF!</f>
        <v>#REF!</v>
      </c>
      <c r="BN69" s="37" t="e">
        <f>(MODEL!AO6-MODEL!AO25)-MODEL!AO9-Divisionals!#REF!</f>
        <v>#REF!</v>
      </c>
      <c r="BO69" s="37" t="e">
        <f>(MODEL!AR6-MODEL!AR25)-MODEL!AR9-Divisionals!#REF!</f>
        <v>#REF!</v>
      </c>
    </row>
    <row r="70" spans="1:67" s="4" customFormat="1">
      <c r="A70" s="36" t="s">
        <v>167</v>
      </c>
      <c r="B70" s="35"/>
      <c r="C70" s="35"/>
      <c r="D70" s="35"/>
      <c r="E70" s="35"/>
      <c r="F70" s="35"/>
      <c r="G70" s="35"/>
      <c r="H70" s="35"/>
      <c r="I70" s="35"/>
      <c r="J70" s="35"/>
      <c r="K70" s="38">
        <f>6.064</f>
        <v>6.0640000000000001</v>
      </c>
      <c r="L70" s="38"/>
      <c r="M70" s="38"/>
      <c r="N70" s="38">
        <f>8.716</f>
        <v>8.7159999999999993</v>
      </c>
      <c r="O70" s="38"/>
      <c r="P70" s="38"/>
      <c r="Q70" s="38">
        <f>11.463</f>
        <v>11.462999999999999</v>
      </c>
      <c r="R70" s="38"/>
      <c r="S70" s="38"/>
      <c r="T70" s="38">
        <f>13.989+0.125+0.02</f>
        <v>14.134</v>
      </c>
      <c r="U70" s="38"/>
      <c r="V70" s="38"/>
      <c r="W70" s="38">
        <f>2+16.851+0.25+0.04</f>
        <v>19.140999999999998</v>
      </c>
      <c r="X70" s="38"/>
      <c r="Y70" s="38"/>
      <c r="Z70" s="38">
        <f>2+20.294+0.375+0.06</f>
        <v>22.728999999999999</v>
      </c>
      <c r="AA70" s="35"/>
      <c r="AB70" s="35"/>
      <c r="AC70" s="38">
        <f>2.077+24.979+0.5+0.08</f>
        <v>27.635999999999996</v>
      </c>
      <c r="AD70" s="38"/>
      <c r="AE70" s="38"/>
      <c r="AF70" s="38">
        <f>2.1+32.2+0.6+0.1</f>
        <v>35.000000000000007</v>
      </c>
      <c r="AG70" s="38"/>
      <c r="AH70" s="38"/>
      <c r="AI70" s="39">
        <f>AF70</f>
        <v>35.000000000000007</v>
      </c>
      <c r="AJ70" s="39"/>
      <c r="AK70" s="39"/>
      <c r="AL70" s="39">
        <f>AI70</f>
        <v>35.000000000000007</v>
      </c>
      <c r="AM70" s="39"/>
      <c r="AN70" s="39"/>
      <c r="AO70" s="39">
        <f>AL70</f>
        <v>35.000000000000007</v>
      </c>
      <c r="AP70" s="39">
        <f>AM70</f>
        <v>0</v>
      </c>
      <c r="AQ70" s="39"/>
      <c r="AR70" s="39">
        <f>AO70</f>
        <v>35.000000000000007</v>
      </c>
      <c r="AS70" s="39">
        <f>AP70</f>
        <v>0</v>
      </c>
      <c r="AT70" s="39"/>
      <c r="AU70" s="39">
        <f>AR70</f>
        <v>35.000000000000007</v>
      </c>
      <c r="AV70" s="39">
        <f>AS70</f>
        <v>0</v>
      </c>
      <c r="AW70" s="39"/>
      <c r="AX70" s="39">
        <f>AU70</f>
        <v>35.000000000000007</v>
      </c>
      <c r="AY70" s="39"/>
      <c r="AZ70" s="39"/>
      <c r="BA70" s="39">
        <f>AX70</f>
        <v>35.000000000000007</v>
      </c>
      <c r="BB70" s="39"/>
      <c r="BC70" s="39"/>
      <c r="BD70" s="39">
        <f>BA70</f>
        <v>35.000000000000007</v>
      </c>
      <c r="BE70" s="39"/>
      <c r="BF70" s="39"/>
      <c r="BG70" s="39">
        <f>BD70</f>
        <v>35.000000000000007</v>
      </c>
      <c r="BH70" s="39">
        <f t="shared" ref="BH70:BO70" si="2">BG70</f>
        <v>35.000000000000007</v>
      </c>
      <c r="BI70" s="39">
        <f t="shared" si="2"/>
        <v>35.000000000000007</v>
      </c>
      <c r="BJ70" s="39">
        <f t="shared" si="2"/>
        <v>35.000000000000007</v>
      </c>
      <c r="BK70" s="39">
        <f t="shared" si="2"/>
        <v>35.000000000000007</v>
      </c>
      <c r="BL70" s="39">
        <f t="shared" si="2"/>
        <v>35.000000000000007</v>
      </c>
      <c r="BM70" s="39">
        <f t="shared" si="2"/>
        <v>35.000000000000007</v>
      </c>
      <c r="BN70" s="39">
        <f t="shared" si="2"/>
        <v>35.000000000000007</v>
      </c>
      <c r="BO70" s="39">
        <f t="shared" si="2"/>
        <v>35.000000000000007</v>
      </c>
    </row>
    <row r="71" spans="1:67" s="4" customFormat="1">
      <c r="A71" s="40" t="s">
        <v>81</v>
      </c>
      <c r="B71" s="35"/>
      <c r="C71" s="35"/>
      <c r="D71" s="35"/>
      <c r="E71" s="35"/>
      <c r="F71" s="35"/>
      <c r="G71" s="35"/>
      <c r="H71" s="35"/>
      <c r="I71" s="35"/>
      <c r="J71" s="35"/>
      <c r="K71" s="38">
        <v>22.805</v>
      </c>
      <c r="L71" s="38"/>
      <c r="M71" s="38"/>
      <c r="N71" s="38">
        <v>25.780999999999999</v>
      </c>
      <c r="O71" s="38"/>
      <c r="P71" s="38"/>
      <c r="Q71" s="38">
        <v>33.619</v>
      </c>
      <c r="R71" s="38"/>
      <c r="S71" s="38"/>
      <c r="T71" s="38">
        <v>34.768999999999998</v>
      </c>
      <c r="U71" s="38"/>
      <c r="V71" s="38"/>
      <c r="W71" s="38">
        <v>47.146999999999998</v>
      </c>
      <c r="X71" s="38"/>
      <c r="Y71" s="38"/>
      <c r="Z71" s="38">
        <v>52.124000000000002</v>
      </c>
      <c r="AA71" s="35"/>
      <c r="AB71" s="35"/>
      <c r="AC71" s="38">
        <v>58.03</v>
      </c>
      <c r="AD71" s="39"/>
      <c r="AE71" s="39"/>
      <c r="AF71" s="38">
        <v>79.5</v>
      </c>
      <c r="AG71" s="38"/>
      <c r="AH71" s="38"/>
      <c r="AI71" s="38">
        <v>98.3</v>
      </c>
      <c r="AJ71" s="39"/>
      <c r="AK71" s="39"/>
      <c r="AL71" s="38">
        <v>106.7</v>
      </c>
      <c r="AM71" s="38"/>
      <c r="AN71" s="38"/>
      <c r="AO71" s="38">
        <v>121.9</v>
      </c>
      <c r="AP71" s="38">
        <f>AM71-MODEL!C107-(MODEL!C55/0.7*0.3)</f>
        <v>13.517799847211613</v>
      </c>
      <c r="AQ71" s="38"/>
      <c r="AR71" s="38">
        <v>132.30000000000001</v>
      </c>
      <c r="AS71" s="38">
        <f>AP71-MODEL!F107-(MODEL!F55/0.7*0.3)</f>
        <v>27.04354086149733</v>
      </c>
      <c r="AT71" s="38"/>
      <c r="AU71" s="39">
        <f>AR71-MODEL!H107-(MODEL!H55/0.7*0.3)</f>
        <v>149.10723702999999</v>
      </c>
      <c r="AV71" s="38">
        <f>AS71-MODEL!I107-(MODEL!I55/0.7*0.3)</f>
        <v>40.499278073997331</v>
      </c>
      <c r="AW71" s="38"/>
      <c r="AX71" s="39">
        <f>AU71-MODEL!K107-(MODEL!K55/0.7*0.3)</f>
        <v>158.03025574428568</v>
      </c>
      <c r="AY71" s="39"/>
      <c r="AZ71" s="39"/>
      <c r="BA71" s="39">
        <f>AX71-MODEL!N107-(MODEL!N55/0.7*0.3)</f>
        <v>203.07663971142856</v>
      </c>
      <c r="BB71" s="39"/>
      <c r="BC71" s="39"/>
      <c r="BD71" s="39">
        <f>BA71-MODEL!Q107-(MODEL!Q55/0.7*0.3)</f>
        <v>246.14429236285716</v>
      </c>
      <c r="BE71" s="39"/>
      <c r="BF71" s="39"/>
      <c r="BG71" s="39">
        <f>BD71-MODEL!T107-(MODEL!T55/0.7*0.3)</f>
        <v>283.27879866285718</v>
      </c>
      <c r="BH71" s="39">
        <f>BG71-MODEL!W107-(MODEL!W55/0.7*0.3)</f>
        <v>299.79769186285716</v>
      </c>
      <c r="BI71" s="39">
        <f>BH71-MODEL!Z107-(MODEL!Z55/0.7*0.3)</f>
        <v>284.16879772285716</v>
      </c>
      <c r="BJ71" s="39">
        <f>BI71-MODEL!AC107-(MODEL!AC55/0.7*0.3)</f>
        <v>287.5223959857143</v>
      </c>
      <c r="BK71" s="39">
        <f>BJ71-MODEL!AF107-(MODEL!AF55/0.7*0.3)</f>
        <v>320.09577044079822</v>
      </c>
      <c r="BL71" s="39">
        <f>BK71-MODEL!AI107-(MODEL!AI55/0.7*0.3)</f>
        <v>358.34217620366479</v>
      </c>
      <c r="BM71" s="39">
        <f>BL71-MODEL!AL107-(MODEL!AL55/0.7*0.3)</f>
        <v>399.52906175855998</v>
      </c>
      <c r="BN71" s="39">
        <f>BM71-MODEL!AO107-(MODEL!AO55/0.7*0.3)</f>
        <v>443.39254023879005</v>
      </c>
      <c r="BO71" s="39">
        <f>BN71-MODEL!AR107-(MODEL!AR55/0.7*0.3)</f>
        <v>489.53981361012472</v>
      </c>
    </row>
    <row r="72" spans="1:67" s="4" customFormat="1">
      <c r="A72" s="40" t="s">
        <v>172</v>
      </c>
      <c r="B72" s="35"/>
      <c r="C72" s="35"/>
      <c r="D72" s="35"/>
      <c r="E72" s="35"/>
      <c r="F72" s="35"/>
      <c r="G72" s="35"/>
      <c r="H72" s="35"/>
      <c r="I72" s="35"/>
      <c r="J72" s="35"/>
      <c r="K72" s="38" t="e">
        <f>(MODEL!#REF!-MODEL!#REF!)-MODEL!#REF!</f>
        <v>#REF!</v>
      </c>
      <c r="L72" s="38"/>
      <c r="M72" s="38"/>
      <c r="N72" s="38" t="e">
        <f>(MODEL!#REF!-MODEL!#REF!)-MODEL!#REF!</f>
        <v>#REF!</v>
      </c>
      <c r="O72" s="38"/>
      <c r="P72" s="38"/>
      <c r="Q72" s="38" t="e">
        <f>(MODEL!#REF!-MODEL!#REF!)-MODEL!#REF!</f>
        <v>#REF!</v>
      </c>
      <c r="R72" s="38"/>
      <c r="S72" s="38"/>
      <c r="T72" s="38" t="e">
        <f>(MODEL!#REF!-MODEL!#REF!)-MODEL!#REF!</f>
        <v>#REF!</v>
      </c>
      <c r="U72" s="38"/>
      <c r="V72" s="38"/>
      <c r="W72" s="38" t="e">
        <f>(MODEL!#REF!-MODEL!#REF!)-MODEL!#REF!</f>
        <v>#REF!</v>
      </c>
      <c r="X72" s="38"/>
      <c r="Y72" s="38"/>
      <c r="Z72" s="38" t="e">
        <f>(MODEL!#REF!-MODEL!#REF!)-MODEL!#REF!</f>
        <v>#REF!</v>
      </c>
      <c r="AA72" s="35"/>
      <c r="AB72" s="35"/>
      <c r="AC72" s="38" t="e">
        <f>(MODEL!#REF!-MODEL!#REF!)-MODEL!#REF!</f>
        <v>#REF!</v>
      </c>
      <c r="AD72" s="38"/>
      <c r="AE72" s="38"/>
      <c r="AF72" s="38" t="e">
        <f>(MODEL!#REF!-MODEL!#REF!)-MODEL!#REF!</f>
        <v>#REF!</v>
      </c>
      <c r="AG72" s="38"/>
      <c r="AH72" s="38"/>
      <c r="AI72" s="39" t="e">
        <f>(MODEL!#REF!-MODEL!#REF!)-MODEL!#REF!</f>
        <v>#REF!</v>
      </c>
      <c r="AJ72" s="39"/>
      <c r="AK72" s="39"/>
      <c r="AL72" s="39" t="e">
        <f>(MODEL!#REF!-MODEL!#REF!)-MODEL!#REF!</f>
        <v>#REF!</v>
      </c>
      <c r="AM72" s="39"/>
      <c r="AN72" s="39"/>
      <c r="AO72" s="39" t="e">
        <f>(MODEL!#REF!-MODEL!#REF!)-MODEL!#REF!</f>
        <v>#REF!</v>
      </c>
      <c r="AP72" s="39">
        <f>AM72</f>
        <v>0</v>
      </c>
      <c r="AQ72" s="39"/>
      <c r="AR72" s="38">
        <v>0</v>
      </c>
      <c r="AS72" s="39">
        <f>AP72</f>
        <v>0</v>
      </c>
      <c r="AT72" s="39"/>
      <c r="AU72" s="39">
        <f>AR72</f>
        <v>0</v>
      </c>
      <c r="AV72" s="39">
        <f>AS72</f>
        <v>0</v>
      </c>
      <c r="AW72" s="39"/>
      <c r="AX72" s="39">
        <f>AU72</f>
        <v>0</v>
      </c>
      <c r="AY72" s="39"/>
      <c r="AZ72" s="39"/>
      <c r="BA72" s="39">
        <f>AX72</f>
        <v>0</v>
      </c>
      <c r="BB72" s="39"/>
      <c r="BC72" s="39"/>
      <c r="BD72" s="39">
        <f>BA72</f>
        <v>0</v>
      </c>
      <c r="BE72" s="39"/>
      <c r="BF72" s="39"/>
      <c r="BG72" s="39">
        <f>BD72</f>
        <v>0</v>
      </c>
      <c r="BH72" s="39">
        <f t="shared" ref="BH72:BO72" si="3">BG72</f>
        <v>0</v>
      </c>
      <c r="BI72" s="39">
        <f t="shared" si="3"/>
        <v>0</v>
      </c>
      <c r="BJ72" s="39">
        <f t="shared" si="3"/>
        <v>0</v>
      </c>
      <c r="BK72" s="39">
        <f t="shared" si="3"/>
        <v>0</v>
      </c>
      <c r="BL72" s="39">
        <f t="shared" si="3"/>
        <v>0</v>
      </c>
      <c r="BM72" s="39">
        <f t="shared" si="3"/>
        <v>0</v>
      </c>
      <c r="BN72" s="39">
        <f t="shared" si="3"/>
        <v>0</v>
      </c>
      <c r="BO72" s="39">
        <f t="shared" si="3"/>
        <v>0</v>
      </c>
    </row>
    <row r="73" spans="1:67" s="4" customFormat="1">
      <c r="A73" s="40"/>
      <c r="B73" s="35"/>
      <c r="C73" s="35"/>
      <c r="D73" s="35"/>
      <c r="E73" s="35"/>
      <c r="F73" s="35"/>
      <c r="G73" s="35"/>
      <c r="H73" s="35"/>
      <c r="I73" s="35"/>
      <c r="J73" s="35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5"/>
      <c r="AB73" s="35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4" customFormat="1">
      <c r="A74" s="40" t="s">
        <v>181</v>
      </c>
      <c r="B74" s="35"/>
      <c r="C74" s="35"/>
      <c r="D74" s="35"/>
      <c r="E74" s="35"/>
      <c r="F74" s="35"/>
      <c r="G74" s="35"/>
      <c r="H74" s="35"/>
      <c r="I74" s="35"/>
      <c r="J74" s="35"/>
      <c r="K74" s="39" t="e">
        <f>Divisionals!#REF!</f>
        <v>#REF!</v>
      </c>
      <c r="L74" s="38"/>
      <c r="M74" s="38"/>
      <c r="N74" s="39" t="e">
        <f>Divisionals!#REF!</f>
        <v>#REF!</v>
      </c>
      <c r="O74" s="38"/>
      <c r="P74" s="38"/>
      <c r="Q74" s="39" t="e">
        <f>Divisionals!#REF!</f>
        <v>#REF!</v>
      </c>
      <c r="R74" s="38"/>
      <c r="S74" s="38"/>
      <c r="T74" s="39" t="e">
        <f>Divisionals!#REF!</f>
        <v>#REF!</v>
      </c>
      <c r="U74" s="38"/>
      <c r="V74" s="38"/>
      <c r="W74" s="39" t="e">
        <f>Divisionals!#REF!</f>
        <v>#REF!</v>
      </c>
      <c r="X74" s="38"/>
      <c r="Y74" s="38"/>
      <c r="Z74" s="39" t="e">
        <f>Divisionals!#REF!</f>
        <v>#REF!</v>
      </c>
      <c r="AA74" s="35"/>
      <c r="AB74" s="35"/>
      <c r="AC74" s="39" t="e">
        <f>Divisionals!#REF!</f>
        <v>#REF!</v>
      </c>
      <c r="AD74" s="39"/>
      <c r="AE74" s="39"/>
      <c r="AF74" s="39" t="e">
        <f>Divisionals!#REF!</f>
        <v>#REF!</v>
      </c>
      <c r="AG74" s="39"/>
      <c r="AH74" s="39"/>
      <c r="AI74" s="39" t="e">
        <f>Divisionals!#REF!</f>
        <v>#REF!</v>
      </c>
      <c r="AJ74" s="39"/>
      <c r="AK74" s="39"/>
      <c r="AL74" s="39" t="e">
        <f>Divisionals!#REF!</f>
        <v>#REF!</v>
      </c>
      <c r="AM74" s="39"/>
      <c r="AN74" s="39"/>
      <c r="AO74" s="39" t="e">
        <f>Divisionals!#REF!</f>
        <v>#REF!</v>
      </c>
      <c r="AP74" s="39" t="e">
        <f>Divisionals!#REF!</f>
        <v>#REF!</v>
      </c>
      <c r="AQ74" s="39"/>
      <c r="AR74" s="39" t="e">
        <f>Divisionals!#REF!</f>
        <v>#REF!</v>
      </c>
      <c r="AS74" s="39" t="e">
        <f>Divisionals!#REF!</f>
        <v>#REF!</v>
      </c>
      <c r="AT74" s="39"/>
      <c r="AU74" s="39" t="e">
        <f>Divisionals!#REF!</f>
        <v>#REF!</v>
      </c>
      <c r="AV74" s="39" t="e">
        <f>Divisionals!#REF!</f>
        <v>#REF!</v>
      </c>
      <c r="AW74" s="39"/>
      <c r="AX74" s="39" t="e">
        <f>Divisionals!#REF!</f>
        <v>#REF!</v>
      </c>
      <c r="AY74" s="39"/>
      <c r="AZ74" s="39"/>
      <c r="BA74" s="39" t="e">
        <f>Divisionals!#REF!</f>
        <v>#REF!</v>
      </c>
      <c r="BB74" s="39"/>
      <c r="BC74" s="39"/>
      <c r="BD74" s="39" t="e">
        <f>Divisionals!#REF!</f>
        <v>#REF!</v>
      </c>
      <c r="BE74" s="39"/>
      <c r="BF74" s="39"/>
      <c r="BG74" s="39" t="e">
        <f>Divisionals!#REF!</f>
        <v>#REF!</v>
      </c>
      <c r="BH74" s="39" t="e">
        <f>Divisionals!#REF!</f>
        <v>#REF!</v>
      </c>
      <c r="BI74" s="39" t="e">
        <f>Divisionals!#REF!</f>
        <v>#REF!</v>
      </c>
      <c r="BJ74" s="39" t="e">
        <f>Divisionals!#REF!</f>
        <v>#REF!</v>
      </c>
      <c r="BK74" s="39" t="e">
        <f>Divisionals!#REF!</f>
        <v>#REF!</v>
      </c>
      <c r="BL74" s="39" t="e">
        <f>Divisionals!#REF!</f>
        <v>#REF!</v>
      </c>
      <c r="BM74" s="39" t="e">
        <f>Divisionals!#REF!</f>
        <v>#REF!</v>
      </c>
      <c r="BN74" s="39" t="e">
        <f>Divisionals!#REF!</f>
        <v>#REF!</v>
      </c>
      <c r="BO74" s="39" t="e">
        <f>Divisionals!#REF!</f>
        <v>#REF!</v>
      </c>
    </row>
    <row r="75" spans="1:67" s="4" customFormat="1">
      <c r="A75" s="40" t="s">
        <v>182</v>
      </c>
      <c r="B75" s="35"/>
      <c r="C75" s="35"/>
      <c r="D75" s="35"/>
      <c r="E75" s="35"/>
      <c r="F75" s="35"/>
      <c r="G75" s="35"/>
      <c r="H75" s="35"/>
      <c r="I75" s="35"/>
      <c r="J75" s="35"/>
      <c r="K75" s="39">
        <v>6</v>
      </c>
      <c r="L75" s="38"/>
      <c r="M75" s="38"/>
      <c r="N75" s="39">
        <v>6</v>
      </c>
      <c r="O75" s="38"/>
      <c r="P75" s="38"/>
      <c r="Q75" s="39">
        <v>6</v>
      </c>
      <c r="R75" s="38"/>
      <c r="S75" s="38"/>
      <c r="T75" s="39">
        <v>6</v>
      </c>
      <c r="U75" s="38"/>
      <c r="V75" s="38"/>
      <c r="W75" s="39">
        <v>6</v>
      </c>
      <c r="X75" s="38"/>
      <c r="Y75" s="38"/>
      <c r="Z75" s="39">
        <v>6</v>
      </c>
      <c r="AA75" s="35"/>
      <c r="AB75" s="35"/>
      <c r="AC75" s="39">
        <v>6</v>
      </c>
      <c r="AD75" s="39"/>
      <c r="AE75" s="39"/>
      <c r="AF75" s="39">
        <v>6</v>
      </c>
      <c r="AG75" s="39"/>
      <c r="AH75" s="39"/>
      <c r="AI75" s="39">
        <v>6</v>
      </c>
      <c r="AJ75" s="39"/>
      <c r="AK75" s="39"/>
      <c r="AL75" s="39">
        <v>6</v>
      </c>
      <c r="AM75" s="39"/>
      <c r="AN75" s="39"/>
      <c r="AO75" s="39">
        <v>6</v>
      </c>
      <c r="AP75" s="39">
        <v>6</v>
      </c>
      <c r="AQ75" s="39"/>
      <c r="AR75" s="39">
        <v>6</v>
      </c>
      <c r="AS75" s="39">
        <v>6</v>
      </c>
      <c r="AT75" s="39"/>
      <c r="AU75" s="39">
        <v>6</v>
      </c>
      <c r="AV75" s="39">
        <v>6</v>
      </c>
      <c r="AW75" s="39"/>
      <c r="AX75" s="39">
        <v>6</v>
      </c>
      <c r="AY75" s="39"/>
      <c r="AZ75" s="39"/>
      <c r="BA75" s="39">
        <v>6</v>
      </c>
      <c r="BB75" s="39"/>
      <c r="BC75" s="39"/>
      <c r="BD75" s="39">
        <v>6</v>
      </c>
      <c r="BE75" s="39"/>
      <c r="BF75" s="39"/>
      <c r="BG75" s="39">
        <v>6</v>
      </c>
      <c r="BH75" s="39">
        <v>6</v>
      </c>
      <c r="BI75" s="39">
        <v>6</v>
      </c>
      <c r="BJ75" s="39">
        <v>6</v>
      </c>
      <c r="BK75" s="39">
        <v>6</v>
      </c>
      <c r="BL75" s="39">
        <v>6</v>
      </c>
      <c r="BM75" s="39">
        <v>6</v>
      </c>
      <c r="BN75" s="39">
        <v>6</v>
      </c>
      <c r="BO75" s="39">
        <v>6</v>
      </c>
    </row>
    <row r="76" spans="1:67" s="4" customFormat="1">
      <c r="A76" s="40" t="s">
        <v>183</v>
      </c>
      <c r="B76" s="35"/>
      <c r="C76" s="35"/>
      <c r="D76" s="35"/>
      <c r="E76" s="35"/>
      <c r="F76" s="35"/>
      <c r="G76" s="35"/>
      <c r="H76" s="35"/>
      <c r="I76" s="35"/>
      <c r="J76" s="35"/>
      <c r="K76" s="39" t="e">
        <f>K74*K75</f>
        <v>#REF!</v>
      </c>
      <c r="L76" s="38"/>
      <c r="M76" s="38"/>
      <c r="N76" s="39" t="e">
        <f>N74*N75</f>
        <v>#REF!</v>
      </c>
      <c r="O76" s="38"/>
      <c r="P76" s="38"/>
      <c r="Q76" s="39" t="e">
        <f>Q74*Q75</f>
        <v>#REF!</v>
      </c>
      <c r="R76" s="38"/>
      <c r="S76" s="38"/>
      <c r="T76" s="39" t="e">
        <f>T74*T75</f>
        <v>#REF!</v>
      </c>
      <c r="U76" s="38"/>
      <c r="V76" s="38"/>
      <c r="W76" s="39" t="e">
        <f>W74*W75</f>
        <v>#REF!</v>
      </c>
      <c r="X76" s="38"/>
      <c r="Y76" s="38"/>
      <c r="Z76" s="39" t="e">
        <f>Z74*Z75</f>
        <v>#REF!</v>
      </c>
      <c r="AA76" s="35"/>
      <c r="AB76" s="35"/>
      <c r="AC76" s="39" t="e">
        <f>AC74*AC75</f>
        <v>#REF!</v>
      </c>
      <c r="AD76" s="39"/>
      <c r="AE76" s="39"/>
      <c r="AF76" s="39" t="e">
        <f>AF74*AF75</f>
        <v>#REF!</v>
      </c>
      <c r="AG76" s="39"/>
      <c r="AH76" s="39"/>
      <c r="AI76" s="39" t="e">
        <f>AI74*AI75</f>
        <v>#REF!</v>
      </c>
      <c r="AJ76" s="39"/>
      <c r="AK76" s="39"/>
      <c r="AL76" s="39" t="e">
        <f>AL74*AL75</f>
        <v>#REF!</v>
      </c>
      <c r="AM76" s="39"/>
      <c r="AN76" s="39"/>
      <c r="AO76" s="39" t="e">
        <f>AO74*AO75</f>
        <v>#REF!</v>
      </c>
      <c r="AP76" s="39" t="e">
        <f>AP74*AP75</f>
        <v>#REF!</v>
      </c>
      <c r="AQ76" s="39"/>
      <c r="AR76" s="39" t="e">
        <f>AR74*AR75</f>
        <v>#REF!</v>
      </c>
      <c r="AS76" s="39" t="e">
        <f>AS74*AS75</f>
        <v>#REF!</v>
      </c>
      <c r="AT76" s="39"/>
      <c r="AU76" s="39" t="e">
        <f>AU74*AU75</f>
        <v>#REF!</v>
      </c>
      <c r="AV76" s="39" t="e">
        <f>AV74*AV75</f>
        <v>#REF!</v>
      </c>
      <c r="AW76" s="39"/>
      <c r="AX76" s="39" t="e">
        <f>AX74*AX75</f>
        <v>#REF!</v>
      </c>
      <c r="AY76" s="39"/>
      <c r="AZ76" s="39"/>
      <c r="BA76" s="39" t="e">
        <f>BA74*BA75</f>
        <v>#REF!</v>
      </c>
      <c r="BB76" s="39"/>
      <c r="BC76" s="39"/>
      <c r="BD76" s="39" t="e">
        <f t="shared" ref="BD76:BM76" si="4">BD74*BD75</f>
        <v>#REF!</v>
      </c>
      <c r="BE76" s="39"/>
      <c r="BF76" s="39"/>
      <c r="BG76" s="39" t="e">
        <f t="shared" si="4"/>
        <v>#REF!</v>
      </c>
      <c r="BH76" s="39" t="e">
        <f t="shared" si="4"/>
        <v>#REF!</v>
      </c>
      <c r="BI76" s="39" t="e">
        <f t="shared" si="4"/>
        <v>#REF!</v>
      </c>
      <c r="BJ76" s="39" t="e">
        <f t="shared" si="4"/>
        <v>#REF!</v>
      </c>
      <c r="BK76" s="39" t="e">
        <f t="shared" si="4"/>
        <v>#REF!</v>
      </c>
      <c r="BL76" s="39" t="e">
        <f t="shared" si="4"/>
        <v>#REF!</v>
      </c>
      <c r="BM76" s="39" t="e">
        <f t="shared" si="4"/>
        <v>#REF!</v>
      </c>
      <c r="BN76" s="39" t="e">
        <f>BN74*BN75</f>
        <v>#REF!</v>
      </c>
      <c r="BO76" s="39" t="e">
        <f>BO74*BO75</f>
        <v>#REF!</v>
      </c>
    </row>
    <row r="77" spans="1:67" s="4" customFormat="1">
      <c r="A77" s="40"/>
      <c r="B77" s="35"/>
      <c r="C77" s="35"/>
      <c r="D77" s="35"/>
      <c r="E77" s="35"/>
      <c r="F77" s="35"/>
      <c r="G77" s="35"/>
      <c r="H77" s="35"/>
      <c r="I77" s="35"/>
      <c r="J77" s="35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5"/>
      <c r="AB77" s="35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4" customFormat="1">
      <c r="A78" s="40" t="s">
        <v>169</v>
      </c>
      <c r="B78" s="35"/>
      <c r="C78" s="35"/>
      <c r="D78" s="35"/>
      <c r="E78" s="35"/>
      <c r="F78" s="35"/>
      <c r="G78" s="35"/>
      <c r="H78" s="35"/>
      <c r="I78" s="35"/>
      <c r="J78" s="35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5"/>
      <c r="AB78" s="35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4" customFormat="1">
      <c r="A79" s="40" t="s">
        <v>60</v>
      </c>
      <c r="B79" s="35"/>
      <c r="C79" s="35"/>
      <c r="D79" s="35"/>
      <c r="E79" s="35"/>
      <c r="F79" s="35"/>
      <c r="G79" s="35"/>
      <c r="H79" s="35"/>
      <c r="I79" s="35"/>
      <c r="J79" s="35"/>
      <c r="K79" s="41">
        <f>1-K80</f>
        <v>0.92</v>
      </c>
      <c r="L79" s="41"/>
      <c r="M79" s="41"/>
      <c r="N79" s="41">
        <f>1-N80</f>
        <v>0.92</v>
      </c>
      <c r="O79" s="41"/>
      <c r="P79" s="41"/>
      <c r="Q79" s="41">
        <f>1-Q80</f>
        <v>0.92</v>
      </c>
      <c r="R79" s="41"/>
      <c r="S79" s="41"/>
      <c r="T79" s="41">
        <f>1-T80</f>
        <v>0.92</v>
      </c>
      <c r="U79" s="41"/>
      <c r="V79" s="41"/>
      <c r="W79" s="41">
        <f>1-W80</f>
        <v>0.92</v>
      </c>
      <c r="X79" s="41"/>
      <c r="Y79" s="41"/>
      <c r="Z79" s="41">
        <f>1-Z80</f>
        <v>0.92</v>
      </c>
      <c r="AA79" s="42"/>
      <c r="AB79" s="42"/>
      <c r="AC79" s="41">
        <v>0.94</v>
      </c>
      <c r="AD79" s="41"/>
      <c r="AE79" s="41"/>
      <c r="AF79" s="42">
        <f>1-AF80</f>
        <v>0.96</v>
      </c>
      <c r="AG79" s="42"/>
      <c r="AH79" s="42"/>
      <c r="AI79" s="42">
        <f>1-AI80</f>
        <v>0.94</v>
      </c>
      <c r="AJ79" s="42"/>
      <c r="AK79" s="42"/>
      <c r="AL79" s="42">
        <f>1-AL80</f>
        <v>0.94</v>
      </c>
      <c r="AM79" s="42"/>
      <c r="AN79" s="42"/>
      <c r="AO79" s="42">
        <f>1-AO80</f>
        <v>0.94</v>
      </c>
      <c r="AP79" s="42">
        <f>1-AP80</f>
        <v>1</v>
      </c>
      <c r="AQ79" s="42"/>
      <c r="AR79" s="42">
        <f>1-AR80</f>
        <v>0.94</v>
      </c>
      <c r="AS79" s="42">
        <f>1-AS80</f>
        <v>1</v>
      </c>
      <c r="AT79" s="42"/>
      <c r="AU79" s="42">
        <f>1-AU80</f>
        <v>0.94</v>
      </c>
      <c r="AV79" s="42">
        <f>1-AV80</f>
        <v>1</v>
      </c>
      <c r="AW79" s="42"/>
      <c r="AX79" s="42">
        <f>1-AX80</f>
        <v>0.94</v>
      </c>
      <c r="AY79" s="42"/>
      <c r="AZ79" s="42"/>
      <c r="BA79" s="42">
        <f>1-BA80</f>
        <v>0.94</v>
      </c>
      <c r="BB79" s="42"/>
      <c r="BC79" s="42"/>
      <c r="BD79" s="42">
        <f t="shared" ref="BD79:BO79" si="5">1-BD80</f>
        <v>0.94</v>
      </c>
      <c r="BE79" s="42"/>
      <c r="BF79" s="42"/>
      <c r="BG79" s="42">
        <f t="shared" si="5"/>
        <v>0.94</v>
      </c>
      <c r="BH79" s="42">
        <f t="shared" si="5"/>
        <v>0.94</v>
      </c>
      <c r="BI79" s="42">
        <f t="shared" si="5"/>
        <v>0.94</v>
      </c>
      <c r="BJ79" s="42">
        <f t="shared" si="5"/>
        <v>0.94</v>
      </c>
      <c r="BK79" s="42">
        <f t="shared" si="5"/>
        <v>0.94</v>
      </c>
      <c r="BL79" s="42">
        <f t="shared" si="5"/>
        <v>0.94</v>
      </c>
      <c r="BM79" s="42">
        <f t="shared" si="5"/>
        <v>0.94</v>
      </c>
      <c r="BN79" s="42">
        <f t="shared" si="5"/>
        <v>0.94</v>
      </c>
      <c r="BO79" s="42">
        <f t="shared" si="5"/>
        <v>0.94</v>
      </c>
    </row>
    <row r="80" spans="1:67" s="4" customFormat="1">
      <c r="A80" s="40" t="s">
        <v>61</v>
      </c>
      <c r="B80" s="35"/>
      <c r="C80" s="35"/>
      <c r="D80" s="35"/>
      <c r="E80" s="35"/>
      <c r="F80" s="35"/>
      <c r="G80" s="35"/>
      <c r="H80" s="35"/>
      <c r="I80" s="35"/>
      <c r="J80" s="35"/>
      <c r="K80" s="41">
        <v>0.08</v>
      </c>
      <c r="L80" s="41"/>
      <c r="M80" s="41"/>
      <c r="N80" s="41">
        <v>0.08</v>
      </c>
      <c r="O80" s="41"/>
      <c r="P80" s="41"/>
      <c r="Q80" s="41">
        <v>0.08</v>
      </c>
      <c r="R80" s="41"/>
      <c r="S80" s="41"/>
      <c r="T80" s="41">
        <v>0.08</v>
      </c>
      <c r="U80" s="41"/>
      <c r="V80" s="41"/>
      <c r="W80" s="41">
        <v>0.08</v>
      </c>
      <c r="X80" s="41"/>
      <c r="Y80" s="41"/>
      <c r="Z80" s="41">
        <v>0.08</v>
      </c>
      <c r="AA80" s="42"/>
      <c r="AB80" s="42"/>
      <c r="AC80" s="42">
        <v>0.06</v>
      </c>
      <c r="AD80" s="42"/>
      <c r="AE80" s="42"/>
      <c r="AF80" s="42">
        <v>0.04</v>
      </c>
      <c r="AG80" s="42"/>
      <c r="AH80" s="42"/>
      <c r="AI80" s="42">
        <v>0.06</v>
      </c>
      <c r="AJ80" s="42"/>
      <c r="AK80" s="42"/>
      <c r="AL80" s="42">
        <f>AI80</f>
        <v>0.06</v>
      </c>
      <c r="AM80" s="42"/>
      <c r="AN80" s="42"/>
      <c r="AO80" s="42">
        <f>AL80</f>
        <v>0.06</v>
      </c>
      <c r="AP80" s="42">
        <f>AM80</f>
        <v>0</v>
      </c>
      <c r="AQ80" s="42"/>
      <c r="AR80" s="42">
        <f>AO80</f>
        <v>0.06</v>
      </c>
      <c r="AS80" s="42">
        <f>AP80</f>
        <v>0</v>
      </c>
      <c r="AT80" s="42"/>
      <c r="AU80" s="42">
        <f>AR80</f>
        <v>0.06</v>
      </c>
      <c r="AV80" s="42">
        <f>AS80</f>
        <v>0</v>
      </c>
      <c r="AW80" s="42"/>
      <c r="AX80" s="42">
        <f>AU80</f>
        <v>0.06</v>
      </c>
      <c r="AY80" s="42"/>
      <c r="AZ80" s="42"/>
      <c r="BA80" s="42">
        <f>AX80</f>
        <v>0.06</v>
      </c>
      <c r="BB80" s="42"/>
      <c r="BC80" s="42"/>
      <c r="BD80" s="42">
        <f>BA80</f>
        <v>0.06</v>
      </c>
      <c r="BE80" s="42"/>
      <c r="BF80" s="42"/>
      <c r="BG80" s="42">
        <f>BD80</f>
        <v>0.06</v>
      </c>
      <c r="BH80" s="42">
        <f t="shared" ref="BH80:BO80" si="6">BG80</f>
        <v>0.06</v>
      </c>
      <c r="BI80" s="42">
        <f t="shared" si="6"/>
        <v>0.06</v>
      </c>
      <c r="BJ80" s="42">
        <f t="shared" si="6"/>
        <v>0.06</v>
      </c>
      <c r="BK80" s="42">
        <f t="shared" si="6"/>
        <v>0.06</v>
      </c>
      <c r="BL80" s="42">
        <f t="shared" si="6"/>
        <v>0.06</v>
      </c>
      <c r="BM80" s="42">
        <f t="shared" si="6"/>
        <v>0.06</v>
      </c>
      <c r="BN80" s="42">
        <f t="shared" si="6"/>
        <v>0.06</v>
      </c>
      <c r="BO80" s="42">
        <f t="shared" si="6"/>
        <v>0.06</v>
      </c>
    </row>
    <row r="81" spans="1:67" s="4" customFormat="1">
      <c r="A81" s="40"/>
      <c r="B81" s="35"/>
      <c r="C81" s="35"/>
      <c r="D81" s="35"/>
      <c r="E81" s="35"/>
      <c r="F81" s="35"/>
      <c r="G81" s="35"/>
      <c r="H81" s="35"/>
      <c r="I81" s="35"/>
      <c r="J81" s="35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5"/>
      <c r="AB81" s="35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4" customFormat="1">
      <c r="A82" s="40"/>
      <c r="B82" s="35"/>
      <c r="C82" s="35"/>
      <c r="D82" s="35"/>
      <c r="E82" s="35"/>
      <c r="F82" s="35"/>
      <c r="G82" s="35"/>
      <c r="H82" s="35"/>
      <c r="I82" s="35"/>
      <c r="J82" s="35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5"/>
      <c r="AB82" s="35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4" customFormat="1">
      <c r="A83" s="40"/>
      <c r="B83" s="35"/>
      <c r="C83" s="35"/>
      <c r="D83" s="35"/>
      <c r="E83" s="35"/>
      <c r="F83" s="35"/>
      <c r="G83" s="35"/>
      <c r="H83" s="35"/>
      <c r="I83" s="35"/>
      <c r="J83" s="35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5"/>
      <c r="AB83" s="35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4" customFormat="1">
      <c r="A84" s="40" t="s">
        <v>208</v>
      </c>
      <c r="B84" s="35"/>
      <c r="C84" s="35"/>
      <c r="D84" s="35"/>
      <c r="E84" s="35"/>
      <c r="F84" s="35"/>
      <c r="G84" s="35"/>
      <c r="H84" s="35"/>
      <c r="I84" s="35"/>
      <c r="J84" s="35"/>
      <c r="K84" s="41">
        <v>0</v>
      </c>
      <c r="L84" s="41"/>
      <c r="M84" s="41"/>
      <c r="N84" s="41">
        <v>0</v>
      </c>
      <c r="O84" s="41"/>
      <c r="P84" s="41"/>
      <c r="Q84" s="41">
        <v>0</v>
      </c>
      <c r="R84" s="41"/>
      <c r="S84" s="41"/>
      <c r="T84" s="41">
        <v>0</v>
      </c>
      <c r="U84" s="41"/>
      <c r="V84" s="41"/>
      <c r="W84" s="41">
        <v>0</v>
      </c>
      <c r="X84" s="41"/>
      <c r="Y84" s="41"/>
      <c r="Z84" s="41">
        <v>0</v>
      </c>
      <c r="AA84" s="41"/>
      <c r="AB84" s="41"/>
      <c r="AC84" s="41">
        <v>0</v>
      </c>
      <c r="AD84" s="41"/>
      <c r="AE84" s="41"/>
      <c r="AF84" s="41">
        <v>0</v>
      </c>
      <c r="AG84" s="41">
        <v>0</v>
      </c>
      <c r="AH84" s="41">
        <v>0</v>
      </c>
      <c r="AI84" s="41">
        <v>0</v>
      </c>
      <c r="AJ84" s="41">
        <v>0</v>
      </c>
      <c r="AK84" s="41">
        <v>0</v>
      </c>
      <c r="AL84" s="41">
        <v>0</v>
      </c>
      <c r="AM84" s="41">
        <v>0</v>
      </c>
      <c r="AN84" s="41">
        <v>0</v>
      </c>
      <c r="AO84" s="41">
        <v>0</v>
      </c>
      <c r="AP84" s="43">
        <v>0</v>
      </c>
      <c r="AQ84" s="42"/>
      <c r="AR84" s="41">
        <v>0</v>
      </c>
      <c r="AS84" s="43">
        <v>0</v>
      </c>
      <c r="AT84" s="42"/>
      <c r="AU84" s="43">
        <v>0</v>
      </c>
      <c r="AV84" s="43">
        <v>0</v>
      </c>
      <c r="AW84" s="42"/>
      <c r="AX84" s="43">
        <v>0</v>
      </c>
      <c r="AY84" s="43"/>
      <c r="AZ84" s="43"/>
      <c r="BA84" s="43">
        <v>0</v>
      </c>
      <c r="BB84" s="43"/>
      <c r="BC84" s="43"/>
      <c r="BD84" s="43">
        <v>0</v>
      </c>
      <c r="BE84" s="43"/>
      <c r="BF84" s="43"/>
      <c r="BG84" s="43">
        <v>0</v>
      </c>
      <c r="BH84" s="43">
        <v>0</v>
      </c>
      <c r="BI84" s="43">
        <v>0</v>
      </c>
      <c r="BJ84" s="43">
        <v>0</v>
      </c>
      <c r="BK84" s="43">
        <v>0</v>
      </c>
      <c r="BL84" s="43">
        <v>0</v>
      </c>
      <c r="BM84" s="43">
        <v>0</v>
      </c>
      <c r="BN84" s="43">
        <v>0</v>
      </c>
      <c r="BO84" s="43">
        <v>0</v>
      </c>
    </row>
    <row r="85" spans="1:67" s="4" customFormat="1">
      <c r="A85" s="40" t="s">
        <v>209</v>
      </c>
      <c r="B85" s="35"/>
      <c r="C85" s="35"/>
      <c r="D85" s="35"/>
      <c r="E85" s="35"/>
      <c r="F85" s="35"/>
      <c r="G85" s="35"/>
      <c r="H85" s="35"/>
      <c r="I85" s="35"/>
      <c r="J85" s="35"/>
      <c r="K85" s="41">
        <v>1</v>
      </c>
      <c r="L85" s="41">
        <v>1</v>
      </c>
      <c r="M85" s="41">
        <v>1</v>
      </c>
      <c r="N85" s="41">
        <v>1</v>
      </c>
      <c r="O85" s="41">
        <v>1</v>
      </c>
      <c r="P85" s="41">
        <v>1</v>
      </c>
      <c r="Q85" s="41">
        <v>1</v>
      </c>
      <c r="R85" s="41">
        <v>1</v>
      </c>
      <c r="S85" s="41">
        <v>1</v>
      </c>
      <c r="T85" s="41">
        <v>1</v>
      </c>
      <c r="U85" s="41">
        <v>1</v>
      </c>
      <c r="V85" s="41">
        <v>1</v>
      </c>
      <c r="W85" s="41">
        <v>1</v>
      </c>
      <c r="X85" s="41">
        <v>1</v>
      </c>
      <c r="Y85" s="41">
        <v>1</v>
      </c>
      <c r="Z85" s="41">
        <v>1</v>
      </c>
      <c r="AA85" s="41">
        <v>1</v>
      </c>
      <c r="AB85" s="41">
        <v>1</v>
      </c>
      <c r="AC85" s="41">
        <v>1</v>
      </c>
      <c r="AD85" s="41">
        <v>1</v>
      </c>
      <c r="AE85" s="41">
        <v>1</v>
      </c>
      <c r="AF85" s="41">
        <v>1</v>
      </c>
      <c r="AG85" s="41">
        <v>1</v>
      </c>
      <c r="AH85" s="41">
        <v>1</v>
      </c>
      <c r="AI85" s="41">
        <v>1</v>
      </c>
      <c r="AJ85" s="41">
        <v>1</v>
      </c>
      <c r="AK85" s="41">
        <v>1</v>
      </c>
      <c r="AL85" s="41">
        <v>1</v>
      </c>
      <c r="AM85" s="41">
        <v>1</v>
      </c>
      <c r="AN85" s="41">
        <v>1</v>
      </c>
      <c r="AO85" s="41">
        <v>1</v>
      </c>
      <c r="AP85" s="43">
        <v>1</v>
      </c>
      <c r="AQ85" s="42"/>
      <c r="AR85" s="41">
        <v>1</v>
      </c>
      <c r="AS85" s="43">
        <v>1</v>
      </c>
      <c r="AT85" s="42"/>
      <c r="AU85" s="43">
        <v>1</v>
      </c>
      <c r="AV85" s="43">
        <v>1</v>
      </c>
      <c r="AW85" s="42"/>
      <c r="AX85" s="43">
        <v>1</v>
      </c>
      <c r="AY85" s="43"/>
      <c r="AZ85" s="43"/>
      <c r="BA85" s="43">
        <v>1</v>
      </c>
      <c r="BB85" s="43"/>
      <c r="BC85" s="43"/>
      <c r="BD85" s="43">
        <v>1</v>
      </c>
      <c r="BE85" s="43"/>
      <c r="BF85" s="43"/>
      <c r="BG85" s="43">
        <v>1</v>
      </c>
      <c r="BH85" s="43">
        <v>1</v>
      </c>
      <c r="BI85" s="43">
        <v>1</v>
      </c>
      <c r="BJ85" s="43">
        <v>1</v>
      </c>
      <c r="BK85" s="43">
        <v>1</v>
      </c>
      <c r="BL85" s="43">
        <v>1</v>
      </c>
      <c r="BM85" s="43">
        <v>1</v>
      </c>
      <c r="BN85" s="43">
        <v>1</v>
      </c>
      <c r="BO85" s="43">
        <v>1</v>
      </c>
    </row>
    <row r="86" spans="1:67" s="4" customFormat="1">
      <c r="A86" s="40"/>
      <c r="B86" s="35"/>
      <c r="C86" s="35"/>
      <c r="D86" s="35"/>
      <c r="E86" s="35"/>
      <c r="F86" s="35"/>
      <c r="G86" s="35"/>
      <c r="H86" s="35"/>
      <c r="I86" s="35"/>
      <c r="J86" s="35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5"/>
      <c r="AB86" s="35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8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4" customFormat="1">
      <c r="A87" s="40" t="s">
        <v>210</v>
      </c>
      <c r="B87" s="35"/>
      <c r="C87" s="35"/>
      <c r="D87" s="35"/>
      <c r="E87" s="35"/>
      <c r="F87" s="35"/>
      <c r="G87" s="35"/>
      <c r="H87" s="35"/>
      <c r="I87" s="35"/>
      <c r="J87" s="35"/>
      <c r="K87" s="41">
        <v>0</v>
      </c>
      <c r="L87" s="41"/>
      <c r="M87" s="41"/>
      <c r="N87" s="41">
        <v>0</v>
      </c>
      <c r="O87" s="41"/>
      <c r="P87" s="41"/>
      <c r="Q87" s="41">
        <v>0</v>
      </c>
      <c r="R87" s="41"/>
      <c r="S87" s="41"/>
      <c r="T87" s="41">
        <v>0</v>
      </c>
      <c r="U87" s="41"/>
      <c r="V87" s="41"/>
      <c r="W87" s="41">
        <v>0</v>
      </c>
      <c r="X87" s="41"/>
      <c r="Y87" s="41"/>
      <c r="Z87" s="41">
        <v>0</v>
      </c>
      <c r="AA87" s="41"/>
      <c r="AB87" s="41"/>
      <c r="AC87" s="41">
        <v>0</v>
      </c>
      <c r="AD87" s="41"/>
      <c r="AE87" s="41"/>
      <c r="AF87" s="41">
        <v>0</v>
      </c>
      <c r="AG87" s="41">
        <v>0</v>
      </c>
      <c r="AH87" s="41">
        <v>0</v>
      </c>
      <c r="AI87" s="41">
        <v>0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41">
        <v>0</v>
      </c>
      <c r="AP87" s="43">
        <v>0</v>
      </c>
      <c r="AQ87" s="42"/>
      <c r="AR87" s="41">
        <v>0</v>
      </c>
      <c r="AS87" s="43">
        <v>0</v>
      </c>
      <c r="AT87" s="42"/>
      <c r="AU87" s="43">
        <v>0</v>
      </c>
      <c r="AV87" s="43">
        <v>0</v>
      </c>
      <c r="AW87" s="42"/>
      <c r="AX87" s="43">
        <v>0</v>
      </c>
      <c r="AY87" s="43"/>
      <c r="AZ87" s="43"/>
      <c r="BA87" s="43">
        <v>0</v>
      </c>
      <c r="BB87" s="43"/>
      <c r="BC87" s="43"/>
      <c r="BD87" s="43">
        <v>0</v>
      </c>
      <c r="BE87" s="43"/>
      <c r="BF87" s="43"/>
      <c r="BG87" s="43">
        <v>0</v>
      </c>
      <c r="BH87" s="43">
        <v>0</v>
      </c>
      <c r="BI87" s="43">
        <v>0</v>
      </c>
      <c r="BJ87" s="43">
        <v>0</v>
      </c>
      <c r="BK87" s="43">
        <v>0</v>
      </c>
      <c r="BL87" s="43">
        <v>0</v>
      </c>
      <c r="BM87" s="43">
        <v>0</v>
      </c>
      <c r="BN87" s="43">
        <v>0</v>
      </c>
      <c r="BO87" s="43">
        <v>0</v>
      </c>
    </row>
    <row r="88" spans="1:67" s="4" customFormat="1">
      <c r="A88" s="40" t="s">
        <v>211</v>
      </c>
      <c r="B88" s="35"/>
      <c r="C88" s="35"/>
      <c r="D88" s="35"/>
      <c r="E88" s="35"/>
      <c r="F88" s="35"/>
      <c r="G88" s="35"/>
      <c r="H88" s="35"/>
      <c r="I88" s="35"/>
      <c r="J88" s="35"/>
      <c r="K88" s="41">
        <v>1</v>
      </c>
      <c r="L88" s="41">
        <v>1</v>
      </c>
      <c r="M88" s="41">
        <v>1</v>
      </c>
      <c r="N88" s="41">
        <v>1</v>
      </c>
      <c r="O88" s="41">
        <v>1</v>
      </c>
      <c r="P88" s="41">
        <v>1</v>
      </c>
      <c r="Q88" s="41">
        <v>1</v>
      </c>
      <c r="R88" s="41">
        <v>1</v>
      </c>
      <c r="S88" s="41">
        <v>1</v>
      </c>
      <c r="T88" s="41">
        <v>1</v>
      </c>
      <c r="U88" s="41">
        <v>1</v>
      </c>
      <c r="V88" s="41">
        <v>1</v>
      </c>
      <c r="W88" s="41">
        <v>1</v>
      </c>
      <c r="X88" s="41">
        <v>1</v>
      </c>
      <c r="Y88" s="41">
        <v>1</v>
      </c>
      <c r="Z88" s="41">
        <v>1</v>
      </c>
      <c r="AA88" s="41">
        <v>1</v>
      </c>
      <c r="AB88" s="41">
        <v>1</v>
      </c>
      <c r="AC88" s="41">
        <v>1</v>
      </c>
      <c r="AD88" s="41">
        <v>1</v>
      </c>
      <c r="AE88" s="41">
        <v>1</v>
      </c>
      <c r="AF88" s="41">
        <v>1</v>
      </c>
      <c r="AG88" s="41">
        <v>1</v>
      </c>
      <c r="AH88" s="41">
        <v>1</v>
      </c>
      <c r="AI88" s="41">
        <v>1</v>
      </c>
      <c r="AJ88" s="41">
        <v>1</v>
      </c>
      <c r="AK88" s="41">
        <v>1</v>
      </c>
      <c r="AL88" s="41">
        <v>1</v>
      </c>
      <c r="AM88" s="41">
        <v>1</v>
      </c>
      <c r="AN88" s="41">
        <v>1</v>
      </c>
      <c r="AO88" s="41">
        <v>1</v>
      </c>
      <c r="AP88" s="43">
        <v>1</v>
      </c>
      <c r="AQ88" s="42"/>
      <c r="AR88" s="41">
        <v>1</v>
      </c>
      <c r="AS88" s="43">
        <v>1</v>
      </c>
      <c r="AT88" s="42"/>
      <c r="AU88" s="43">
        <v>1</v>
      </c>
      <c r="AV88" s="43">
        <v>1</v>
      </c>
      <c r="AW88" s="42"/>
      <c r="AX88" s="43">
        <v>1</v>
      </c>
      <c r="AY88" s="43"/>
      <c r="AZ88" s="43"/>
      <c r="BA88" s="43">
        <v>1</v>
      </c>
      <c r="BB88" s="43"/>
      <c r="BC88" s="43"/>
      <c r="BD88" s="43">
        <v>1</v>
      </c>
      <c r="BE88" s="43"/>
      <c r="BF88" s="43"/>
      <c r="BG88" s="43">
        <v>1</v>
      </c>
      <c r="BH88" s="43">
        <v>1</v>
      </c>
      <c r="BI88" s="43">
        <v>1</v>
      </c>
      <c r="BJ88" s="43">
        <v>1</v>
      </c>
      <c r="BK88" s="43">
        <v>1</v>
      </c>
      <c r="BL88" s="43">
        <v>1</v>
      </c>
      <c r="BM88" s="43">
        <v>1</v>
      </c>
      <c r="BN88" s="43">
        <v>1</v>
      </c>
      <c r="BO88" s="43">
        <v>1</v>
      </c>
    </row>
    <row r="89" spans="1:67" s="4" customFormat="1">
      <c r="A89" s="40"/>
      <c r="B89" s="35"/>
      <c r="C89" s="35"/>
      <c r="D89" s="35"/>
      <c r="E89" s="35"/>
      <c r="F89" s="35"/>
      <c r="G89" s="35"/>
      <c r="H89" s="35"/>
      <c r="I89" s="35"/>
      <c r="J89" s="35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5"/>
      <c r="AB89" s="35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8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4" customFormat="1">
      <c r="A90" s="40" t="s">
        <v>212</v>
      </c>
      <c r="B90" s="35"/>
      <c r="C90" s="35"/>
      <c r="D90" s="35"/>
      <c r="E90" s="35"/>
      <c r="F90" s="35"/>
      <c r="G90" s="35"/>
      <c r="H90" s="35"/>
      <c r="I90" s="35"/>
      <c r="J90" s="35"/>
      <c r="K90" s="38">
        <v>0</v>
      </c>
      <c r="L90" s="38"/>
      <c r="M90" s="38"/>
      <c r="N90" s="38">
        <v>0</v>
      </c>
      <c r="O90" s="38"/>
      <c r="P90" s="38"/>
      <c r="Q90" s="38">
        <v>0</v>
      </c>
      <c r="R90" s="38"/>
      <c r="S90" s="38"/>
      <c r="T90" s="38">
        <v>0</v>
      </c>
      <c r="U90" s="38"/>
      <c r="V90" s="38"/>
      <c r="W90" s="38">
        <v>0</v>
      </c>
      <c r="X90" s="38"/>
      <c r="Y90" s="38"/>
      <c r="Z90" s="38">
        <v>0</v>
      </c>
      <c r="AA90" s="44"/>
      <c r="AB90" s="44"/>
      <c r="AC90" s="38">
        <v>0</v>
      </c>
      <c r="AD90" s="38"/>
      <c r="AE90" s="38"/>
      <c r="AF90" s="38">
        <v>0</v>
      </c>
      <c r="AG90" s="38">
        <v>0</v>
      </c>
      <c r="AH90" s="38">
        <v>0</v>
      </c>
      <c r="AI90" s="38">
        <v>0</v>
      </c>
      <c r="AJ90" s="38">
        <v>0</v>
      </c>
      <c r="AK90" s="38">
        <v>0</v>
      </c>
      <c r="AL90" s="38">
        <v>0</v>
      </c>
      <c r="AM90" s="38">
        <v>0</v>
      </c>
      <c r="AN90" s="38">
        <v>0</v>
      </c>
      <c r="AO90" s="38">
        <v>0</v>
      </c>
      <c r="AP90" s="45">
        <v>0</v>
      </c>
      <c r="AQ90" s="45"/>
      <c r="AR90" s="38">
        <v>0</v>
      </c>
      <c r="AS90" s="45">
        <v>0</v>
      </c>
      <c r="AT90" s="45"/>
      <c r="AU90" s="45">
        <v>0</v>
      </c>
      <c r="AV90" s="45">
        <v>0</v>
      </c>
      <c r="AW90" s="45"/>
      <c r="AX90" s="45">
        <v>0</v>
      </c>
      <c r="AY90" s="45"/>
      <c r="AZ90" s="45"/>
      <c r="BA90" s="45">
        <v>0</v>
      </c>
      <c r="BB90" s="45"/>
      <c r="BC90" s="45"/>
      <c r="BD90" s="45">
        <v>0</v>
      </c>
      <c r="BE90" s="45"/>
      <c r="BF90" s="45"/>
      <c r="BG90" s="45">
        <v>0</v>
      </c>
      <c r="BH90" s="45">
        <v>0</v>
      </c>
      <c r="BI90" s="45">
        <v>0</v>
      </c>
      <c r="BJ90" s="45">
        <v>0</v>
      </c>
      <c r="BK90" s="45">
        <v>0</v>
      </c>
      <c r="BL90" s="45">
        <v>0</v>
      </c>
      <c r="BM90" s="45">
        <v>0</v>
      </c>
      <c r="BN90" s="45">
        <v>0</v>
      </c>
      <c r="BO90" s="45">
        <v>0</v>
      </c>
    </row>
    <row r="91" spans="1:67" s="4" customFormat="1">
      <c r="A91" s="40" t="s">
        <v>213</v>
      </c>
      <c r="B91" s="35"/>
      <c r="C91" s="35"/>
      <c r="D91" s="35"/>
      <c r="E91" s="35"/>
      <c r="F91" s="35"/>
      <c r="G91" s="35"/>
      <c r="H91" s="35"/>
      <c r="I91" s="35"/>
      <c r="J91" s="35"/>
      <c r="K91" s="41">
        <v>0</v>
      </c>
      <c r="L91" s="41"/>
      <c r="M91" s="41"/>
      <c r="N91" s="41">
        <v>0</v>
      </c>
      <c r="O91" s="41">
        <v>0</v>
      </c>
      <c r="P91" s="41">
        <v>0</v>
      </c>
      <c r="Q91" s="41">
        <v>0</v>
      </c>
      <c r="R91" s="41">
        <v>0</v>
      </c>
      <c r="S91" s="41">
        <v>0</v>
      </c>
      <c r="T91" s="41">
        <v>0</v>
      </c>
      <c r="U91" s="41">
        <v>0</v>
      </c>
      <c r="V91" s="41">
        <v>0</v>
      </c>
      <c r="W91" s="41">
        <v>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41">
        <v>0</v>
      </c>
      <c r="AD91" s="41">
        <v>0</v>
      </c>
      <c r="AE91" s="41">
        <v>0</v>
      </c>
      <c r="AF91" s="41">
        <v>0</v>
      </c>
      <c r="AG91" s="41">
        <v>0</v>
      </c>
      <c r="AH91" s="41">
        <v>0</v>
      </c>
      <c r="AI91" s="41">
        <v>0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41">
        <v>0</v>
      </c>
      <c r="AP91" s="43">
        <v>0</v>
      </c>
      <c r="AQ91" s="43"/>
      <c r="AR91" s="41">
        <v>0</v>
      </c>
      <c r="AS91" s="43">
        <v>0</v>
      </c>
      <c r="AT91" s="43"/>
      <c r="AU91" s="43">
        <v>0</v>
      </c>
      <c r="AV91" s="43">
        <v>0</v>
      </c>
      <c r="AW91" s="43"/>
      <c r="AX91" s="43">
        <v>0</v>
      </c>
      <c r="AY91" s="43"/>
      <c r="AZ91" s="43"/>
      <c r="BA91" s="43">
        <v>0</v>
      </c>
      <c r="BB91" s="43"/>
      <c r="BC91" s="43"/>
      <c r="BD91" s="43">
        <v>0</v>
      </c>
      <c r="BE91" s="43"/>
      <c r="BF91" s="43"/>
      <c r="BG91" s="43">
        <v>0</v>
      </c>
      <c r="BH91" s="43">
        <v>0</v>
      </c>
      <c r="BI91" s="43">
        <v>0</v>
      </c>
      <c r="BJ91" s="43">
        <v>0</v>
      </c>
      <c r="BK91" s="43">
        <v>0</v>
      </c>
      <c r="BL91" s="43">
        <v>0</v>
      </c>
      <c r="BM91" s="43">
        <v>0</v>
      </c>
      <c r="BN91" s="43">
        <v>0</v>
      </c>
      <c r="BO91" s="43">
        <v>0</v>
      </c>
    </row>
    <row r="92" spans="1:67" s="4" customFormat="1">
      <c r="A92" s="40" t="s">
        <v>214</v>
      </c>
      <c r="B92" s="35"/>
      <c r="C92" s="35"/>
      <c r="D92" s="35"/>
      <c r="E92" s="35"/>
      <c r="F92" s="35"/>
      <c r="G92" s="35"/>
      <c r="H92" s="35"/>
      <c r="I92" s="35"/>
      <c r="J92" s="35"/>
      <c r="K92" s="41">
        <v>1</v>
      </c>
      <c r="L92" s="41">
        <v>1</v>
      </c>
      <c r="M92" s="41">
        <v>1</v>
      </c>
      <c r="N92" s="41">
        <v>1</v>
      </c>
      <c r="O92" s="41">
        <v>1</v>
      </c>
      <c r="P92" s="41">
        <v>1</v>
      </c>
      <c r="Q92" s="41">
        <v>1</v>
      </c>
      <c r="R92" s="41">
        <v>1</v>
      </c>
      <c r="S92" s="41">
        <v>1</v>
      </c>
      <c r="T92" s="41">
        <v>1</v>
      </c>
      <c r="U92" s="41">
        <v>1</v>
      </c>
      <c r="V92" s="41">
        <v>1</v>
      </c>
      <c r="W92" s="41">
        <v>1</v>
      </c>
      <c r="X92" s="41">
        <v>1</v>
      </c>
      <c r="Y92" s="41">
        <v>1</v>
      </c>
      <c r="Z92" s="41">
        <v>1</v>
      </c>
      <c r="AA92" s="41">
        <v>1</v>
      </c>
      <c r="AB92" s="41">
        <v>1</v>
      </c>
      <c r="AC92" s="41">
        <v>1</v>
      </c>
      <c r="AD92" s="41">
        <v>1</v>
      </c>
      <c r="AE92" s="41">
        <v>1</v>
      </c>
      <c r="AF92" s="41">
        <v>1</v>
      </c>
      <c r="AG92" s="41">
        <v>1</v>
      </c>
      <c r="AH92" s="41">
        <v>1</v>
      </c>
      <c r="AI92" s="41">
        <v>1</v>
      </c>
      <c r="AJ92" s="41">
        <v>1</v>
      </c>
      <c r="AK92" s="41">
        <v>1</v>
      </c>
      <c r="AL92" s="41">
        <v>1</v>
      </c>
      <c r="AM92" s="41">
        <v>1</v>
      </c>
      <c r="AN92" s="41">
        <v>1</v>
      </c>
      <c r="AO92" s="41">
        <v>1</v>
      </c>
      <c r="AP92" s="43">
        <v>1</v>
      </c>
      <c r="AQ92" s="43"/>
      <c r="AR92" s="41">
        <v>1</v>
      </c>
      <c r="AS92" s="43">
        <v>1</v>
      </c>
      <c r="AT92" s="43"/>
      <c r="AU92" s="43">
        <v>1</v>
      </c>
      <c r="AV92" s="43">
        <v>1</v>
      </c>
      <c r="AW92" s="43"/>
      <c r="AX92" s="43">
        <v>1</v>
      </c>
      <c r="AY92" s="43"/>
      <c r="AZ92" s="43"/>
      <c r="BA92" s="43">
        <v>1</v>
      </c>
      <c r="BB92" s="43"/>
      <c r="BC92" s="43"/>
      <c r="BD92" s="43">
        <v>1</v>
      </c>
      <c r="BE92" s="43"/>
      <c r="BF92" s="43"/>
      <c r="BG92" s="43">
        <v>1</v>
      </c>
      <c r="BH92" s="43">
        <v>1</v>
      </c>
      <c r="BI92" s="43">
        <v>1</v>
      </c>
      <c r="BJ92" s="43">
        <v>1</v>
      </c>
      <c r="BK92" s="43">
        <v>1</v>
      </c>
      <c r="BL92" s="43">
        <v>1</v>
      </c>
      <c r="BM92" s="43">
        <v>1</v>
      </c>
      <c r="BN92" s="43">
        <v>1</v>
      </c>
      <c r="BO92" s="43">
        <v>1</v>
      </c>
    </row>
    <row r="93" spans="1:67" s="4" customFormat="1">
      <c r="A93" s="40" t="s">
        <v>215</v>
      </c>
      <c r="B93" s="35"/>
      <c r="C93" s="35"/>
      <c r="D93" s="35"/>
      <c r="E93" s="35"/>
      <c r="F93" s="35"/>
      <c r="G93" s="35"/>
      <c r="H93" s="35"/>
      <c r="I93" s="35"/>
      <c r="J93" s="35"/>
      <c r="K93" s="41">
        <v>0</v>
      </c>
      <c r="L93" s="41"/>
      <c r="M93" s="41"/>
      <c r="N93" s="41">
        <v>0</v>
      </c>
      <c r="O93" s="41">
        <v>0</v>
      </c>
      <c r="P93" s="41">
        <v>0</v>
      </c>
      <c r="Q93" s="41">
        <v>0</v>
      </c>
      <c r="R93" s="41">
        <v>0</v>
      </c>
      <c r="S93" s="41">
        <v>0</v>
      </c>
      <c r="T93" s="41">
        <v>0</v>
      </c>
      <c r="U93" s="41">
        <v>0</v>
      </c>
      <c r="V93" s="41">
        <v>0</v>
      </c>
      <c r="W93" s="41">
        <v>0</v>
      </c>
      <c r="X93" s="41">
        <v>0</v>
      </c>
      <c r="Y93" s="41">
        <v>0</v>
      </c>
      <c r="Z93" s="41">
        <v>0</v>
      </c>
      <c r="AA93" s="41">
        <v>0</v>
      </c>
      <c r="AB93" s="41">
        <v>0</v>
      </c>
      <c r="AC93" s="41">
        <v>0</v>
      </c>
      <c r="AD93" s="41">
        <v>0</v>
      </c>
      <c r="AE93" s="41">
        <v>0</v>
      </c>
      <c r="AF93" s="41">
        <v>0</v>
      </c>
      <c r="AG93" s="41">
        <v>0</v>
      </c>
      <c r="AH93" s="41">
        <v>0</v>
      </c>
      <c r="AI93" s="41">
        <v>0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41">
        <v>0</v>
      </c>
      <c r="AP93" s="43">
        <v>0</v>
      </c>
      <c r="AQ93" s="43"/>
      <c r="AR93" s="41">
        <v>0</v>
      </c>
      <c r="AS93" s="43">
        <v>0</v>
      </c>
      <c r="AT93" s="43"/>
      <c r="AU93" s="43">
        <v>0</v>
      </c>
      <c r="AV93" s="43">
        <v>0</v>
      </c>
      <c r="AW93" s="43"/>
      <c r="AX93" s="43">
        <v>0</v>
      </c>
      <c r="AY93" s="43"/>
      <c r="AZ93" s="43"/>
      <c r="BA93" s="43">
        <v>0</v>
      </c>
      <c r="BB93" s="43"/>
      <c r="BC93" s="43"/>
      <c r="BD93" s="43">
        <v>0</v>
      </c>
      <c r="BE93" s="43"/>
      <c r="BF93" s="43"/>
      <c r="BG93" s="43">
        <v>0</v>
      </c>
      <c r="BH93" s="43">
        <v>0</v>
      </c>
      <c r="BI93" s="43">
        <v>0</v>
      </c>
      <c r="BJ93" s="43">
        <v>0</v>
      </c>
      <c r="BK93" s="43">
        <v>0</v>
      </c>
      <c r="BL93" s="43">
        <v>0</v>
      </c>
      <c r="BM93" s="43">
        <v>0</v>
      </c>
      <c r="BN93" s="43">
        <v>0</v>
      </c>
      <c r="BO93" s="43">
        <v>0</v>
      </c>
    </row>
    <row r="94" spans="1:67" s="4" customFormat="1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</row>
  </sheetData>
  <conditionalFormatting sqref="AX1:BG1 B1:AO1 AR1:AV1">
    <cfRule type="cellIs" dxfId="7" priority="13" stopIfTrue="1" operator="equal">
      <formula>"Balance"</formula>
    </cfRule>
    <cfRule type="cellIs" dxfId="6" priority="14" stopIfTrue="1" operator="equal">
      <formula>"Error"</formula>
    </cfRule>
  </conditionalFormatting>
  <conditionalFormatting sqref="AQ1">
    <cfRule type="cellIs" dxfId="5" priority="11" stopIfTrue="1" operator="equal">
      <formula>"Balance"</formula>
    </cfRule>
    <cfRule type="cellIs" dxfId="4" priority="12" stopIfTrue="1" operator="equal">
      <formula>"Error"</formula>
    </cfRule>
  </conditionalFormatting>
  <conditionalFormatting sqref="AP1">
    <cfRule type="cellIs" dxfId="3" priority="9" stopIfTrue="1" operator="equal">
      <formula>"Balance"</formula>
    </cfRule>
    <cfRule type="cellIs" dxfId="2" priority="10" stopIfTrue="1" operator="equal">
      <formula>"Error"</formula>
    </cfRule>
  </conditionalFormatting>
  <conditionalFormatting sqref="AW1">
    <cfRule type="cellIs" dxfId="1" priority="3" stopIfTrue="1" operator="equal">
      <formula>"Balance"</formula>
    </cfRule>
    <cfRule type="cellIs" dxfId="0" priority="4" stopIfTrue="1" operator="equal">
      <formula>"Error"</formula>
    </cfRule>
  </conditionalFormatting>
  <pageMargins left="0.7" right="0.7" top="0.75" bottom="0.75" header="0.3" footer="0.3"/>
  <pageSetup paperSize="0" orientation="portrait" r:id="rId1"/>
  <customProperties>
    <customPr name="Qube.Worksheet.Visibility" r:id="rId2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P24"/>
  <sheetViews>
    <sheetView workbookViewId="0"/>
  </sheetViews>
  <sheetFormatPr defaultColWidth="9.140625" defaultRowHeight="12.75"/>
  <cols>
    <col min="1" max="1" width="9.140625" style="4"/>
    <col min="2" max="2" width="19.28515625" style="4" bestFit="1" customWidth="1"/>
    <col min="3" max="16384" width="9.140625" style="4"/>
  </cols>
  <sheetData>
    <row r="1" spans="1:16">
      <c r="C1" s="4" t="e">
        <f>D1-3</f>
        <v>#REF!</v>
      </c>
      <c r="D1" s="4" t="e">
        <f>E1-3</f>
        <v>#REF!</v>
      </c>
      <c r="E1" s="4" t="e">
        <f>F1-3</f>
        <v>#REF!</v>
      </c>
      <c r="F1" s="4" t="e">
        <f>G1-3</f>
        <v>#REF!</v>
      </c>
      <c r="G1" s="4" t="e">
        <f>COLUMN(MODEL!#REF!)</f>
        <v>#REF!</v>
      </c>
      <c r="H1" s="4" t="e">
        <f>COLUMN(MODEL!#REF!)</f>
        <v>#REF!</v>
      </c>
      <c r="I1" s="4" t="e">
        <f>COLUMN(MODEL!#REF!)</f>
        <v>#REF!</v>
      </c>
      <c r="J1" s="4">
        <f>COLUMN(MODEL!E3)</f>
        <v>5</v>
      </c>
      <c r="K1" s="4">
        <f>COLUMN(MODEL!H3)</f>
        <v>8</v>
      </c>
      <c r="L1" s="4">
        <f>COLUMN(MODEL!K3)</f>
        <v>11</v>
      </c>
      <c r="M1" s="4">
        <f>COLUMN(MODEL!N3)</f>
        <v>14</v>
      </c>
      <c r="N1" s="4">
        <f>COLUMN(MODEL!Q3)</f>
        <v>17</v>
      </c>
      <c r="O1" s="4">
        <f>COLUMN(MODEL!T3)</f>
        <v>20</v>
      </c>
      <c r="P1" s="4">
        <f>COLUMN(MODEL!W3)</f>
        <v>23</v>
      </c>
    </row>
    <row r="2" spans="1:16">
      <c r="A2" s="4">
        <f>ROW(MODEL!B124)</f>
        <v>124</v>
      </c>
      <c r="C2" s="4" t="s">
        <v>385</v>
      </c>
      <c r="D2" s="4" t="s">
        <v>386</v>
      </c>
      <c r="E2" s="4" t="s">
        <v>387</v>
      </c>
      <c r="F2" s="4" t="s">
        <v>384</v>
      </c>
      <c r="G2" s="4" t="s">
        <v>357</v>
      </c>
      <c r="H2" s="4" t="s">
        <v>358</v>
      </c>
      <c r="I2" s="4" t="s">
        <v>359</v>
      </c>
      <c r="J2" s="4" t="s">
        <v>360</v>
      </c>
      <c r="K2" s="4" t="s">
        <v>361</v>
      </c>
      <c r="L2" s="4" t="s">
        <v>409</v>
      </c>
      <c r="M2" s="4" t="s">
        <v>410</v>
      </c>
      <c r="N2" s="4" t="s">
        <v>362</v>
      </c>
      <c r="O2" s="4" t="s">
        <v>587</v>
      </c>
      <c r="P2" s="4" t="s">
        <v>673</v>
      </c>
    </row>
    <row r="3" spans="1:16">
      <c r="A3" s="4">
        <f>ROW(MODEL!B111)</f>
        <v>111</v>
      </c>
      <c r="B3" s="79" t="s">
        <v>350</v>
      </c>
      <c r="C3" s="16" t="e">
        <f t="shared" ref="C3:L3" si="0">INDEX(Model,$A3,C$1)</f>
        <v>#REF!</v>
      </c>
      <c r="D3" s="16" t="e">
        <f t="shared" si="0"/>
        <v>#REF!</v>
      </c>
      <c r="E3" s="16" t="e">
        <f t="shared" si="0"/>
        <v>#REF!</v>
      </c>
      <c r="F3" s="16" t="e">
        <f t="shared" si="0"/>
        <v>#REF!</v>
      </c>
      <c r="G3" s="4" t="e">
        <f t="shared" si="0"/>
        <v>#REF!</v>
      </c>
      <c r="H3" s="4" t="e">
        <f t="shared" si="0"/>
        <v>#REF!</v>
      </c>
      <c r="I3" s="4" t="e">
        <f t="shared" si="0"/>
        <v>#REF!</v>
      </c>
      <c r="J3" s="4">
        <f t="shared" si="0"/>
        <v>217.5</v>
      </c>
      <c r="K3" s="4">
        <f t="shared" si="0"/>
        <v>290.29999999999995</v>
      </c>
      <c r="L3" s="16">
        <f t="shared" si="0"/>
        <v>224.9</v>
      </c>
      <c r="M3" s="16">
        <f>INDEX(Model,$A3,M$1)+INDEX(Model,$A2,M$1)</f>
        <v>385.09999999999997</v>
      </c>
      <c r="N3" s="16">
        <f>INDEX(Model,$A3,N$1)+INDEX(Model,$A2,N$1)</f>
        <v>370</v>
      </c>
      <c r="O3" s="16">
        <f>INDEX(Model,$A3,O$1)+INDEX(Model,$A2,O$1)</f>
        <v>80.799999999999955</v>
      </c>
      <c r="P3" s="16">
        <f>INDEX(Model,$A3,P$1)+INDEX(Model,$A2,P$1)</f>
        <v>459.8</v>
      </c>
    </row>
    <row r="4" spans="1:16">
      <c r="A4" s="4">
        <f>ROW(MODEL!B113)</f>
        <v>113</v>
      </c>
      <c r="B4" s="79" t="s">
        <v>351</v>
      </c>
      <c r="C4" s="16" t="e">
        <f t="shared" ref="C4:P4" si="1">INDEX(Model,$A4,C$1)+INDEX(Model,$A5,C$1)</f>
        <v>#REF!</v>
      </c>
      <c r="D4" s="16" t="e">
        <f t="shared" si="1"/>
        <v>#REF!</v>
      </c>
      <c r="E4" s="16" t="e">
        <f t="shared" si="1"/>
        <v>#REF!</v>
      </c>
      <c r="F4" s="16" t="e">
        <f t="shared" si="1"/>
        <v>#REF!</v>
      </c>
      <c r="G4" s="4" t="e">
        <f t="shared" si="1"/>
        <v>#REF!</v>
      </c>
      <c r="H4" s="4" t="e">
        <f t="shared" si="1"/>
        <v>#REF!</v>
      </c>
      <c r="I4" s="4" t="e">
        <f t="shared" si="1"/>
        <v>#REF!</v>
      </c>
      <c r="J4" s="4">
        <f t="shared" si="1"/>
        <v>-102.1</v>
      </c>
      <c r="K4" s="4">
        <f t="shared" si="1"/>
        <v>-107.1</v>
      </c>
      <c r="L4" s="16">
        <f t="shared" si="1"/>
        <v>-89.800000000000011</v>
      </c>
      <c r="M4" s="16">
        <f t="shared" si="1"/>
        <v>-67.8</v>
      </c>
      <c r="N4" s="16">
        <f t="shared" si="1"/>
        <v>-85</v>
      </c>
      <c r="O4" s="16">
        <f t="shared" si="1"/>
        <v>-125</v>
      </c>
      <c r="P4" s="16">
        <f t="shared" si="1"/>
        <v>-108.5</v>
      </c>
    </row>
    <row r="5" spans="1:16">
      <c r="A5" s="4">
        <f>ROW(MODEL!B114)</f>
        <v>114</v>
      </c>
      <c r="B5" s="80" t="s">
        <v>258</v>
      </c>
      <c r="C5" s="16" t="e">
        <f>C3+C4</f>
        <v>#REF!</v>
      </c>
      <c r="D5" s="16" t="e">
        <f>D3+D4</f>
        <v>#REF!</v>
      </c>
      <c r="E5" s="16" t="e">
        <f>E3+E4</f>
        <v>#REF!</v>
      </c>
      <c r="F5" s="16" t="e">
        <f>F3+F4</f>
        <v>#REF!</v>
      </c>
      <c r="G5" s="4" t="e">
        <f>G3+G4</f>
        <v>#REF!</v>
      </c>
      <c r="H5" s="4" t="e">
        <f t="shared" ref="H5:N5" si="2">H3+H4</f>
        <v>#REF!</v>
      </c>
      <c r="I5" s="4" t="e">
        <f t="shared" si="2"/>
        <v>#REF!</v>
      </c>
      <c r="J5" s="4">
        <f t="shared" si="2"/>
        <v>115.4</v>
      </c>
      <c r="K5" s="4">
        <f t="shared" si="2"/>
        <v>183.19999999999996</v>
      </c>
      <c r="L5" s="16">
        <f t="shared" si="2"/>
        <v>135.1</v>
      </c>
      <c r="M5" s="16">
        <f t="shared" si="2"/>
        <v>317.29999999999995</v>
      </c>
      <c r="N5" s="16">
        <f t="shared" si="2"/>
        <v>285</v>
      </c>
      <c r="O5" s="16">
        <f>O3+O4</f>
        <v>-44.200000000000045</v>
      </c>
      <c r="P5" s="16">
        <f>P3+P4</f>
        <v>351.3</v>
      </c>
    </row>
    <row r="6" spans="1:16">
      <c r="A6" s="4">
        <f>ROW(MODEL!B115)</f>
        <v>115</v>
      </c>
      <c r="B6" s="79" t="s">
        <v>110</v>
      </c>
      <c r="C6" s="16" t="e">
        <f t="shared" ref="C6:P6" si="3">INDEX(Model,$A6,C$1)</f>
        <v>#REF!</v>
      </c>
      <c r="D6" s="16" t="e">
        <f t="shared" si="3"/>
        <v>#REF!</v>
      </c>
      <c r="E6" s="16" t="e">
        <f t="shared" si="3"/>
        <v>#REF!</v>
      </c>
      <c r="F6" s="16" t="e">
        <f t="shared" si="3"/>
        <v>#REF!</v>
      </c>
      <c r="G6" s="4" t="e">
        <f t="shared" si="3"/>
        <v>#REF!</v>
      </c>
      <c r="H6" s="4" t="e">
        <f t="shared" si="3"/>
        <v>#REF!</v>
      </c>
      <c r="I6" s="4" t="e">
        <f t="shared" si="3"/>
        <v>#REF!</v>
      </c>
      <c r="J6" s="4">
        <f t="shared" si="3"/>
        <v>0</v>
      </c>
      <c r="K6" s="4">
        <f t="shared" si="3"/>
        <v>-134.10000000000002</v>
      </c>
      <c r="L6" s="16">
        <f t="shared" si="3"/>
        <v>0</v>
      </c>
      <c r="M6" s="16">
        <f t="shared" si="3"/>
        <v>0</v>
      </c>
      <c r="N6" s="16">
        <f t="shared" si="3"/>
        <v>0</v>
      </c>
      <c r="O6" s="16">
        <f t="shared" si="3"/>
        <v>0</v>
      </c>
      <c r="P6" s="16">
        <f t="shared" si="3"/>
        <v>0</v>
      </c>
    </row>
    <row r="7" spans="1:16">
      <c r="B7" s="79" t="s">
        <v>352</v>
      </c>
      <c r="C7" s="16" t="e">
        <f>C5+C6</f>
        <v>#REF!</v>
      </c>
      <c r="D7" s="16" t="e">
        <f>D5+D6</f>
        <v>#REF!</v>
      </c>
      <c r="E7" s="16" t="e">
        <f>E5+E6</f>
        <v>#REF!</v>
      </c>
      <c r="F7" s="16" t="e">
        <f>F5+F6</f>
        <v>#REF!</v>
      </c>
      <c r="G7" s="4" t="e">
        <f>G5+G6</f>
        <v>#REF!</v>
      </c>
      <c r="H7" s="4" t="e">
        <f t="shared" ref="H7:N7" si="4">H5+H6</f>
        <v>#REF!</v>
      </c>
      <c r="I7" s="4" t="e">
        <f t="shared" si="4"/>
        <v>#REF!</v>
      </c>
      <c r="J7" s="4">
        <f t="shared" si="4"/>
        <v>115.4</v>
      </c>
      <c r="K7" s="4">
        <f t="shared" si="4"/>
        <v>49.099999999999937</v>
      </c>
      <c r="L7" s="16">
        <f t="shared" si="4"/>
        <v>135.1</v>
      </c>
      <c r="M7" s="16">
        <f t="shared" si="4"/>
        <v>317.29999999999995</v>
      </c>
      <c r="N7" s="16">
        <f t="shared" si="4"/>
        <v>285</v>
      </c>
      <c r="O7" s="16">
        <f>O5+O6</f>
        <v>-44.200000000000045</v>
      </c>
      <c r="P7" s="16">
        <f>P5+P6</f>
        <v>351.3</v>
      </c>
    </row>
    <row r="8" spans="1:16">
      <c r="B8" s="79"/>
      <c r="C8" s="16"/>
      <c r="D8" s="16"/>
      <c r="E8" s="16"/>
      <c r="F8" s="16"/>
      <c r="L8" s="16"/>
      <c r="M8" s="16"/>
      <c r="N8" s="16"/>
      <c r="O8" s="16"/>
      <c r="P8" s="16"/>
    </row>
    <row r="9" spans="1:16">
      <c r="B9" s="79" t="s">
        <v>258</v>
      </c>
      <c r="C9" s="16" t="e">
        <f>C5</f>
        <v>#REF!</v>
      </c>
      <c r="D9" s="16" t="e">
        <f>D5</f>
        <v>#REF!</v>
      </c>
      <c r="E9" s="16" t="e">
        <f>E5</f>
        <v>#REF!</v>
      </c>
      <c r="F9" s="16" t="e">
        <f>F5</f>
        <v>#REF!</v>
      </c>
      <c r="G9" s="4" t="e">
        <f>G5</f>
        <v>#REF!</v>
      </c>
      <c r="H9" s="4" t="e">
        <f t="shared" ref="H9:N9" si="5">H5</f>
        <v>#REF!</v>
      </c>
      <c r="I9" s="4" t="e">
        <f t="shared" si="5"/>
        <v>#REF!</v>
      </c>
      <c r="J9" s="4">
        <f t="shared" si="5"/>
        <v>115.4</v>
      </c>
      <c r="K9" s="4">
        <f t="shared" si="5"/>
        <v>183.19999999999996</v>
      </c>
      <c r="L9" s="16">
        <f t="shared" si="5"/>
        <v>135.1</v>
      </c>
      <c r="M9" s="16">
        <f t="shared" si="5"/>
        <v>317.29999999999995</v>
      </c>
      <c r="N9" s="16">
        <f t="shared" si="5"/>
        <v>285</v>
      </c>
      <c r="O9" s="16">
        <f>O5</f>
        <v>-44.200000000000045</v>
      </c>
      <c r="P9" s="16">
        <f>P5</f>
        <v>351.3</v>
      </c>
    </row>
    <row r="10" spans="1:16">
      <c r="A10" s="4">
        <f>ROW(MODEL!B125)</f>
        <v>125</v>
      </c>
      <c r="B10" s="79" t="s">
        <v>94</v>
      </c>
      <c r="C10" s="16" t="e">
        <f t="shared" ref="C10:P10" si="6">INDEX(Model,$A10,C$1)</f>
        <v>#REF!</v>
      </c>
      <c r="D10" s="16" t="e">
        <f t="shared" si="6"/>
        <v>#REF!</v>
      </c>
      <c r="E10" s="16" t="e">
        <f t="shared" si="6"/>
        <v>#REF!</v>
      </c>
      <c r="F10" s="16" t="e">
        <f t="shared" si="6"/>
        <v>#REF!</v>
      </c>
      <c r="G10" s="4" t="e">
        <f t="shared" si="6"/>
        <v>#REF!</v>
      </c>
      <c r="H10" s="4" t="e">
        <f t="shared" si="6"/>
        <v>#REF!</v>
      </c>
      <c r="I10" s="4" t="e">
        <f t="shared" si="6"/>
        <v>#REF!</v>
      </c>
      <c r="J10" s="4">
        <f t="shared" si="6"/>
        <v>-84.8</v>
      </c>
      <c r="K10" s="4">
        <f t="shared" si="6"/>
        <v>-91.7</v>
      </c>
      <c r="L10" s="16">
        <f t="shared" si="6"/>
        <v>-96.7</v>
      </c>
      <c r="M10" s="16">
        <f t="shared" si="6"/>
        <v>-56.2</v>
      </c>
      <c r="N10" s="16">
        <f t="shared" si="6"/>
        <v>-118.5</v>
      </c>
      <c r="O10" s="16">
        <f t="shared" si="6"/>
        <v>-185.2</v>
      </c>
      <c r="P10" s="16">
        <f t="shared" si="6"/>
        <v>-173.9</v>
      </c>
    </row>
    <row r="11" spans="1:16">
      <c r="B11" s="79" t="s">
        <v>353</v>
      </c>
      <c r="C11" s="16" t="e">
        <f>C9+C10</f>
        <v>#REF!</v>
      </c>
      <c r="D11" s="16" t="e">
        <f>D9+D10</f>
        <v>#REF!</v>
      </c>
      <c r="E11" s="16" t="e">
        <f>E9+E10</f>
        <v>#REF!</v>
      </c>
      <c r="F11" s="16" t="e">
        <f>F9+F10</f>
        <v>#REF!</v>
      </c>
      <c r="G11" s="4" t="e">
        <f>G9+G10</f>
        <v>#REF!</v>
      </c>
      <c r="H11" s="4" t="e">
        <f t="shared" ref="H11:N11" si="7">H9+H10</f>
        <v>#REF!</v>
      </c>
      <c r="I11" s="4" t="e">
        <f t="shared" si="7"/>
        <v>#REF!</v>
      </c>
      <c r="J11" s="4">
        <f t="shared" si="7"/>
        <v>30.600000000000009</v>
      </c>
      <c r="K11" s="4">
        <f t="shared" si="7"/>
        <v>91.499999999999957</v>
      </c>
      <c r="L11" s="16">
        <f t="shared" si="7"/>
        <v>38.399999999999991</v>
      </c>
      <c r="M11" s="16">
        <f t="shared" si="7"/>
        <v>261.09999999999997</v>
      </c>
      <c r="N11" s="16">
        <f t="shared" si="7"/>
        <v>166.5</v>
      </c>
      <c r="O11" s="16">
        <f>O9+O10</f>
        <v>-229.40000000000003</v>
      </c>
      <c r="P11" s="16">
        <f>P9+P10</f>
        <v>177.4</v>
      </c>
    </row>
    <row r="12" spans="1:16">
      <c r="B12" s="79"/>
      <c r="C12" s="16"/>
      <c r="D12" s="16"/>
      <c r="E12" s="16"/>
      <c r="F12" s="16"/>
      <c r="L12" s="16"/>
      <c r="M12" s="16"/>
      <c r="N12" s="16"/>
      <c r="O12" s="16"/>
      <c r="P12" s="16"/>
    </row>
    <row r="13" spans="1:16">
      <c r="B13" s="75" t="s">
        <v>354</v>
      </c>
      <c r="C13" s="75" t="e">
        <f>C3/C$16</f>
        <v>#REF!</v>
      </c>
      <c r="D13" s="75" t="e">
        <f>D3/D$16</f>
        <v>#REF!</v>
      </c>
      <c r="E13" s="75" t="e">
        <f>E3/E$16</f>
        <v>#REF!</v>
      </c>
      <c r="F13" s="75" t="e">
        <f>F3/F$16</f>
        <v>#REF!</v>
      </c>
      <c r="G13" s="75" t="e">
        <f>G3/G$16</f>
        <v>#REF!</v>
      </c>
      <c r="H13" s="75" t="e">
        <f t="shared" ref="H13:N13" si="8">H3/H$16</f>
        <v>#REF!</v>
      </c>
      <c r="I13" s="75" t="e">
        <f t="shared" si="8"/>
        <v>#REF!</v>
      </c>
      <c r="J13" s="75">
        <f t="shared" si="8"/>
        <v>8.8225884549676239E-2</v>
      </c>
      <c r="K13" s="75">
        <f t="shared" si="8"/>
        <v>0.11293962029256145</v>
      </c>
      <c r="L13" s="75">
        <f t="shared" si="8"/>
        <v>8.2891051157305037E-2</v>
      </c>
      <c r="M13" s="75">
        <f t="shared" si="8"/>
        <v>0.13629928505698308</v>
      </c>
      <c r="N13" s="75">
        <f t="shared" si="8"/>
        <v>0.10715009701427702</v>
      </c>
      <c r="O13" s="75">
        <f>O3/O$16</f>
        <v>2.2754153759504351E-2</v>
      </c>
      <c r="P13" s="75">
        <f>P3/P$16</f>
        <v>0.12091090775218261</v>
      </c>
    </row>
    <row r="14" spans="1:16">
      <c r="B14" s="75" t="s">
        <v>355</v>
      </c>
      <c r="C14" s="75" t="e">
        <f>C5/C$16</f>
        <v>#REF!</v>
      </c>
      <c r="D14" s="75" t="e">
        <f>D5/D$16</f>
        <v>#REF!</v>
      </c>
      <c r="E14" s="75" t="e">
        <f>E5/E$16</f>
        <v>#REF!</v>
      </c>
      <c r="F14" s="75" t="e">
        <f>F5/F$16</f>
        <v>#REF!</v>
      </c>
      <c r="G14" s="75" t="e">
        <f>G5/G$16</f>
        <v>#REF!</v>
      </c>
      <c r="H14" s="75" t="e">
        <f t="shared" ref="H14:N14" si="9">H5/H$16</f>
        <v>#REF!</v>
      </c>
      <c r="I14" s="75" t="e">
        <f t="shared" si="9"/>
        <v>#REF!</v>
      </c>
      <c r="J14" s="75">
        <f t="shared" si="9"/>
        <v>4.6810423342678792E-2</v>
      </c>
      <c r="K14" s="75">
        <f t="shared" si="9"/>
        <v>7.127295362589478E-2</v>
      </c>
      <c r="L14" s="75">
        <f t="shared" si="9"/>
        <v>4.9793601651186792E-2</v>
      </c>
      <c r="M14" s="75">
        <f t="shared" si="9"/>
        <v>0.11230268280597437</v>
      </c>
      <c r="N14" s="75">
        <f t="shared" si="9"/>
        <v>8.253453418667285E-2</v>
      </c>
      <c r="O14" s="75">
        <f>O5/O$16</f>
        <v>-1.2447197972402154E-2</v>
      </c>
      <c r="P14" s="75">
        <f>P5/P$16</f>
        <v>9.2379299463553166E-2</v>
      </c>
    </row>
    <row r="15" spans="1:16">
      <c r="B15" s="78"/>
      <c r="C15" s="16"/>
      <c r="D15" s="16"/>
      <c r="E15" s="16"/>
      <c r="F15" s="16"/>
      <c r="L15" s="16"/>
      <c r="M15" s="16"/>
      <c r="N15" s="16"/>
      <c r="O15" s="16"/>
      <c r="P15" s="16"/>
    </row>
    <row r="16" spans="1:16">
      <c r="A16" s="4">
        <f>ROW(MODEL!B6)</f>
        <v>6</v>
      </c>
      <c r="B16" s="81" t="s">
        <v>65</v>
      </c>
      <c r="C16" s="16" t="e">
        <f t="shared" ref="C16:P16" si="10">INDEX(Model,$A16,C$1)</f>
        <v>#REF!</v>
      </c>
      <c r="D16" s="16" t="e">
        <f t="shared" si="10"/>
        <v>#REF!</v>
      </c>
      <c r="E16" s="16" t="e">
        <f t="shared" si="10"/>
        <v>#REF!</v>
      </c>
      <c r="F16" s="16" t="e">
        <f t="shared" si="10"/>
        <v>#REF!</v>
      </c>
      <c r="G16" s="4" t="e">
        <f t="shared" si="10"/>
        <v>#REF!</v>
      </c>
      <c r="H16" s="4" t="e">
        <f t="shared" si="10"/>
        <v>#REF!</v>
      </c>
      <c r="I16" s="4" t="e">
        <f t="shared" si="10"/>
        <v>#REF!</v>
      </c>
      <c r="J16" s="4">
        <f t="shared" si="10"/>
        <v>2465.2628999999997</v>
      </c>
      <c r="K16" s="4">
        <f t="shared" si="10"/>
        <v>2570.4</v>
      </c>
      <c r="L16" s="16">
        <f t="shared" si="10"/>
        <v>2713.2</v>
      </c>
      <c r="M16" s="16">
        <f t="shared" si="10"/>
        <v>2825.3999999999996</v>
      </c>
      <c r="N16" s="16">
        <f t="shared" si="10"/>
        <v>3453.1</v>
      </c>
      <c r="O16" s="16">
        <f t="shared" si="10"/>
        <v>3551</v>
      </c>
      <c r="P16" s="16">
        <f t="shared" si="10"/>
        <v>3802.8</v>
      </c>
    </row>
    <row r="17" spans="1:16">
      <c r="B17" s="78"/>
      <c r="C17" s="16"/>
      <c r="D17" s="16"/>
      <c r="E17" s="16"/>
      <c r="F17" s="16"/>
      <c r="L17" s="16"/>
      <c r="M17" s="16"/>
      <c r="N17" s="16"/>
      <c r="O17" s="16"/>
      <c r="P17" s="16"/>
    </row>
    <row r="18" spans="1:16">
      <c r="A18" s="4">
        <f>ROW(MODEL!B132)</f>
        <v>132</v>
      </c>
      <c r="B18" s="78" t="s">
        <v>264</v>
      </c>
      <c r="C18" s="16" t="e">
        <f t="shared" ref="C18:P19" si="11">INDEX(Model,$A18,C$1)</f>
        <v>#REF!</v>
      </c>
      <c r="D18" s="16" t="e">
        <f t="shared" si="11"/>
        <v>#REF!</v>
      </c>
      <c r="E18" s="16" t="e">
        <f t="shared" si="11"/>
        <v>#REF!</v>
      </c>
      <c r="F18" s="16" t="e">
        <f t="shared" si="11"/>
        <v>#REF!</v>
      </c>
      <c r="G18" s="4" t="e">
        <f t="shared" si="11"/>
        <v>#REF!</v>
      </c>
      <c r="H18" s="4" t="e">
        <f t="shared" si="11"/>
        <v>#REF!</v>
      </c>
      <c r="I18" s="4" t="e">
        <f t="shared" si="11"/>
        <v>#REF!</v>
      </c>
      <c r="J18" s="4">
        <f t="shared" si="11"/>
        <v>380.70000000000005</v>
      </c>
      <c r="K18" s="4">
        <f t="shared" si="11"/>
        <v>422.90000000000003</v>
      </c>
      <c r="L18" s="16">
        <f t="shared" si="11"/>
        <v>386.7</v>
      </c>
      <c r="M18" s="16">
        <f t="shared" si="11"/>
        <v>902</v>
      </c>
      <c r="N18" s="16">
        <f t="shared" si="11"/>
        <v>747.30000000000018</v>
      </c>
      <c r="O18" s="16">
        <f t="shared" si="11"/>
        <v>997.30000000000018</v>
      </c>
      <c r="P18" s="16">
        <f t="shared" si="11"/>
        <v>842.70000000000027</v>
      </c>
    </row>
    <row r="19" spans="1:16">
      <c r="A19" s="4">
        <f>ROW(MODEL!B25)</f>
        <v>25</v>
      </c>
      <c r="B19" s="78" t="s">
        <v>66</v>
      </c>
      <c r="C19" s="16" t="e">
        <f>INDEX(Model,$A19,C$1)</f>
        <v>#REF!</v>
      </c>
      <c r="D19" s="16" t="e">
        <f t="shared" si="11"/>
        <v>#REF!</v>
      </c>
      <c r="E19" s="16" t="e">
        <f t="shared" si="11"/>
        <v>#REF!</v>
      </c>
      <c r="F19" s="16" t="e">
        <f t="shared" si="11"/>
        <v>#REF!</v>
      </c>
      <c r="G19" s="4" t="e">
        <f t="shared" si="11"/>
        <v>#REF!</v>
      </c>
      <c r="H19" s="4" t="e">
        <f t="shared" si="11"/>
        <v>#REF!</v>
      </c>
      <c r="I19" s="4" t="e">
        <f t="shared" si="11"/>
        <v>#REF!</v>
      </c>
      <c r="J19" s="4">
        <f t="shared" si="11"/>
        <v>278</v>
      </c>
      <c r="K19" s="4">
        <f t="shared" si="11"/>
        <v>294.10000000000002</v>
      </c>
      <c r="L19" s="16">
        <f t="shared" si="11"/>
        <v>314.7</v>
      </c>
      <c r="M19" s="16">
        <f>INDEX(Model,$A19,M$1)-MODEL!N219</f>
        <v>328.1</v>
      </c>
      <c r="N19" s="16">
        <f>INDEX(Model,$A19,N$1)-MODEL!Q219</f>
        <v>557.4</v>
      </c>
      <c r="O19" s="16">
        <f>INDEX(Model,$A19,O$1)-MODEL!T219</f>
        <v>464.3</v>
      </c>
      <c r="P19" s="16">
        <f>INDEX(Model,$A19,P$1)-MODEL!W219</f>
        <v>909.13080000000002</v>
      </c>
    </row>
    <row r="20" spans="1:16">
      <c r="B20" s="78" t="s">
        <v>356</v>
      </c>
      <c r="C20" s="16" t="e">
        <f>C18/C19</f>
        <v>#REF!</v>
      </c>
      <c r="D20" s="16" t="e">
        <f>D18/D19</f>
        <v>#REF!</v>
      </c>
      <c r="E20" s="16" t="e">
        <f>E18/E19</f>
        <v>#REF!</v>
      </c>
      <c r="F20" s="16" t="e">
        <f>F18/F19</f>
        <v>#REF!</v>
      </c>
      <c r="G20" s="71" t="e">
        <f>G18/G19</f>
        <v>#REF!</v>
      </c>
      <c r="H20" s="71" t="e">
        <f t="shared" ref="H20:N20" si="12">H18/H19</f>
        <v>#REF!</v>
      </c>
      <c r="I20" s="71" t="e">
        <f t="shared" si="12"/>
        <v>#REF!</v>
      </c>
      <c r="J20" s="71">
        <f t="shared" si="12"/>
        <v>1.3694244604316548</v>
      </c>
      <c r="K20" s="71">
        <f t="shared" si="12"/>
        <v>1.4379462767766067</v>
      </c>
      <c r="L20" s="71">
        <f t="shared" si="12"/>
        <v>1.228789323164919</v>
      </c>
      <c r="M20" s="71">
        <f t="shared" si="12"/>
        <v>2.7491618409021639</v>
      </c>
      <c r="N20" s="71">
        <f t="shared" si="12"/>
        <v>1.340688912809473</v>
      </c>
      <c r="O20" s="71">
        <f>O18/O19</f>
        <v>2.1479646780099078</v>
      </c>
      <c r="P20" s="71">
        <f>P18/P19</f>
        <v>0.92692932634116043</v>
      </c>
    </row>
    <row r="22" spans="1:16">
      <c r="A22" s="4">
        <f>ROW(MODEL!B177)</f>
        <v>177</v>
      </c>
      <c r="B22" s="4" t="s">
        <v>650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>
        <f>INDEX(Model,$A22,M$1)+INDEX(Model,$A23,M$1)</f>
        <v>939.3</v>
      </c>
      <c r="N22" s="16">
        <f>INDEX(Model,$A22,N$1)+INDEX(Model,$A23,N$1)</f>
        <v>989.6</v>
      </c>
      <c r="O22" s="16">
        <f>INDEX(Model,$A22,O$1)+INDEX(Model,$A23,O$1)</f>
        <v>1010.6999999999999</v>
      </c>
      <c r="P22" s="16">
        <f>INDEX(Model,$A22,P$1)+INDEX(Model,$A23,P$1)</f>
        <v>1035</v>
      </c>
    </row>
    <row r="23" spans="1:16">
      <c r="A23" s="4">
        <f>ROW(MODEL!B169)</f>
        <v>169</v>
      </c>
      <c r="B23" s="4" t="s">
        <v>66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>
        <f>INDEX(Model,$A19,M$1)</f>
        <v>533.20000000000005</v>
      </c>
      <c r="N23" s="16">
        <f>INDEX(Model,$A19,N$1)</f>
        <v>776.2</v>
      </c>
      <c r="O23" s="16">
        <f>INDEX(Model,$A19,O$1)</f>
        <v>701.8</v>
      </c>
      <c r="P23" s="16">
        <f>INDEX(Model,$A19,P$1)</f>
        <v>763.4</v>
      </c>
    </row>
    <row r="24" spans="1:16">
      <c r="B24" s="4" t="s">
        <v>651</v>
      </c>
      <c r="M24" s="71">
        <f>(M18+M22)/M23</f>
        <v>3.4533008252063011</v>
      </c>
      <c r="N24" s="71">
        <f>(N18+N22)/N23</f>
        <v>2.2376964699819633</v>
      </c>
      <c r="O24" s="71">
        <f>(O18+O22)/O23</f>
        <v>2.8612140210886294</v>
      </c>
      <c r="P24" s="71">
        <f>(P18+P22)/P23</f>
        <v>2.4596541786743522</v>
      </c>
    </row>
  </sheetData>
  <pageMargins left="0.7" right="0.7" top="0.75" bottom="0.75" header="0.3" footer="0.3"/>
  <pageSetup paperSize="0" orientation="portrait" r:id="rId1"/>
  <customProperties>
    <customPr name="Qube.Worksheet.Visibility" r:id="rId2"/>
  </customPropertie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B44"/>
  <sheetViews>
    <sheetView workbookViewId="0"/>
  </sheetViews>
  <sheetFormatPr defaultColWidth="9.140625" defaultRowHeight="12.75" outlineLevelCol="1"/>
  <cols>
    <col min="1" max="1" width="9.140625" style="4"/>
    <col min="2" max="2" width="24.85546875" style="4" bestFit="1" customWidth="1"/>
    <col min="3" max="11" width="9.140625" style="4"/>
    <col min="12" max="13" width="0" style="4" hidden="1" customWidth="1" outlineLevel="1"/>
    <col min="14" max="14" width="9.140625" style="4" collapsed="1"/>
    <col min="15" max="16" width="0" style="4" hidden="1" customWidth="1" outlineLevel="1"/>
    <col min="17" max="17" width="9.140625" style="4" collapsed="1"/>
    <col min="18" max="19" width="0" style="4" hidden="1" customWidth="1" outlineLevel="1"/>
    <col min="20" max="20" width="9.140625" style="4" collapsed="1"/>
    <col min="21" max="22" width="0" style="4" hidden="1" customWidth="1" outlineLevel="1"/>
    <col min="23" max="23" width="9.140625" style="4" collapsed="1"/>
    <col min="24" max="25" width="0" style="4" hidden="1" customWidth="1" outlineLevel="1"/>
    <col min="26" max="26" width="9.140625" style="4" collapsed="1"/>
    <col min="27" max="16384" width="9.140625" style="4"/>
  </cols>
  <sheetData>
    <row r="1" spans="1:28">
      <c r="C1" s="4" t="e">
        <f>D1-3</f>
        <v>#REF!</v>
      </c>
      <c r="D1" s="4" t="e">
        <f>E1-3</f>
        <v>#REF!</v>
      </c>
      <c r="E1" s="4" t="e">
        <f>F1-3</f>
        <v>#REF!</v>
      </c>
      <c r="F1" s="4" t="e">
        <f>G1-3</f>
        <v>#REF!</v>
      </c>
      <c r="G1" s="4" t="e">
        <f>COLUMN(MODEL!#REF!)</f>
        <v>#REF!</v>
      </c>
      <c r="H1" s="4" t="e">
        <f>COLUMN(MODEL!#REF!)</f>
        <v>#REF!</v>
      </c>
      <c r="I1" s="4" t="e">
        <f>COLUMN(MODEL!#REF!)</f>
        <v>#REF!</v>
      </c>
      <c r="J1" s="4">
        <f>COLUMN(MODEL!E3)</f>
        <v>5</v>
      </c>
      <c r="K1" s="4">
        <f>COLUMN(MODEL!H3)</f>
        <v>8</v>
      </c>
      <c r="N1" s="4">
        <f>COLUMN(MODEL!K3)</f>
        <v>11</v>
      </c>
      <c r="Q1" s="4">
        <f>COLUMN(MODEL!N3)</f>
        <v>14</v>
      </c>
      <c r="T1" s="4">
        <f>COLUMN(MODEL!Q3)</f>
        <v>17</v>
      </c>
      <c r="W1" s="4">
        <f>COLUMN(MODEL!T3)</f>
        <v>20</v>
      </c>
      <c r="Z1" s="4">
        <v>62</v>
      </c>
    </row>
    <row r="2" spans="1:28">
      <c r="C2" s="13" t="s">
        <v>385</v>
      </c>
      <c r="D2" s="13" t="s">
        <v>386</v>
      </c>
      <c r="E2" s="13" t="s">
        <v>387</v>
      </c>
      <c r="F2" s="13" t="s">
        <v>384</v>
      </c>
      <c r="G2" s="13" t="s">
        <v>357</v>
      </c>
      <c r="H2" s="13" t="s">
        <v>358</v>
      </c>
      <c r="I2" s="13" t="s">
        <v>359</v>
      </c>
      <c r="J2" s="13" t="s">
        <v>360</v>
      </c>
      <c r="K2" s="13" t="s">
        <v>361</v>
      </c>
      <c r="L2" s="13"/>
      <c r="M2" s="13"/>
      <c r="N2" s="13" t="s">
        <v>409</v>
      </c>
      <c r="O2" s="13"/>
      <c r="P2" s="13"/>
      <c r="Q2" s="13" t="s">
        <v>410</v>
      </c>
      <c r="R2" s="13"/>
      <c r="S2" s="13"/>
      <c r="T2" s="13" t="s">
        <v>362</v>
      </c>
      <c r="U2" s="13"/>
      <c r="V2" s="13"/>
      <c r="W2" s="13" t="s">
        <v>587</v>
      </c>
      <c r="X2" s="13"/>
      <c r="Y2" s="13"/>
      <c r="Z2" s="13" t="s">
        <v>673</v>
      </c>
      <c r="AB2" s="63"/>
    </row>
    <row r="3" spans="1:28">
      <c r="A3" s="4">
        <f>ROW(MODEL!B31)</f>
        <v>31</v>
      </c>
      <c r="B3" s="4" t="s">
        <v>70</v>
      </c>
      <c r="C3" s="16" t="e">
        <f t="shared" ref="C3:N3" si="0">INDEX(Model,$A3,C$1)</f>
        <v>#REF!</v>
      </c>
      <c r="D3" s="16" t="e">
        <f t="shared" si="0"/>
        <v>#REF!</v>
      </c>
      <c r="E3" s="16" t="e">
        <f t="shared" si="0"/>
        <v>#REF!</v>
      </c>
      <c r="F3" s="16" t="e">
        <f t="shared" si="0"/>
        <v>#REF!</v>
      </c>
      <c r="G3" s="16" t="e">
        <f t="shared" si="0"/>
        <v>#REF!</v>
      </c>
      <c r="H3" s="16" t="e">
        <f t="shared" si="0"/>
        <v>#REF!</v>
      </c>
      <c r="I3" s="16" t="e">
        <f t="shared" si="0"/>
        <v>#REF!</v>
      </c>
      <c r="J3" s="16">
        <f t="shared" si="0"/>
        <v>207.29999999999998</v>
      </c>
      <c r="K3" s="16">
        <f t="shared" si="0"/>
        <v>219.6</v>
      </c>
      <c r="L3" s="16"/>
      <c r="M3" s="16"/>
      <c r="N3" s="16">
        <f t="shared" si="0"/>
        <v>228.1</v>
      </c>
      <c r="O3" s="16"/>
      <c r="P3" s="16"/>
      <c r="Q3" s="16">
        <f t="shared" ref="Q3:Z3" si="1">INDEX(Model,$A4,Q$1)</f>
        <v>236.1</v>
      </c>
      <c r="R3" s="16">
        <f t="shared" si="1"/>
        <v>168.1</v>
      </c>
      <c r="S3" s="16">
        <f t="shared" si="1"/>
        <v>196.9</v>
      </c>
      <c r="T3" s="16">
        <f t="shared" si="1"/>
        <v>443.3</v>
      </c>
      <c r="U3" s="16">
        <f t="shared" si="1"/>
        <v>225.2</v>
      </c>
      <c r="V3" s="16">
        <f t="shared" si="1"/>
        <v>659.35720000000003</v>
      </c>
      <c r="W3" s="16">
        <f t="shared" si="1"/>
        <v>365</v>
      </c>
      <c r="X3" s="16">
        <f t="shared" si="1"/>
        <v>0</v>
      </c>
      <c r="Y3" s="16">
        <f t="shared" si="1"/>
        <v>0</v>
      </c>
      <c r="Z3" s="16">
        <f t="shared" si="1"/>
        <v>0</v>
      </c>
    </row>
    <row r="4" spans="1:28">
      <c r="A4" s="4">
        <f>ROW(MODEL!B264)</f>
        <v>264</v>
      </c>
      <c r="B4" s="4" t="s">
        <v>363</v>
      </c>
      <c r="C4" s="16" t="e">
        <f>C5+C6</f>
        <v>#REF!</v>
      </c>
      <c r="D4" s="16" t="e">
        <f>D5+D6</f>
        <v>#REF!</v>
      </c>
      <c r="E4" s="16" t="e">
        <f>E5+E6</f>
        <v>#REF!</v>
      </c>
      <c r="F4" s="16" t="e">
        <f>F5+F6</f>
        <v>#REF!</v>
      </c>
      <c r="G4" s="16" t="e">
        <f>G5+G6</f>
        <v>#REF!</v>
      </c>
      <c r="H4" s="16" t="e">
        <f t="shared" ref="H4:T4" si="2">H5+H6</f>
        <v>#REF!</v>
      </c>
      <c r="I4" s="16" t="e">
        <f t="shared" si="2"/>
        <v>#REF!</v>
      </c>
      <c r="J4" s="16">
        <f t="shared" si="2"/>
        <v>-62.340000000000039</v>
      </c>
      <c r="K4" s="16">
        <f t="shared" si="2"/>
        <v>-63.91</v>
      </c>
      <c r="L4" s="16"/>
      <c r="M4" s="16"/>
      <c r="N4" s="16">
        <f t="shared" si="2"/>
        <v>-57.989999999999995</v>
      </c>
      <c r="O4" s="16"/>
      <c r="P4" s="16"/>
      <c r="Q4" s="16">
        <f t="shared" si="2"/>
        <v>-67.04000000000002</v>
      </c>
      <c r="R4" s="16"/>
      <c r="S4" s="16"/>
      <c r="T4" s="16">
        <f t="shared" si="2"/>
        <v>-130.74</v>
      </c>
      <c r="U4" s="16"/>
      <c r="V4" s="16"/>
      <c r="W4" s="16">
        <f>W5+W6</f>
        <v>-107.93000000000004</v>
      </c>
      <c r="X4" s="16"/>
      <c r="Y4" s="16"/>
      <c r="Z4" s="16">
        <f>Z5+Z6</f>
        <v>-177.28039742507377</v>
      </c>
    </row>
    <row r="5" spans="1:28">
      <c r="A5" s="4">
        <f>ROW(MODEL!B41)</f>
        <v>41</v>
      </c>
      <c r="B5" s="4" t="s">
        <v>364</v>
      </c>
      <c r="C5" s="16" t="e">
        <f t="shared" ref="C5:Z5" si="3">INDEX(Model,$A5,C$1)</f>
        <v>#REF!</v>
      </c>
      <c r="D5" s="16" t="e">
        <f t="shared" si="3"/>
        <v>#REF!</v>
      </c>
      <c r="E5" s="16" t="e">
        <f t="shared" si="3"/>
        <v>#REF!</v>
      </c>
      <c r="F5" s="16" t="e">
        <f t="shared" si="3"/>
        <v>#REF!</v>
      </c>
      <c r="G5" s="16" t="e">
        <f t="shared" si="3"/>
        <v>#REF!</v>
      </c>
      <c r="H5" s="16" t="e">
        <f t="shared" si="3"/>
        <v>#REF!</v>
      </c>
      <c r="I5" s="16" t="e">
        <f t="shared" si="3"/>
        <v>#REF!</v>
      </c>
      <c r="J5" s="16">
        <f t="shared" si="3"/>
        <v>-57.30000000000004</v>
      </c>
      <c r="K5" s="16">
        <f t="shared" si="3"/>
        <v>-58.599999999999994</v>
      </c>
      <c r="L5" s="16"/>
      <c r="M5" s="16"/>
      <c r="N5" s="16">
        <f t="shared" si="3"/>
        <v>-51.599999999999994</v>
      </c>
      <c r="O5" s="16"/>
      <c r="P5" s="16"/>
      <c r="Q5" s="16">
        <f t="shared" si="3"/>
        <v>-61.700000000000017</v>
      </c>
      <c r="R5" s="16"/>
      <c r="S5" s="16"/>
      <c r="T5" s="16">
        <f t="shared" si="3"/>
        <v>-129</v>
      </c>
      <c r="U5" s="16"/>
      <c r="V5" s="16"/>
      <c r="W5" s="16">
        <f t="shared" si="3"/>
        <v>-105.50000000000003</v>
      </c>
      <c r="X5" s="16"/>
      <c r="Y5" s="16"/>
      <c r="Z5" s="16">
        <f t="shared" si="3"/>
        <v>-177.28039742507377</v>
      </c>
    </row>
    <row r="6" spans="1:28">
      <c r="A6" s="4">
        <f>ROW(MODEL!B37)</f>
        <v>37</v>
      </c>
      <c r="B6" s="4" t="s">
        <v>365</v>
      </c>
      <c r="C6" s="16" t="e">
        <f t="shared" ref="C6:N6" si="4">INDEX(Model,$A6,C$1)*0.3</f>
        <v>#REF!</v>
      </c>
      <c r="D6" s="16" t="e">
        <f t="shared" si="4"/>
        <v>#REF!</v>
      </c>
      <c r="E6" s="16" t="e">
        <f t="shared" si="4"/>
        <v>#REF!</v>
      </c>
      <c r="F6" s="16" t="e">
        <f t="shared" si="4"/>
        <v>#REF!</v>
      </c>
      <c r="G6" s="16" t="e">
        <f t="shared" si="4"/>
        <v>#REF!</v>
      </c>
      <c r="H6" s="16" t="e">
        <f t="shared" si="4"/>
        <v>#REF!</v>
      </c>
      <c r="I6" s="16" t="e">
        <f t="shared" si="4"/>
        <v>#REF!</v>
      </c>
      <c r="J6" s="16">
        <f t="shared" si="4"/>
        <v>-5.04</v>
      </c>
      <c r="K6" s="16">
        <f t="shared" si="4"/>
        <v>-5.31</v>
      </c>
      <c r="L6" s="16"/>
      <c r="M6" s="16"/>
      <c r="N6" s="16">
        <f t="shared" si="4"/>
        <v>-6.39</v>
      </c>
      <c r="O6" s="16"/>
      <c r="P6" s="16"/>
      <c r="Q6" s="16">
        <f t="shared" ref="Q6:Z6" si="5">(INDEX(Model,$A7,Q$1))*0.3</f>
        <v>-5.34</v>
      </c>
      <c r="R6" s="16">
        <f t="shared" si="5"/>
        <v>-0.96</v>
      </c>
      <c r="S6" s="16">
        <f t="shared" si="5"/>
        <v>-1.4699999999999998</v>
      </c>
      <c r="T6" s="16">
        <f t="shared" si="5"/>
        <v>-1.74</v>
      </c>
      <c r="U6" s="16">
        <f t="shared" si="5"/>
        <v>-0.75</v>
      </c>
      <c r="V6" s="16">
        <f t="shared" si="5"/>
        <v>-0.8472916001277554</v>
      </c>
      <c r="W6" s="16">
        <f t="shared" si="5"/>
        <v>-2.4299999999999997</v>
      </c>
      <c r="X6" s="16">
        <f t="shared" si="5"/>
        <v>0</v>
      </c>
      <c r="Y6" s="16">
        <f t="shared" si="5"/>
        <v>0</v>
      </c>
      <c r="Z6" s="16">
        <f t="shared" si="5"/>
        <v>0</v>
      </c>
    </row>
    <row r="7" spans="1:28">
      <c r="A7" s="4">
        <f>ROW(MODEL!B265)</f>
        <v>265</v>
      </c>
      <c r="B7" s="82" t="s">
        <v>366</v>
      </c>
      <c r="C7" s="16" t="e">
        <f>C3-C4</f>
        <v>#REF!</v>
      </c>
      <c r="D7" s="16" t="e">
        <f>D3-D4</f>
        <v>#REF!</v>
      </c>
      <c r="E7" s="16" t="e">
        <f>E3-E4</f>
        <v>#REF!</v>
      </c>
      <c r="F7" s="16" t="e">
        <f>F3-F4</f>
        <v>#REF!</v>
      </c>
      <c r="G7" s="16" t="e">
        <f>G3-G4</f>
        <v>#REF!</v>
      </c>
      <c r="H7" s="16" t="e">
        <f t="shared" ref="H7:T7" si="6">H3-H4</f>
        <v>#REF!</v>
      </c>
      <c r="I7" s="16" t="e">
        <f t="shared" si="6"/>
        <v>#REF!</v>
      </c>
      <c r="J7" s="16">
        <f t="shared" si="6"/>
        <v>269.64000000000004</v>
      </c>
      <c r="K7" s="16">
        <f t="shared" si="6"/>
        <v>283.51</v>
      </c>
      <c r="L7" s="16"/>
      <c r="M7" s="16"/>
      <c r="N7" s="16">
        <f t="shared" si="6"/>
        <v>286.08999999999997</v>
      </c>
      <c r="O7" s="16"/>
      <c r="P7" s="16"/>
      <c r="Q7" s="16">
        <f t="shared" si="6"/>
        <v>303.14</v>
      </c>
      <c r="R7" s="16"/>
      <c r="S7" s="16"/>
      <c r="T7" s="16">
        <f t="shared" si="6"/>
        <v>574.04</v>
      </c>
      <c r="U7" s="16"/>
      <c r="V7" s="16"/>
      <c r="W7" s="16">
        <f>W3-W4</f>
        <v>472.93000000000006</v>
      </c>
      <c r="X7" s="16"/>
      <c r="Y7" s="16"/>
      <c r="Z7" s="16">
        <f>Z3-Z4</f>
        <v>177.28039742507377</v>
      </c>
    </row>
    <row r="9" spans="1:28">
      <c r="A9" s="4" t="e">
        <f>ROW(Divisionals!#REF!)</f>
        <v>#REF!</v>
      </c>
      <c r="B9" s="82" t="s">
        <v>367</v>
      </c>
      <c r="C9" s="16" t="e">
        <f t="shared" ref="C9:W9" si="7">INDEX(divisionals,$A9,C$1)</f>
        <v>#REF!</v>
      </c>
      <c r="D9" s="16" t="e">
        <f t="shared" si="7"/>
        <v>#REF!</v>
      </c>
      <c r="E9" s="16" t="e">
        <f t="shared" si="7"/>
        <v>#REF!</v>
      </c>
      <c r="F9" s="16" t="e">
        <f t="shared" si="7"/>
        <v>#REF!</v>
      </c>
      <c r="G9" s="16" t="e">
        <f t="shared" si="7"/>
        <v>#REF!</v>
      </c>
      <c r="H9" s="16" t="e">
        <f t="shared" si="7"/>
        <v>#REF!</v>
      </c>
      <c r="I9" s="16" t="e">
        <f t="shared" si="7"/>
        <v>#REF!</v>
      </c>
      <c r="J9" s="16" t="e">
        <f t="shared" si="7"/>
        <v>#REF!</v>
      </c>
      <c r="K9" s="16" t="e">
        <f t="shared" si="7"/>
        <v>#REF!</v>
      </c>
      <c r="L9" s="16"/>
      <c r="M9" s="16"/>
      <c r="N9" s="16" t="e">
        <f t="shared" si="7"/>
        <v>#REF!</v>
      </c>
      <c r="O9" s="16"/>
      <c r="P9" s="16"/>
      <c r="Q9" s="16" t="e">
        <f t="shared" si="7"/>
        <v>#REF!</v>
      </c>
      <c r="R9" s="16"/>
      <c r="S9" s="16"/>
      <c r="T9" s="16" t="e">
        <f t="shared" si="7"/>
        <v>#REF!</v>
      </c>
      <c r="U9" s="16"/>
      <c r="V9" s="16"/>
      <c r="W9" s="16" t="e">
        <f t="shared" si="7"/>
        <v>#REF!</v>
      </c>
      <c r="X9" s="16"/>
      <c r="Y9" s="16"/>
      <c r="Z9" s="16" t="e">
        <f>INDEX(divisionals,$A9,Z$1)</f>
        <v>#REF!</v>
      </c>
    </row>
    <row r="10" spans="1:28">
      <c r="B10" s="4" t="s">
        <v>368</v>
      </c>
      <c r="H10" s="75" t="e">
        <f>H9/G9-1</f>
        <v>#REF!</v>
      </c>
      <c r="I10" s="75" t="e">
        <f>I9/H9-1</f>
        <v>#REF!</v>
      </c>
      <c r="J10" s="75" t="e">
        <f>J9/I9-1</f>
        <v>#REF!</v>
      </c>
      <c r="K10" s="75" t="e">
        <f>K9/J9-1</f>
        <v>#REF!</v>
      </c>
      <c r="L10" s="75"/>
      <c r="M10" s="75"/>
      <c r="N10" s="75" t="e">
        <f>N9/K9-1</f>
        <v>#REF!</v>
      </c>
      <c r="O10" s="75"/>
      <c r="P10" s="75"/>
      <c r="Q10" s="75" t="e">
        <f>Q9/N9-1</f>
        <v>#REF!</v>
      </c>
      <c r="R10" s="75"/>
      <c r="S10" s="75"/>
      <c r="T10" s="75" t="e">
        <f>T9/Q9-1</f>
        <v>#REF!</v>
      </c>
      <c r="U10" s="75"/>
      <c r="V10" s="75"/>
      <c r="W10" s="75" t="e">
        <f>W9/T9-1</f>
        <v>#REF!</v>
      </c>
      <c r="X10" s="75"/>
      <c r="Y10" s="75"/>
      <c r="Z10" s="75" t="e">
        <f>Z9/W9-1</f>
        <v>#REF!</v>
      </c>
    </row>
    <row r="12" spans="1:28">
      <c r="B12" s="82" t="s">
        <v>369</v>
      </c>
    </row>
    <row r="13" spans="1:28">
      <c r="B13" s="4" t="s">
        <v>370</v>
      </c>
      <c r="C13" s="85">
        <v>76.045000000000002</v>
      </c>
      <c r="D13" s="85">
        <v>81.37</v>
      </c>
      <c r="E13" s="85">
        <v>150.93600000000001</v>
      </c>
      <c r="F13" s="54">
        <v>162.19999999999999</v>
      </c>
      <c r="G13" s="54">
        <v>181.6</v>
      </c>
      <c r="H13" s="54">
        <v>193</v>
      </c>
      <c r="I13" s="54">
        <v>202</v>
      </c>
      <c r="J13" s="54">
        <v>205.4</v>
      </c>
      <c r="K13" s="54">
        <v>222.1</v>
      </c>
      <c r="L13" s="54"/>
      <c r="M13" s="54"/>
      <c r="N13" s="85">
        <v>224.1</v>
      </c>
      <c r="O13" s="85"/>
      <c r="P13" s="85"/>
      <c r="Q13" s="85">
        <f>107+106.5</f>
        <v>213.5</v>
      </c>
      <c r="R13" s="16"/>
      <c r="S13" s="16"/>
      <c r="T13" s="16" t="e">
        <f t="shared" ref="T13:T18" si="8">Q13*(1+T$10)</f>
        <v>#REF!</v>
      </c>
      <c r="U13" s="16"/>
      <c r="V13" s="16"/>
      <c r="W13" s="16" t="e">
        <f>T13*(1+W$10)</f>
        <v>#REF!</v>
      </c>
      <c r="X13" s="16"/>
      <c r="Y13" s="16"/>
      <c r="Z13" s="16" t="e">
        <f>W13*(1+Z$10)</f>
        <v>#REF!</v>
      </c>
    </row>
    <row r="14" spans="1:28">
      <c r="B14" s="4" t="s">
        <v>371</v>
      </c>
      <c r="C14" s="85">
        <f>211.782/4</f>
        <v>52.945500000000003</v>
      </c>
      <c r="D14" s="85">
        <f>226.318/4</f>
        <v>56.579500000000003</v>
      </c>
      <c r="E14" s="85">
        <f>424.728/4</f>
        <v>106.182</v>
      </c>
      <c r="F14" s="85">
        <f>462.5/4</f>
        <v>115.625</v>
      </c>
      <c r="G14" s="85">
        <f>531.7/4</f>
        <v>132.92500000000001</v>
      </c>
      <c r="H14" s="85">
        <f>561.5/4</f>
        <v>140.375</v>
      </c>
      <c r="I14" s="54">
        <f>596.7/4</f>
        <v>149.17500000000001</v>
      </c>
      <c r="J14" s="85">
        <f>625.7/4</f>
        <v>156.42500000000001</v>
      </c>
      <c r="K14" s="85">
        <f>654.2/4</f>
        <v>163.55000000000001</v>
      </c>
      <c r="L14" s="85"/>
      <c r="M14" s="85"/>
      <c r="N14" s="85">
        <f>655.4/4</f>
        <v>163.85</v>
      </c>
      <c r="O14" s="85"/>
      <c r="P14" s="85"/>
      <c r="Q14" s="85">
        <f>198.2</f>
        <v>198.2</v>
      </c>
      <c r="R14" s="16"/>
      <c r="S14" s="16"/>
      <c r="T14" s="16" t="e">
        <f t="shared" si="8"/>
        <v>#REF!</v>
      </c>
      <c r="U14" s="16">
        <f t="shared" ref="U14:Z18" si="9">R14*(1+U$10)</f>
        <v>0</v>
      </c>
      <c r="V14" s="16">
        <f t="shared" si="9"/>
        <v>0</v>
      </c>
      <c r="W14" s="16" t="e">
        <f t="shared" si="9"/>
        <v>#REF!</v>
      </c>
      <c r="X14" s="16">
        <f t="shared" si="9"/>
        <v>0</v>
      </c>
      <c r="Y14" s="16">
        <f t="shared" si="9"/>
        <v>0</v>
      </c>
      <c r="Z14" s="16" t="e">
        <f t="shared" si="9"/>
        <v>#REF!</v>
      </c>
    </row>
    <row r="15" spans="1:28">
      <c r="B15" s="4" t="s">
        <v>372</v>
      </c>
      <c r="C15" s="85">
        <f t="shared" ref="C15:K16" si="10">C14</f>
        <v>52.945500000000003</v>
      </c>
      <c r="D15" s="85">
        <f t="shared" si="10"/>
        <v>56.579500000000003</v>
      </c>
      <c r="E15" s="85">
        <f t="shared" si="10"/>
        <v>106.182</v>
      </c>
      <c r="F15" s="85">
        <f t="shared" si="10"/>
        <v>115.625</v>
      </c>
      <c r="G15" s="85">
        <f t="shared" si="10"/>
        <v>132.92500000000001</v>
      </c>
      <c r="H15" s="85">
        <f t="shared" si="10"/>
        <v>140.375</v>
      </c>
      <c r="I15" s="54">
        <f t="shared" si="10"/>
        <v>149.17500000000001</v>
      </c>
      <c r="J15" s="85">
        <f t="shared" si="10"/>
        <v>156.42500000000001</v>
      </c>
      <c r="K15" s="85">
        <f t="shared" si="10"/>
        <v>163.55000000000001</v>
      </c>
      <c r="L15" s="85"/>
      <c r="M15" s="85"/>
      <c r="N15" s="85">
        <f>655.4/4</f>
        <v>163.85</v>
      </c>
      <c r="O15" s="85"/>
      <c r="P15" s="85"/>
      <c r="Q15" s="85">
        <f>437.6/3</f>
        <v>145.86666666666667</v>
      </c>
      <c r="R15" s="16"/>
      <c r="S15" s="16"/>
      <c r="T15" s="16" t="e">
        <f t="shared" si="8"/>
        <v>#REF!</v>
      </c>
      <c r="U15" s="16">
        <f t="shared" si="9"/>
        <v>0</v>
      </c>
      <c r="V15" s="16">
        <f t="shared" si="9"/>
        <v>0</v>
      </c>
      <c r="W15" s="16" t="e">
        <f t="shared" si="9"/>
        <v>#REF!</v>
      </c>
      <c r="X15" s="16">
        <f t="shared" si="9"/>
        <v>0</v>
      </c>
      <c r="Y15" s="16">
        <f t="shared" si="9"/>
        <v>0</v>
      </c>
      <c r="Z15" s="16" t="e">
        <f t="shared" si="9"/>
        <v>#REF!</v>
      </c>
    </row>
    <row r="16" spans="1:28">
      <c r="B16" s="4" t="s">
        <v>373</v>
      </c>
      <c r="C16" s="85">
        <f t="shared" si="10"/>
        <v>52.945500000000003</v>
      </c>
      <c r="D16" s="85">
        <f t="shared" si="10"/>
        <v>56.579500000000003</v>
      </c>
      <c r="E16" s="85">
        <f t="shared" si="10"/>
        <v>106.182</v>
      </c>
      <c r="F16" s="85">
        <f t="shared" si="10"/>
        <v>115.625</v>
      </c>
      <c r="G16" s="85">
        <f t="shared" si="10"/>
        <v>132.92500000000001</v>
      </c>
      <c r="H16" s="85">
        <f t="shared" si="10"/>
        <v>140.375</v>
      </c>
      <c r="I16" s="54">
        <f t="shared" si="10"/>
        <v>149.17500000000001</v>
      </c>
      <c r="J16" s="85">
        <f t="shared" si="10"/>
        <v>156.42500000000001</v>
      </c>
      <c r="K16" s="85">
        <f t="shared" si="10"/>
        <v>163.55000000000001</v>
      </c>
      <c r="L16" s="85"/>
      <c r="M16" s="85"/>
      <c r="N16" s="85">
        <f>655.4/4</f>
        <v>163.85</v>
      </c>
      <c r="O16" s="85"/>
      <c r="P16" s="85"/>
      <c r="Q16" s="85">
        <f>437.6/3</f>
        <v>145.86666666666667</v>
      </c>
      <c r="R16" s="16"/>
      <c r="S16" s="16"/>
      <c r="T16" s="16" t="e">
        <f t="shared" si="8"/>
        <v>#REF!</v>
      </c>
      <c r="U16" s="16">
        <f t="shared" si="9"/>
        <v>0</v>
      </c>
      <c r="V16" s="16">
        <f t="shared" si="9"/>
        <v>0</v>
      </c>
      <c r="W16" s="16" t="e">
        <f t="shared" si="9"/>
        <v>#REF!</v>
      </c>
      <c r="X16" s="16">
        <f t="shared" si="9"/>
        <v>0</v>
      </c>
      <c r="Y16" s="16">
        <f t="shared" si="9"/>
        <v>0</v>
      </c>
      <c r="Z16" s="16" t="e">
        <f t="shared" si="9"/>
        <v>#REF!</v>
      </c>
    </row>
    <row r="17" spans="1:26">
      <c r="B17" s="4" t="s">
        <v>374</v>
      </c>
      <c r="C17" s="16">
        <f t="shared" ref="C17:M17" si="11">C16</f>
        <v>52.945500000000003</v>
      </c>
      <c r="D17" s="16">
        <f t="shared" si="11"/>
        <v>56.579500000000003</v>
      </c>
      <c r="E17" s="16">
        <f t="shared" si="11"/>
        <v>106.182</v>
      </c>
      <c r="F17" s="16">
        <f t="shared" si="11"/>
        <v>115.625</v>
      </c>
      <c r="G17" s="16">
        <f t="shared" si="11"/>
        <v>132.92500000000001</v>
      </c>
      <c r="H17" s="16">
        <f t="shared" si="11"/>
        <v>140.375</v>
      </c>
      <c r="I17" s="16">
        <f t="shared" si="11"/>
        <v>149.17500000000001</v>
      </c>
      <c r="J17" s="16">
        <f t="shared" si="11"/>
        <v>156.42500000000001</v>
      </c>
      <c r="K17" s="16">
        <f t="shared" si="11"/>
        <v>163.55000000000001</v>
      </c>
      <c r="L17" s="16">
        <f t="shared" si="11"/>
        <v>0</v>
      </c>
      <c r="M17" s="16">
        <f t="shared" si="11"/>
        <v>0</v>
      </c>
      <c r="N17" s="16">
        <f>N16</f>
        <v>163.85</v>
      </c>
      <c r="O17" s="85"/>
      <c r="P17" s="85"/>
      <c r="Q17" s="85">
        <f>(437.6/3)</f>
        <v>145.86666666666667</v>
      </c>
      <c r="R17" s="16"/>
      <c r="S17" s="16"/>
      <c r="T17" s="16" t="e">
        <f t="shared" si="8"/>
        <v>#REF!</v>
      </c>
      <c r="U17" s="16">
        <f t="shared" si="9"/>
        <v>0</v>
      </c>
      <c r="V17" s="16">
        <f t="shared" si="9"/>
        <v>0</v>
      </c>
      <c r="W17" s="16" t="e">
        <f t="shared" si="9"/>
        <v>#REF!</v>
      </c>
      <c r="X17" s="16">
        <f t="shared" si="9"/>
        <v>0</v>
      </c>
      <c r="Y17" s="16">
        <f t="shared" si="9"/>
        <v>0</v>
      </c>
      <c r="Z17" s="16" t="e">
        <f t="shared" si="9"/>
        <v>#REF!</v>
      </c>
    </row>
    <row r="18" spans="1:26">
      <c r="B18" s="4" t="s">
        <v>705</v>
      </c>
      <c r="C18" s="85">
        <v>76.25</v>
      </c>
      <c r="D18" s="85">
        <v>72.290999999999997</v>
      </c>
      <c r="E18" s="85">
        <v>96.733999999999995</v>
      </c>
      <c r="F18" s="54">
        <v>94.2</v>
      </c>
      <c r="G18" s="54">
        <v>159.30000000000001</v>
      </c>
      <c r="H18" s="54">
        <v>201</v>
      </c>
      <c r="I18" s="54">
        <v>157.1</v>
      </c>
      <c r="J18" s="54">
        <v>162</v>
      </c>
      <c r="K18" s="54">
        <v>132.80000000000001</v>
      </c>
      <c r="L18" s="54"/>
      <c r="M18" s="54"/>
      <c r="N18" s="85">
        <v>132.6</v>
      </c>
      <c r="O18" s="85"/>
      <c r="P18" s="85"/>
      <c r="Q18" s="85">
        <v>228</v>
      </c>
      <c r="R18" s="16"/>
      <c r="S18" s="16"/>
      <c r="T18" s="16" t="e">
        <f t="shared" si="8"/>
        <v>#REF!</v>
      </c>
      <c r="U18" s="16">
        <f t="shared" si="9"/>
        <v>0</v>
      </c>
      <c r="V18" s="16">
        <f t="shared" si="9"/>
        <v>0</v>
      </c>
      <c r="W18" s="16" t="e">
        <f t="shared" si="9"/>
        <v>#REF!</v>
      </c>
      <c r="X18" s="16">
        <f t="shared" si="9"/>
        <v>0</v>
      </c>
      <c r="Y18" s="16">
        <f t="shared" si="9"/>
        <v>0</v>
      </c>
      <c r="Z18" s="16" t="e">
        <f t="shared" si="9"/>
        <v>#REF!</v>
      </c>
    </row>
    <row r="20" spans="1:26">
      <c r="B20" s="4" t="s">
        <v>375</v>
      </c>
      <c r="C20" s="16">
        <f>C18/C17+5</f>
        <v>6.4401601646976605</v>
      </c>
      <c r="D20" s="16">
        <f t="shared" ref="D20:N20" si="12">D18/D17+5</f>
        <v>6.277688915596638</v>
      </c>
      <c r="E20" s="16">
        <f t="shared" si="12"/>
        <v>5.9110207003070201</v>
      </c>
      <c r="F20" s="16">
        <f t="shared" si="12"/>
        <v>5.8147027027027027</v>
      </c>
      <c r="G20" s="16">
        <f t="shared" si="12"/>
        <v>6.1984201617453447</v>
      </c>
      <c r="H20" s="16">
        <f t="shared" si="12"/>
        <v>6.4318788958147817</v>
      </c>
      <c r="I20" s="16">
        <f t="shared" si="12"/>
        <v>6.0531255237137591</v>
      </c>
      <c r="J20" s="16">
        <f t="shared" si="12"/>
        <v>6.0356400831069204</v>
      </c>
      <c r="K20" s="16">
        <f t="shared" si="12"/>
        <v>5.8119841027208805</v>
      </c>
      <c r="L20" s="16" t="e">
        <f t="shared" si="12"/>
        <v>#DIV/0!</v>
      </c>
      <c r="M20" s="16" t="e">
        <f t="shared" si="12"/>
        <v>#DIV/0!</v>
      </c>
      <c r="N20" s="16">
        <f t="shared" si="12"/>
        <v>5.8092767775404335</v>
      </c>
      <c r="O20" s="16"/>
      <c r="P20" s="16"/>
      <c r="Q20" s="16">
        <f>Q18/Q17+5</f>
        <v>6.5630712979890315</v>
      </c>
      <c r="R20" s="16" t="e">
        <f t="shared" ref="R20:Z20" si="13">R18/R17+5</f>
        <v>#DIV/0!</v>
      </c>
      <c r="S20" s="16" t="e">
        <f t="shared" si="13"/>
        <v>#DIV/0!</v>
      </c>
      <c r="T20" s="16" t="e">
        <f t="shared" si="13"/>
        <v>#REF!</v>
      </c>
      <c r="U20" s="16" t="e">
        <f t="shared" si="13"/>
        <v>#DIV/0!</v>
      </c>
      <c r="V20" s="16" t="e">
        <f t="shared" si="13"/>
        <v>#DIV/0!</v>
      </c>
      <c r="W20" s="16" t="e">
        <f t="shared" si="13"/>
        <v>#REF!</v>
      </c>
      <c r="X20" s="16" t="e">
        <f t="shared" si="13"/>
        <v>#DIV/0!</v>
      </c>
      <c r="Y20" s="16" t="e">
        <f t="shared" si="13"/>
        <v>#DIV/0!</v>
      </c>
      <c r="Z20" s="16" t="e">
        <f t="shared" si="13"/>
        <v>#REF!</v>
      </c>
    </row>
    <row r="22" spans="1:26">
      <c r="B22" s="4" t="s">
        <v>376</v>
      </c>
      <c r="C22" s="87">
        <v>7.2800000000000004E-2</v>
      </c>
      <c r="D22" s="86">
        <v>6.7100000000000007E-2</v>
      </c>
      <c r="E22" s="86">
        <v>5.6300000000000003E-2</v>
      </c>
      <c r="F22" s="86">
        <v>4.8800000000000003E-2</v>
      </c>
      <c r="G22" s="86">
        <v>4.2500000000000003E-2</v>
      </c>
      <c r="H22" s="86">
        <v>3.49E-2</v>
      </c>
      <c r="I22" s="86">
        <v>3.2800000000000003E-2</v>
      </c>
      <c r="J22" s="86">
        <v>3.0800000000000001E-2</v>
      </c>
      <c r="K22" s="86">
        <v>3.3599999999999998E-2</v>
      </c>
      <c r="L22" s="86"/>
      <c r="M22" s="86"/>
      <c r="N22" s="86">
        <v>2.1499999999999998E-2</v>
      </c>
      <c r="O22" s="72"/>
      <c r="P22" s="72"/>
      <c r="Q22" s="86">
        <v>4.2000000000000003E-2</v>
      </c>
      <c r="R22" s="86"/>
      <c r="S22" s="86"/>
      <c r="T22" s="72">
        <f>Q22</f>
        <v>4.2000000000000003E-2</v>
      </c>
      <c r="U22" s="72"/>
      <c r="V22" s="72"/>
      <c r="W22" s="72">
        <f>Q22</f>
        <v>4.2000000000000003E-2</v>
      </c>
      <c r="X22" s="72"/>
      <c r="Y22" s="72"/>
      <c r="Z22" s="72">
        <f>Q22</f>
        <v>4.2000000000000003E-2</v>
      </c>
    </row>
    <row r="23" spans="1:26">
      <c r="B23" s="4" t="s">
        <v>377</v>
      </c>
      <c r="C23" s="83">
        <f>NPV(C$22,C13,C14,C15,C16,C17,C17,C18-C17)</f>
        <v>285.98184144853155</v>
      </c>
      <c r="D23" s="83">
        <f t="shared" ref="D23:Q23" si="14">NPV(D$22,D13,D14,D15,D16,D17,D17,D18-D17)</f>
        <v>305.32354708507353</v>
      </c>
      <c r="E23" s="83">
        <f t="shared" si="14"/>
        <v>564.18611760651436</v>
      </c>
      <c r="F23" s="83">
        <f t="shared" si="14"/>
        <v>618.19501287393905</v>
      </c>
      <c r="G23" s="83">
        <f t="shared" si="14"/>
        <v>757.574879214931</v>
      </c>
      <c r="H23" s="83">
        <f t="shared" si="14"/>
        <v>846.77465749640339</v>
      </c>
      <c r="I23" s="83">
        <f t="shared" si="14"/>
        <v>858.13319933287949</v>
      </c>
      <c r="J23" s="83">
        <f t="shared" si="14"/>
        <v>897.1619600539434</v>
      </c>
      <c r="K23" s="83">
        <f t="shared" si="14"/>
        <v>907.75416979697457</v>
      </c>
      <c r="L23" s="83">
        <f t="shared" si="14"/>
        <v>0</v>
      </c>
      <c r="M23" s="83">
        <f t="shared" si="14"/>
        <v>0</v>
      </c>
      <c r="N23" s="83">
        <f t="shared" si="14"/>
        <v>945.22174986758444</v>
      </c>
      <c r="O23" s="83">
        <f t="shared" si="14"/>
        <v>0</v>
      </c>
      <c r="P23" s="83">
        <f t="shared" si="14"/>
        <v>0</v>
      </c>
      <c r="Q23" s="83">
        <f t="shared" si="14"/>
        <v>934.38697149885354</v>
      </c>
      <c r="R23" s="83">
        <f t="shared" ref="R23:Z23" si="15">NPV(R22,R13,R14,R15,R16,R17,R17,(R18-R17))</f>
        <v>0</v>
      </c>
      <c r="S23" s="83">
        <f t="shared" si="15"/>
        <v>0</v>
      </c>
      <c r="T23" s="83" t="e">
        <f t="shared" si="15"/>
        <v>#REF!</v>
      </c>
      <c r="U23" s="83">
        <f t="shared" si="15"/>
        <v>0</v>
      </c>
      <c r="V23" s="83">
        <f t="shared" si="15"/>
        <v>0</v>
      </c>
      <c r="W23" s="83" t="e">
        <f t="shared" si="15"/>
        <v>#REF!</v>
      </c>
      <c r="X23" s="83">
        <f t="shared" si="15"/>
        <v>0</v>
      </c>
      <c r="Y23" s="83">
        <f t="shared" si="15"/>
        <v>0</v>
      </c>
      <c r="Z23" s="83" t="e">
        <f t="shared" si="15"/>
        <v>#REF!</v>
      </c>
    </row>
    <row r="25" spans="1:26">
      <c r="B25" s="4" t="s">
        <v>156</v>
      </c>
      <c r="C25" s="16">
        <f>MIN(C23*C22,C13/3)</f>
        <v>20.819478057453097</v>
      </c>
      <c r="D25" s="16">
        <f t="shared" ref="D25:Z25" si="16">MIN(D23*D22,D13/3)</f>
        <v>20.487210009408436</v>
      </c>
      <c r="E25" s="16">
        <f t="shared" si="16"/>
        <v>31.763678421246759</v>
      </c>
      <c r="F25" s="16">
        <f t="shared" si="16"/>
        <v>30.167916628248229</v>
      </c>
      <c r="G25" s="16">
        <f t="shared" si="16"/>
        <v>32.19693236663457</v>
      </c>
      <c r="H25" s="16">
        <f t="shared" si="16"/>
        <v>29.55243554662448</v>
      </c>
      <c r="I25" s="16">
        <f t="shared" si="16"/>
        <v>28.146768938118448</v>
      </c>
      <c r="J25" s="16">
        <f t="shared" si="16"/>
        <v>27.632588369661459</v>
      </c>
      <c r="K25" s="16">
        <f t="shared" si="16"/>
        <v>30.500540105178345</v>
      </c>
      <c r="L25" s="16">
        <f t="shared" si="16"/>
        <v>0</v>
      </c>
      <c r="M25" s="16">
        <f t="shared" si="16"/>
        <v>0</v>
      </c>
      <c r="N25" s="16">
        <f t="shared" si="16"/>
        <v>20.322267622153063</v>
      </c>
      <c r="O25" s="16">
        <f t="shared" si="16"/>
        <v>0</v>
      </c>
      <c r="P25" s="16">
        <f t="shared" si="16"/>
        <v>0</v>
      </c>
      <c r="Q25" s="16">
        <f t="shared" si="16"/>
        <v>39.244252802951848</v>
      </c>
      <c r="R25" s="16">
        <f t="shared" si="16"/>
        <v>0</v>
      </c>
      <c r="S25" s="16">
        <f t="shared" si="16"/>
        <v>0</v>
      </c>
      <c r="T25" s="16" t="e">
        <f t="shared" si="16"/>
        <v>#REF!</v>
      </c>
      <c r="U25" s="16">
        <f t="shared" si="16"/>
        <v>0</v>
      </c>
      <c r="V25" s="16">
        <f t="shared" si="16"/>
        <v>0</v>
      </c>
      <c r="W25" s="16" t="e">
        <f t="shared" si="16"/>
        <v>#REF!</v>
      </c>
      <c r="X25" s="16">
        <f t="shared" si="16"/>
        <v>0</v>
      </c>
      <c r="Y25" s="16">
        <f t="shared" si="16"/>
        <v>0</v>
      </c>
      <c r="Z25" s="16" t="e">
        <f t="shared" si="16"/>
        <v>#REF!</v>
      </c>
    </row>
    <row r="26" spans="1:26">
      <c r="B26" s="4" t="s">
        <v>103</v>
      </c>
      <c r="C26" s="16">
        <f>C13-C25</f>
        <v>55.225521942546905</v>
      </c>
      <c r="D26" s="16">
        <f>D13-D25</f>
        <v>60.882789990591569</v>
      </c>
      <c r="E26" s="16">
        <f>E13-E25</f>
        <v>119.17232157875324</v>
      </c>
      <c r="F26" s="16">
        <f>F13-F25</f>
        <v>132.03208337175175</v>
      </c>
      <c r="G26" s="16">
        <f>G13-G25</f>
        <v>149.40306763336542</v>
      </c>
      <c r="H26" s="16">
        <f t="shared" ref="H26:T26" si="17">H13-H25</f>
        <v>163.44756445337552</v>
      </c>
      <c r="I26" s="16">
        <f t="shared" si="17"/>
        <v>173.85323106188156</v>
      </c>
      <c r="J26" s="16">
        <f t="shared" si="17"/>
        <v>177.76741163033856</v>
      </c>
      <c r="K26" s="16">
        <f t="shared" si="17"/>
        <v>191.59945989482165</v>
      </c>
      <c r="L26" s="16"/>
      <c r="M26" s="16"/>
      <c r="N26" s="16">
        <f t="shared" si="17"/>
        <v>203.77773237784692</v>
      </c>
      <c r="O26" s="16"/>
      <c r="P26" s="16"/>
      <c r="Q26" s="16">
        <f t="shared" si="17"/>
        <v>174.25574719704815</v>
      </c>
      <c r="R26" s="16"/>
      <c r="S26" s="16"/>
      <c r="T26" s="16" t="e">
        <f t="shared" si="17"/>
        <v>#REF!</v>
      </c>
      <c r="U26" s="16"/>
      <c r="V26" s="16"/>
      <c r="W26" s="16" t="e">
        <f>W13-W25</f>
        <v>#REF!</v>
      </c>
      <c r="X26" s="16"/>
      <c r="Y26" s="16"/>
      <c r="Z26" s="16" t="e">
        <f>Z13-Z25</f>
        <v>#REF!</v>
      </c>
    </row>
    <row r="28" spans="1:26">
      <c r="B28" s="4" t="s">
        <v>24</v>
      </c>
      <c r="C28" s="16" t="e">
        <f>C3+C25</f>
        <v>#REF!</v>
      </c>
      <c r="D28" s="16" t="e">
        <f>D3+D25</f>
        <v>#REF!</v>
      </c>
      <c r="E28" s="16" t="e">
        <f>E3+E25</f>
        <v>#REF!</v>
      </c>
      <c r="F28" s="16" t="e">
        <f>F3+F25</f>
        <v>#REF!</v>
      </c>
      <c r="G28" s="16" t="e">
        <f>G3+G25</f>
        <v>#REF!</v>
      </c>
      <c r="H28" s="16" t="e">
        <f t="shared" ref="H28:T28" si="18">H3+H25</f>
        <v>#REF!</v>
      </c>
      <c r="I28" s="16" t="e">
        <f t="shared" si="18"/>
        <v>#REF!</v>
      </c>
      <c r="J28" s="16">
        <f t="shared" si="18"/>
        <v>234.93258836966143</v>
      </c>
      <c r="K28" s="16">
        <f t="shared" si="18"/>
        <v>250.10054010517834</v>
      </c>
      <c r="L28" s="16"/>
      <c r="M28" s="16"/>
      <c r="N28" s="16">
        <f t="shared" si="18"/>
        <v>248.42226762215307</v>
      </c>
      <c r="O28" s="16"/>
      <c r="P28" s="16"/>
      <c r="Q28" s="16">
        <f t="shared" si="18"/>
        <v>275.34425280295181</v>
      </c>
      <c r="R28" s="16"/>
      <c r="S28" s="16"/>
      <c r="T28" s="16" t="e">
        <f t="shared" si="18"/>
        <v>#REF!</v>
      </c>
      <c r="U28" s="16"/>
      <c r="V28" s="16"/>
      <c r="W28" s="16" t="e">
        <f>W3+W25</f>
        <v>#REF!</v>
      </c>
      <c r="X28" s="16"/>
      <c r="Y28" s="16"/>
      <c r="Z28" s="16" t="e">
        <f>Z3+Z25</f>
        <v>#REF!</v>
      </c>
    </row>
    <row r="29" spans="1:26">
      <c r="B29" s="4" t="s">
        <v>378</v>
      </c>
      <c r="C29" s="16" t="e">
        <f>C4-(C25*0.3)</f>
        <v>#REF!</v>
      </c>
      <c r="D29" s="16" t="e">
        <f>D4-(D25*0.3)</f>
        <v>#REF!</v>
      </c>
      <c r="E29" s="16" t="e">
        <f>E4-(E25*0.3)</f>
        <v>#REF!</v>
      </c>
      <c r="F29" s="16" t="e">
        <f>F4-(F25*0.3)</f>
        <v>#REF!</v>
      </c>
      <c r="G29" s="16" t="e">
        <f>G4-(G25*0.3)</f>
        <v>#REF!</v>
      </c>
      <c r="H29" s="16" t="e">
        <f t="shared" ref="H29:T29" si="19">H4-(H25*0.3)</f>
        <v>#REF!</v>
      </c>
      <c r="I29" s="16" t="e">
        <f t="shared" si="19"/>
        <v>#REF!</v>
      </c>
      <c r="J29" s="16">
        <f t="shared" si="19"/>
        <v>-70.629776510898481</v>
      </c>
      <c r="K29" s="16">
        <f t="shared" si="19"/>
        <v>-73.060162031553503</v>
      </c>
      <c r="L29" s="16"/>
      <c r="M29" s="16"/>
      <c r="N29" s="16">
        <f t="shared" si="19"/>
        <v>-64.086680286645915</v>
      </c>
      <c r="O29" s="16"/>
      <c r="P29" s="16"/>
      <c r="Q29" s="16">
        <f t="shared" si="19"/>
        <v>-78.813275840885581</v>
      </c>
      <c r="R29" s="16"/>
      <c r="S29" s="16"/>
      <c r="T29" s="16" t="e">
        <f t="shared" si="19"/>
        <v>#REF!</v>
      </c>
      <c r="U29" s="16"/>
      <c r="V29" s="16"/>
      <c r="W29" s="16" t="e">
        <f>W4-(W25*0.3)</f>
        <v>#REF!</v>
      </c>
      <c r="X29" s="16"/>
      <c r="Y29" s="16"/>
      <c r="Z29" s="16" t="e">
        <f>Z4-(Z25*0.3)</f>
        <v>#REF!</v>
      </c>
    </row>
    <row r="30" spans="1:26">
      <c r="B30" s="4" t="s">
        <v>379</v>
      </c>
      <c r="C30" s="16" t="e">
        <f>C28-C29</f>
        <v>#REF!</v>
      </c>
      <c r="D30" s="16" t="e">
        <f>D28-D29</f>
        <v>#REF!</v>
      </c>
      <c r="E30" s="16" t="e">
        <f>E28-E29</f>
        <v>#REF!</v>
      </c>
      <c r="F30" s="16" t="e">
        <f>F28-F29</f>
        <v>#REF!</v>
      </c>
      <c r="G30" s="16" t="e">
        <f>G28-G29</f>
        <v>#REF!</v>
      </c>
      <c r="H30" s="16" t="e">
        <f t="shared" ref="H30:T30" si="20">H28-H29</f>
        <v>#REF!</v>
      </c>
      <c r="I30" s="16" t="e">
        <f t="shared" si="20"/>
        <v>#REF!</v>
      </c>
      <c r="J30" s="16">
        <f t="shared" si="20"/>
        <v>305.56236488055993</v>
      </c>
      <c r="K30" s="16">
        <f t="shared" si="20"/>
        <v>323.16070213673186</v>
      </c>
      <c r="L30" s="16"/>
      <c r="M30" s="16"/>
      <c r="N30" s="16">
        <f t="shared" si="20"/>
        <v>312.50894790879897</v>
      </c>
      <c r="O30" s="16"/>
      <c r="P30" s="16"/>
      <c r="Q30" s="16">
        <f t="shared" si="20"/>
        <v>354.1575286438374</v>
      </c>
      <c r="R30" s="16"/>
      <c r="S30" s="16"/>
      <c r="T30" s="16" t="e">
        <f t="shared" si="20"/>
        <v>#REF!</v>
      </c>
      <c r="U30" s="16"/>
      <c r="V30" s="16"/>
      <c r="W30" s="16" t="e">
        <f>W28-W29</f>
        <v>#REF!</v>
      </c>
      <c r="X30" s="16"/>
      <c r="Y30" s="16"/>
      <c r="Z30" s="16" t="e">
        <f>Z28-Z29</f>
        <v>#REF!</v>
      </c>
    </row>
    <row r="32" spans="1:26">
      <c r="A32" s="4">
        <f>ROW(MODEL!B25)</f>
        <v>25</v>
      </c>
      <c r="B32" s="4" t="s">
        <v>66</v>
      </c>
      <c r="C32" s="16" t="e">
        <f t="shared" ref="C32:N32" si="21">INDEX(Model,$A32,C$1)</f>
        <v>#REF!</v>
      </c>
      <c r="D32" s="16" t="e">
        <f t="shared" si="21"/>
        <v>#REF!</v>
      </c>
      <c r="E32" s="16" t="e">
        <f t="shared" si="21"/>
        <v>#REF!</v>
      </c>
      <c r="F32" s="16" t="e">
        <f t="shared" si="21"/>
        <v>#REF!</v>
      </c>
      <c r="G32" s="16" t="e">
        <f t="shared" si="21"/>
        <v>#REF!</v>
      </c>
      <c r="H32" s="16" t="e">
        <f t="shared" si="21"/>
        <v>#REF!</v>
      </c>
      <c r="I32" s="16" t="e">
        <f t="shared" si="21"/>
        <v>#REF!</v>
      </c>
      <c r="J32" s="16">
        <f t="shared" si="21"/>
        <v>278</v>
      </c>
      <c r="K32" s="16">
        <f t="shared" si="21"/>
        <v>294.10000000000002</v>
      </c>
      <c r="L32" s="16"/>
      <c r="M32" s="16"/>
      <c r="N32" s="16">
        <f t="shared" si="21"/>
        <v>314.7</v>
      </c>
      <c r="O32" s="16"/>
      <c r="P32" s="16"/>
      <c r="Q32" s="16">
        <f>INDEX(Model,$A32,Q$1)-MODEL!N219</f>
        <v>328.1</v>
      </c>
      <c r="R32" s="16"/>
      <c r="S32" s="16"/>
      <c r="T32" s="16">
        <f>INDEX(Model,$A32,T$1)-MODEL!Q219</f>
        <v>557.4</v>
      </c>
      <c r="U32" s="16"/>
      <c r="V32" s="16"/>
      <c r="W32" s="16">
        <f>INDEX(Model,$A32,W$1)-MODEL!T219</f>
        <v>464.3</v>
      </c>
      <c r="X32" s="16"/>
      <c r="Y32" s="16"/>
      <c r="Z32" s="16">
        <f>INDEX(Model,$A32,Z$1)-MODEL!W219</f>
        <v>1347.2099493286023</v>
      </c>
    </row>
    <row r="33" spans="1:26">
      <c r="B33" s="4" t="s">
        <v>380</v>
      </c>
      <c r="C33" s="16" t="e">
        <f>C32+C13</f>
        <v>#REF!</v>
      </c>
      <c r="D33" s="16" t="e">
        <f>D32+D13</f>
        <v>#REF!</v>
      </c>
      <c r="E33" s="16" t="e">
        <f>E32+E13</f>
        <v>#REF!</v>
      </c>
      <c r="F33" s="16" t="e">
        <f>F32+F13</f>
        <v>#REF!</v>
      </c>
      <c r="G33" s="16" t="e">
        <f>G32+G13</f>
        <v>#REF!</v>
      </c>
      <c r="H33" s="16" t="e">
        <f t="shared" ref="H33:T33" si="22">H32+H13</f>
        <v>#REF!</v>
      </c>
      <c r="I33" s="16" t="e">
        <f t="shared" si="22"/>
        <v>#REF!</v>
      </c>
      <c r="J33" s="16">
        <f t="shared" si="22"/>
        <v>483.4</v>
      </c>
      <c r="K33" s="16">
        <f t="shared" si="22"/>
        <v>516.20000000000005</v>
      </c>
      <c r="L33" s="16"/>
      <c r="M33" s="16"/>
      <c r="N33" s="16">
        <f t="shared" si="22"/>
        <v>538.79999999999995</v>
      </c>
      <c r="O33" s="16"/>
      <c r="P33" s="16"/>
      <c r="Q33" s="16">
        <f t="shared" si="22"/>
        <v>541.6</v>
      </c>
      <c r="R33" s="16"/>
      <c r="S33" s="16"/>
      <c r="T33" s="16" t="e">
        <f t="shared" si="22"/>
        <v>#REF!</v>
      </c>
      <c r="U33" s="16"/>
      <c r="V33" s="16"/>
      <c r="W33" s="16" t="e">
        <f>W32+W13</f>
        <v>#REF!</v>
      </c>
      <c r="X33" s="16"/>
      <c r="Y33" s="16"/>
      <c r="Z33" s="16" t="e">
        <f>Z32+Z13</f>
        <v>#REF!</v>
      </c>
    </row>
    <row r="36" spans="1:26">
      <c r="A36" s="4">
        <f>ROW(MODEL!B132)</f>
        <v>132</v>
      </c>
      <c r="B36" s="4" t="s">
        <v>264</v>
      </c>
      <c r="C36" s="16" t="e">
        <f t="shared" ref="C36:Z36" si="23">INDEX(Model,$A36,C$1)</f>
        <v>#REF!</v>
      </c>
      <c r="D36" s="16" t="e">
        <f t="shared" si="23"/>
        <v>#REF!</v>
      </c>
      <c r="E36" s="16" t="e">
        <f t="shared" si="23"/>
        <v>#REF!</v>
      </c>
      <c r="F36" s="16" t="e">
        <f t="shared" si="23"/>
        <v>#REF!</v>
      </c>
      <c r="G36" s="16" t="e">
        <f t="shared" si="23"/>
        <v>#REF!</v>
      </c>
      <c r="H36" s="16" t="e">
        <f t="shared" si="23"/>
        <v>#REF!</v>
      </c>
      <c r="I36" s="16" t="e">
        <f t="shared" si="23"/>
        <v>#REF!</v>
      </c>
      <c r="J36" s="16">
        <f t="shared" si="23"/>
        <v>380.70000000000005</v>
      </c>
      <c r="K36" s="16">
        <f t="shared" si="23"/>
        <v>422.90000000000003</v>
      </c>
      <c r="L36" s="16"/>
      <c r="M36" s="16"/>
      <c r="N36" s="16">
        <f t="shared" si="23"/>
        <v>386.7</v>
      </c>
      <c r="O36" s="16"/>
      <c r="P36" s="16"/>
      <c r="Q36" s="16">
        <f t="shared" si="23"/>
        <v>902</v>
      </c>
      <c r="R36" s="16"/>
      <c r="S36" s="16"/>
      <c r="T36" s="16">
        <f t="shared" si="23"/>
        <v>747.30000000000018</v>
      </c>
      <c r="U36" s="16"/>
      <c r="V36" s="16"/>
      <c r="W36" s="16">
        <f t="shared" si="23"/>
        <v>997.30000000000018</v>
      </c>
      <c r="X36" s="16"/>
      <c r="Y36" s="16"/>
      <c r="Z36" s="16">
        <f t="shared" si="23"/>
        <v>676.09542396076836</v>
      </c>
    </row>
    <row r="37" spans="1:26">
      <c r="B37" s="4" t="s">
        <v>381</v>
      </c>
      <c r="C37" s="16" t="e">
        <f>C36+C23</f>
        <v>#REF!</v>
      </c>
      <c r="D37" s="16" t="e">
        <f>D36+D23</f>
        <v>#REF!</v>
      </c>
      <c r="E37" s="16" t="e">
        <f>E36+E23</f>
        <v>#REF!</v>
      </c>
      <c r="F37" s="16" t="e">
        <f>F36+F23</f>
        <v>#REF!</v>
      </c>
      <c r="G37" s="16" t="e">
        <f>G36+G23</f>
        <v>#REF!</v>
      </c>
      <c r="H37" s="16" t="e">
        <f t="shared" ref="H37:T37" si="24">H36+H23</f>
        <v>#REF!</v>
      </c>
      <c r="I37" s="16" t="e">
        <f t="shared" si="24"/>
        <v>#REF!</v>
      </c>
      <c r="J37" s="16">
        <f t="shared" si="24"/>
        <v>1277.8619600539434</v>
      </c>
      <c r="K37" s="16">
        <f t="shared" si="24"/>
        <v>1330.6541697969747</v>
      </c>
      <c r="L37" s="16"/>
      <c r="M37" s="16"/>
      <c r="N37" s="16">
        <f t="shared" si="24"/>
        <v>1331.9217498675844</v>
      </c>
      <c r="O37" s="16"/>
      <c r="P37" s="16"/>
      <c r="Q37" s="16">
        <f t="shared" si="24"/>
        <v>1836.3869714988537</v>
      </c>
      <c r="R37" s="16"/>
      <c r="S37" s="16"/>
      <c r="T37" s="16" t="e">
        <f t="shared" si="24"/>
        <v>#REF!</v>
      </c>
      <c r="U37" s="16"/>
      <c r="V37" s="16"/>
      <c r="W37" s="16" t="e">
        <f>W36+W23</f>
        <v>#REF!</v>
      </c>
      <c r="X37" s="16"/>
      <c r="Y37" s="16"/>
      <c r="Z37" s="16" t="e">
        <f>Z36+Z23</f>
        <v>#REF!</v>
      </c>
    </row>
    <row r="39" spans="1:26">
      <c r="B39" s="63" t="s">
        <v>382</v>
      </c>
      <c r="C39" s="84" t="e">
        <f>C37/C33</f>
        <v>#REF!</v>
      </c>
      <c r="D39" s="84" t="e">
        <f>D37/D33</f>
        <v>#REF!</v>
      </c>
      <c r="E39" s="84" t="e">
        <f>E37/E33</f>
        <v>#REF!</v>
      </c>
      <c r="F39" s="84" t="e">
        <f>F37/F33</f>
        <v>#REF!</v>
      </c>
      <c r="G39" s="84" t="e">
        <f>G37/G33</f>
        <v>#REF!</v>
      </c>
      <c r="H39" s="84" t="e">
        <f t="shared" ref="H39:T39" si="25">H37/H33</f>
        <v>#REF!</v>
      </c>
      <c r="I39" s="84" t="e">
        <f t="shared" si="25"/>
        <v>#REF!</v>
      </c>
      <c r="J39" s="84">
        <f t="shared" si="25"/>
        <v>2.6434877121513107</v>
      </c>
      <c r="K39" s="84">
        <f t="shared" si="25"/>
        <v>2.5777880081305202</v>
      </c>
      <c r="L39" s="84"/>
      <c r="M39" s="84"/>
      <c r="N39" s="84">
        <f t="shared" si="25"/>
        <v>2.4720151259606244</v>
      </c>
      <c r="O39" s="84"/>
      <c r="P39" s="84"/>
      <c r="Q39" s="84">
        <f t="shared" si="25"/>
        <v>3.3906701837128019</v>
      </c>
      <c r="R39" s="84"/>
      <c r="S39" s="84"/>
      <c r="T39" s="84" t="e">
        <f t="shared" si="25"/>
        <v>#REF!</v>
      </c>
      <c r="U39" s="84"/>
      <c r="V39" s="84"/>
      <c r="W39" s="84" t="e">
        <f>W37/W33</f>
        <v>#REF!</v>
      </c>
      <c r="X39" s="84"/>
      <c r="Y39" s="84"/>
      <c r="Z39" s="84" t="e">
        <f>Z37/Z33</f>
        <v>#REF!</v>
      </c>
    </row>
    <row r="40" spans="1:26">
      <c r="B40" s="63" t="s">
        <v>383</v>
      </c>
      <c r="C40" s="84" t="e">
        <f>C36/C32</f>
        <v>#REF!</v>
      </c>
      <c r="D40" s="84" t="e">
        <f>D36/D32</f>
        <v>#REF!</v>
      </c>
      <c r="E40" s="84" t="e">
        <f>E36/E32</f>
        <v>#REF!</v>
      </c>
      <c r="F40" s="84" t="e">
        <f>F36/F32</f>
        <v>#REF!</v>
      </c>
      <c r="G40" s="84" t="e">
        <f>G36/G32</f>
        <v>#REF!</v>
      </c>
      <c r="H40" s="84" t="e">
        <f t="shared" ref="H40:T40" si="26">H36/H32</f>
        <v>#REF!</v>
      </c>
      <c r="I40" s="84" t="e">
        <f t="shared" si="26"/>
        <v>#REF!</v>
      </c>
      <c r="J40" s="84">
        <f t="shared" si="26"/>
        <v>1.3694244604316548</v>
      </c>
      <c r="K40" s="84">
        <f t="shared" si="26"/>
        <v>1.4379462767766067</v>
      </c>
      <c r="L40" s="84"/>
      <c r="M40" s="84"/>
      <c r="N40" s="84">
        <f t="shared" si="26"/>
        <v>1.228789323164919</v>
      </c>
      <c r="O40" s="84"/>
      <c r="P40" s="84"/>
      <c r="Q40" s="84">
        <f t="shared" si="26"/>
        <v>2.7491618409021639</v>
      </c>
      <c r="R40" s="84"/>
      <c r="S40" s="84"/>
      <c r="T40" s="84">
        <f t="shared" si="26"/>
        <v>1.340688912809473</v>
      </c>
      <c r="U40" s="84"/>
      <c r="V40" s="84"/>
      <c r="W40" s="84">
        <f>W36/W32</f>
        <v>2.1479646780099078</v>
      </c>
      <c r="X40" s="84"/>
      <c r="Y40" s="84"/>
      <c r="Z40" s="84">
        <f>Z36/Z32</f>
        <v>0.50184859776140189</v>
      </c>
    </row>
    <row r="42" spans="1:26">
      <c r="B42" s="4" t="s">
        <v>697</v>
      </c>
      <c r="K42" s="16">
        <f>K25+MODEL!H37-MODEL!H221</f>
        <v>12.800540105178346</v>
      </c>
      <c r="L42" s="16">
        <f>L25+MODEL!I37-MODEL!I221</f>
        <v>-11</v>
      </c>
      <c r="M42" s="16">
        <f>M25+MODEL!J37-MODEL!J221</f>
        <v>-10.3</v>
      </c>
      <c r="N42" s="16">
        <f>N25+MODEL!K37-MODEL!K221</f>
        <v>-0.97773237784693734</v>
      </c>
      <c r="O42" s="16">
        <f>O25+MODEL!L37-MODEL!L221</f>
        <v>-9.3999999999999986</v>
      </c>
      <c r="P42" s="16">
        <f>P25+MODEL!M37-MODEL!M221</f>
        <v>-8.4000000000000057</v>
      </c>
      <c r="Q42" s="16">
        <f>Q25+MODEL!N37-MODEL!N221</f>
        <v>21.444252802951844</v>
      </c>
      <c r="R42" s="16">
        <f>R25+MODEL!O37-MODEL!O221</f>
        <v>-3.1000000000000014</v>
      </c>
      <c r="S42" s="16">
        <f>S25+MODEL!P37-MODEL!P221</f>
        <v>-2.6999999999999993</v>
      </c>
      <c r="T42" s="16" t="e">
        <f>T25+MODEL!Q37-MODEL!Q221</f>
        <v>#REF!</v>
      </c>
      <c r="U42" s="16">
        <f>U25+MODEL!R37-MODEL!R221</f>
        <v>-3.1999999999999993</v>
      </c>
      <c r="V42" s="16">
        <f>V25+MODEL!S37-MODEL!S221</f>
        <v>-4.9000000000000021</v>
      </c>
      <c r="W42" s="16" t="e">
        <f>W25+MODEL!T37-MODEL!T221</f>
        <v>#REF!</v>
      </c>
      <c r="X42" s="16">
        <f>X25+MODEL!W37-MODEL!W221</f>
        <v>-5.3243053337591846</v>
      </c>
      <c r="Y42" s="16">
        <f>Y25+MODEL!Z37-MODEL!Z221</f>
        <v>-10.813669754072173</v>
      </c>
      <c r="Z42" s="16" t="e">
        <f>Z25+MODEL!AC37-MODEL!AC221</f>
        <v>#REF!</v>
      </c>
    </row>
    <row r="44" spans="1:26">
      <c r="B44" s="4" t="s">
        <v>698</v>
      </c>
      <c r="K44" s="4">
        <f>MODEL!H37-MODEL!H221</f>
        <v>-17.7</v>
      </c>
      <c r="L44" s="4">
        <f>MODEL!I37-MODEL!I221</f>
        <v>-11</v>
      </c>
      <c r="M44" s="4">
        <f>MODEL!J37-MODEL!J221</f>
        <v>-10.3</v>
      </c>
      <c r="N44" s="4">
        <f>MODEL!K37-MODEL!K221</f>
        <v>-21.3</v>
      </c>
      <c r="O44" s="4">
        <f>MODEL!L37-MODEL!L221</f>
        <v>-9.3999999999999986</v>
      </c>
      <c r="P44" s="4">
        <f>MODEL!M37-MODEL!M221</f>
        <v>-8.4000000000000057</v>
      </c>
      <c r="Q44" s="4">
        <f>MODEL!N37-MODEL!N221</f>
        <v>-17.800000000000004</v>
      </c>
      <c r="R44" s="4">
        <f>MODEL!O37-MODEL!O221</f>
        <v>-3.1000000000000014</v>
      </c>
      <c r="S44" s="4">
        <f>MODEL!P37-MODEL!P221</f>
        <v>-2.6999999999999993</v>
      </c>
      <c r="T44" s="16">
        <f>MODEL!Q37-MODEL!Q221</f>
        <v>-5.7999999999999972</v>
      </c>
      <c r="U44" s="16">
        <f>MODEL!R37-MODEL!R221</f>
        <v>-3.1999999999999993</v>
      </c>
      <c r="V44" s="16">
        <f>MODEL!S37-MODEL!S221</f>
        <v>-4.9000000000000021</v>
      </c>
      <c r="W44" s="16">
        <f>MODEL!T37-MODEL!T221</f>
        <v>-8.1000000000000014</v>
      </c>
      <c r="X44" s="16">
        <f>MODEL!W37-MODEL!W221</f>
        <v>-5.3243053337591846</v>
      </c>
      <c r="Y44" s="16">
        <f>MODEL!Z37-MODEL!Z221</f>
        <v>-10.813669754072173</v>
      </c>
      <c r="Z44" s="16">
        <f>MODEL!AC37-MODEL!AC221</f>
        <v>-25.650399233471724</v>
      </c>
    </row>
  </sheetData>
  <pageMargins left="0.7" right="0.7" top="0.75" bottom="0.75" header="0.3" footer="0.3"/>
  <pageSetup paperSize="0" orientation="portrait" r:id="rId1"/>
  <customProperties>
    <customPr name="Qube.Worksheet.Visibility" r:id="rId2"/>
  </customPropertie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pageSetUpPr fitToPage="1"/>
  </sheetPr>
  <dimension ref="A1:O20"/>
  <sheetViews>
    <sheetView workbookViewId="0"/>
  </sheetViews>
  <sheetFormatPr defaultColWidth="9.140625" defaultRowHeight="15" outlineLevelCol="1"/>
  <cols>
    <col min="1" max="1" width="36.42578125" style="172" customWidth="1"/>
    <col min="2" max="2" width="9.140625" style="172"/>
    <col min="3" max="4" width="9.140625" style="172" hidden="1" customWidth="1" outlineLevel="1"/>
    <col min="5" max="5" width="9.140625" style="172" collapsed="1"/>
    <col min="6" max="7" width="9.140625" style="172" hidden="1" customWidth="1" outlineLevel="1"/>
    <col min="8" max="8" width="9.140625" style="172" collapsed="1"/>
    <col min="9" max="10" width="0" style="172" hidden="1" customWidth="1" outlineLevel="1"/>
    <col min="11" max="11" width="9.140625" style="172" collapsed="1"/>
    <col min="12" max="13" width="0" style="172" hidden="1" customWidth="1" outlineLevel="1"/>
    <col min="14" max="14" width="9.140625" style="172" collapsed="1"/>
    <col min="15" max="16384" width="9.140625" style="172"/>
  </cols>
  <sheetData>
    <row r="1" spans="1:15">
      <c r="A1" s="174" t="s">
        <v>557</v>
      </c>
      <c r="B1" s="172" t="s">
        <v>361</v>
      </c>
      <c r="E1" s="172" t="s">
        <v>409</v>
      </c>
      <c r="H1" s="172" t="s">
        <v>410</v>
      </c>
      <c r="K1" s="172" t="s">
        <v>411</v>
      </c>
      <c r="N1" s="172" t="s">
        <v>526</v>
      </c>
      <c r="O1" s="172" t="s">
        <v>527</v>
      </c>
    </row>
    <row r="2" spans="1:15">
      <c r="A2" s="170" t="s">
        <v>66</v>
      </c>
      <c r="B2" s="173">
        <f>'Ratio analysis'!K32</f>
        <v>294.10000000000002</v>
      </c>
      <c r="C2" s="173"/>
      <c r="D2" s="173"/>
      <c r="E2" s="173">
        <f>'Ratio analysis'!N32</f>
        <v>314.7</v>
      </c>
      <c r="F2" s="173"/>
      <c r="G2" s="173"/>
      <c r="H2" s="173">
        <f>'Ratio analysis'!Q32</f>
        <v>328.1</v>
      </c>
      <c r="I2" s="173"/>
      <c r="J2" s="173"/>
      <c r="K2" s="173">
        <f>'Ratio analysis'!T32</f>
        <v>557.4</v>
      </c>
      <c r="L2" s="173"/>
      <c r="M2" s="173"/>
      <c r="N2" s="173">
        <f>'Ratio analysis'!W32</f>
        <v>464.3</v>
      </c>
      <c r="O2" s="173">
        <f>'Ratio analysis'!Z32</f>
        <v>1347.2099493286023</v>
      </c>
    </row>
    <row r="3" spans="1:15">
      <c r="A3" s="170" t="s">
        <v>699</v>
      </c>
      <c r="B3" s="173">
        <f>'Ratio analysis'!K33</f>
        <v>516.20000000000005</v>
      </c>
      <c r="C3" s="173"/>
      <c r="D3" s="173"/>
      <c r="E3" s="173">
        <f>'Ratio analysis'!N33</f>
        <v>538.79999999999995</v>
      </c>
      <c r="F3" s="173"/>
      <c r="G3" s="173"/>
      <c r="H3" s="173">
        <f>MODEL!N25</f>
        <v>533.20000000000005</v>
      </c>
      <c r="I3" s="173">
        <f>MODEL!O25</f>
        <v>418.1</v>
      </c>
      <c r="J3" s="173">
        <f>MODEL!P25</f>
        <v>358.1</v>
      </c>
      <c r="K3" s="173">
        <f>MODEL!Q25</f>
        <v>776.2</v>
      </c>
      <c r="L3" s="173">
        <f>MODEL!R25</f>
        <v>329.4</v>
      </c>
      <c r="M3" s="173">
        <f>MODEL!S25</f>
        <v>372.4</v>
      </c>
      <c r="N3" s="173">
        <f>MODEL!T25</f>
        <v>701.8</v>
      </c>
      <c r="O3" s="173">
        <f>MODEL!W25</f>
        <v>763.4</v>
      </c>
    </row>
    <row r="4" spans="1:15">
      <c r="A4"/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</row>
    <row r="5" spans="1:15">
      <c r="A5" s="171" t="s">
        <v>700</v>
      </c>
    </row>
    <row r="6" spans="1:15">
      <c r="A6" s="170" t="s">
        <v>264</v>
      </c>
      <c r="B6" s="173">
        <f>'Ratio analysis'!K36</f>
        <v>422.90000000000003</v>
      </c>
      <c r="C6" s="173"/>
      <c r="D6" s="173"/>
      <c r="E6" s="173">
        <f>'Ratio analysis'!N36</f>
        <v>386.7</v>
      </c>
      <c r="F6" s="173"/>
      <c r="G6" s="173"/>
      <c r="H6" s="173">
        <f>'Ratio analysis'!Q36</f>
        <v>902</v>
      </c>
      <c r="I6" s="173"/>
      <c r="J6" s="173"/>
      <c r="K6" s="173">
        <f>'Ratio analysis'!T36</f>
        <v>747.30000000000018</v>
      </c>
      <c r="L6" s="173"/>
      <c r="M6" s="173"/>
      <c r="N6" s="173">
        <f>'Ratio analysis'!W36</f>
        <v>997.30000000000018</v>
      </c>
      <c r="O6" s="173">
        <f>'Ratio analysis'!Z36</f>
        <v>676.09542396076836</v>
      </c>
    </row>
    <row r="7" spans="1:15">
      <c r="A7" s="170" t="s">
        <v>701</v>
      </c>
      <c r="B7" s="173">
        <f>B6+MODEL!H150</f>
        <v>438.1</v>
      </c>
      <c r="C7" s="173">
        <f>C6+MODEL!I150</f>
        <v>63.40000000000002</v>
      </c>
      <c r="D7" s="173">
        <f>D6+MODEL!J150</f>
        <v>7.5</v>
      </c>
      <c r="E7" s="173">
        <f>E6+MODEL!K150</f>
        <v>394.2</v>
      </c>
      <c r="F7" s="173">
        <f>F6+MODEL!L150</f>
        <v>57.100000000000023</v>
      </c>
      <c r="G7" s="173">
        <f>G6+MODEL!M150</f>
        <v>285.09999999999997</v>
      </c>
      <c r="H7" s="173">
        <f>H6+MODEL!N150</f>
        <v>1187.0999999999999</v>
      </c>
      <c r="I7" s="173">
        <f>I6+MODEL!O150</f>
        <v>416.8</v>
      </c>
      <c r="J7" s="173">
        <f>J6+MODEL!P150</f>
        <v>242.2999999999999</v>
      </c>
      <c r="K7" s="173">
        <f>K6+MODEL!Q150</f>
        <v>989.60000000000014</v>
      </c>
      <c r="L7" s="173">
        <f>L6+MODEL!R150</f>
        <v>94.099999999999881</v>
      </c>
      <c r="M7" s="173">
        <f>M6+MODEL!S150</f>
        <v>13.399999999999807</v>
      </c>
      <c r="N7" s="173">
        <f>N6+MODEL!T150</f>
        <v>1010.7</v>
      </c>
      <c r="O7" s="173">
        <f>O6+MODEL!W150</f>
        <v>868.39542396076808</v>
      </c>
    </row>
    <row r="8" spans="1:15">
      <c r="A8" s="170" t="s">
        <v>707</v>
      </c>
      <c r="B8" s="176">
        <f>B6/B2</f>
        <v>1.4379462767766067</v>
      </c>
      <c r="C8" s="176"/>
      <c r="D8" s="176"/>
      <c r="E8" s="176">
        <f>E6/E2</f>
        <v>1.228789323164919</v>
      </c>
      <c r="F8" s="176"/>
      <c r="G8" s="176"/>
      <c r="H8" s="176">
        <f>H6/H2</f>
        <v>2.7491618409021639</v>
      </c>
      <c r="I8" s="176"/>
      <c r="J8" s="176"/>
      <c r="K8" s="176">
        <f>K6/K2</f>
        <v>1.340688912809473</v>
      </c>
      <c r="L8" s="176"/>
      <c r="M8" s="176"/>
      <c r="N8" s="176">
        <f>N6/N2</f>
        <v>2.1479646780099078</v>
      </c>
      <c r="O8" s="176">
        <f>O6/O2</f>
        <v>0.50184859776140189</v>
      </c>
    </row>
    <row r="9" spans="1:15">
      <c r="A9" s="170" t="s">
        <v>708</v>
      </c>
      <c r="B9" s="176" t="e">
        <f>(B2+'Ratio analysis'!K9)/('Ratio analysis'!K9+MODEL!H136)</f>
        <v>#REF!</v>
      </c>
      <c r="C9" s="176">
        <f>(C2+'Ratio analysis'!L9)/('Ratio analysis'!L9+MODEL!I136)</f>
        <v>0</v>
      </c>
      <c r="D9" s="176">
        <f>(D2+'Ratio analysis'!M9)/('Ratio analysis'!M9+MODEL!J136)</f>
        <v>0</v>
      </c>
      <c r="E9" s="176" t="e">
        <f>(E2+'Ratio analysis'!N9)/('Ratio analysis'!N9+MODEL!K136)</f>
        <v>#REF!</v>
      </c>
      <c r="F9" s="176">
        <f>(F2+'Ratio analysis'!O9)/('Ratio analysis'!O9+MODEL!L136)</f>
        <v>0</v>
      </c>
      <c r="G9" s="176">
        <f>(G2+'Ratio analysis'!P9)/('Ratio analysis'!P9+MODEL!M136)</f>
        <v>0</v>
      </c>
      <c r="H9" s="176" t="e">
        <f>(H2+'Ratio analysis'!Q9)/('Ratio analysis'!Q9+MODEL!N136)</f>
        <v>#REF!</v>
      </c>
      <c r="I9" s="176">
        <f>(I2+'Ratio analysis'!R9)/('Ratio analysis'!R9+MODEL!O136)</f>
        <v>0</v>
      </c>
      <c r="J9" s="176">
        <f>(J2+'Ratio analysis'!S9)/('Ratio analysis'!S9+MODEL!P136)</f>
        <v>0</v>
      </c>
      <c r="K9" s="176" t="e">
        <f>(K2+'Ratio analysis'!T9)/('Ratio analysis'!T9+MODEL!Q136)</f>
        <v>#REF!</v>
      </c>
      <c r="L9" s="176" t="e">
        <f>(L2+'Ratio analysis'!U9)/('Ratio analysis'!U9+MODEL!R136)</f>
        <v>#DIV/0!</v>
      </c>
      <c r="M9" s="176">
        <f>(M2+'Ratio analysis'!V9)/('Ratio analysis'!V9+MODEL!S136)</f>
        <v>0</v>
      </c>
      <c r="N9" s="176" t="e">
        <f>(N2+'Ratio analysis'!W9)/('Ratio analysis'!W9+MODEL!T136)</f>
        <v>#REF!</v>
      </c>
      <c r="O9" s="176" t="e">
        <f>(O2+'Ratio analysis'!Z9)/('Ratio analysis'!Z9+MODEL!W136)</f>
        <v>#REF!</v>
      </c>
    </row>
    <row r="10" spans="1:15">
      <c r="A10" s="170" t="s">
        <v>709</v>
      </c>
      <c r="B10" s="176">
        <f>'Ratio analysis'!K3/'Ratio analysis'!K44</f>
        <v>-12.40677966101695</v>
      </c>
      <c r="C10" s="176">
        <f>'Ratio analysis'!L3/'Ratio analysis'!L44</f>
        <v>0</v>
      </c>
      <c r="D10" s="176">
        <f>'Ratio analysis'!M3/'Ratio analysis'!M44</f>
        <v>0</v>
      </c>
      <c r="E10" s="176">
        <f>'Ratio analysis'!N3/'Ratio analysis'!N44</f>
        <v>-10.708920187793426</v>
      </c>
      <c r="F10" s="176">
        <f>'Ratio analysis'!O3/'Ratio analysis'!O44</f>
        <v>0</v>
      </c>
      <c r="G10" s="176">
        <f>'Ratio analysis'!P3/'Ratio analysis'!P44</f>
        <v>0</v>
      </c>
      <c r="H10" s="176">
        <f>'Ratio analysis'!Q3/'Ratio analysis'!Q44</f>
        <v>-13.26404494382022</v>
      </c>
      <c r="I10" s="176">
        <f>'Ratio analysis'!R3/'Ratio analysis'!R44</f>
        <v>-54.225806451612875</v>
      </c>
      <c r="J10" s="176">
        <f>'Ratio analysis'!S3/'Ratio analysis'!S44</f>
        <v>-72.925925925925952</v>
      </c>
      <c r="K10" s="177" t="s">
        <v>706</v>
      </c>
      <c r="L10" s="177" t="s">
        <v>706</v>
      </c>
      <c r="M10" s="177" t="s">
        <v>706</v>
      </c>
      <c r="N10" s="177" t="s">
        <v>706</v>
      </c>
      <c r="O10" s="177" t="s">
        <v>706</v>
      </c>
    </row>
    <row r="11" spans="1:15">
      <c r="A11" s="170" t="s">
        <v>712</v>
      </c>
      <c r="B11" s="175">
        <f>B6/(B6+MODEL!H189)</f>
        <v>0.35297554461230285</v>
      </c>
      <c r="C11" s="175">
        <f>C6/(C6+MODEL!I189)</f>
        <v>0</v>
      </c>
      <c r="D11" s="175">
        <f>D6/(D6+MODEL!J189)</f>
        <v>0</v>
      </c>
      <c r="E11" s="175">
        <f>E6/(E6+MODEL!K189)</f>
        <v>0.32152656522823647</v>
      </c>
      <c r="F11" s="175">
        <f>F6/(F6+MODEL!L189)</f>
        <v>0</v>
      </c>
      <c r="G11" s="175">
        <f>G6/(G6+MODEL!M189)</f>
        <v>0</v>
      </c>
      <c r="H11" s="175">
        <f>H6/(H6+MODEL!N189)</f>
        <v>0.4764168383246184</v>
      </c>
      <c r="I11" s="175">
        <f>I6/(I6+MODEL!O189)</f>
        <v>0</v>
      </c>
      <c r="J11" s="175">
        <f>J6/(J6+MODEL!P189)</f>
        <v>0</v>
      </c>
      <c r="K11" s="175">
        <f>K6/(K6+MODEL!Q189)</f>
        <v>0.37860978822575747</v>
      </c>
      <c r="L11" s="175">
        <f>L6/(L6+MODEL!R189)</f>
        <v>0</v>
      </c>
      <c r="M11" s="175">
        <f>M6/(M6+MODEL!S189)</f>
        <v>0</v>
      </c>
      <c r="N11" s="175">
        <f>N6/(N6+MODEL!T189)</f>
        <v>0.43620697196343444</v>
      </c>
      <c r="O11" s="175">
        <f>O6/(O6+MODEL!W189)</f>
        <v>0.33082005079331572</v>
      </c>
    </row>
    <row r="12" spans="1:15">
      <c r="A12"/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173"/>
    </row>
    <row r="13" spans="1:15">
      <c r="A13" s="171" t="s">
        <v>702</v>
      </c>
    </row>
    <row r="14" spans="1:15">
      <c r="A14" s="170" t="s">
        <v>703</v>
      </c>
      <c r="B14" s="173">
        <f>'Ratio analysis'!K37</f>
        <v>1330.6541697969747</v>
      </c>
      <c r="C14" s="173"/>
      <c r="D14" s="173"/>
      <c r="E14" s="173">
        <f>'Ratio analysis'!N37</f>
        <v>1331.9217498675844</v>
      </c>
      <c r="F14" s="173"/>
      <c r="G14" s="173"/>
      <c r="H14" s="173">
        <f>H6+MODEL!N169+MODEL!N177</f>
        <v>1841.3000000000002</v>
      </c>
      <c r="I14" s="173">
        <f>I6+MODEL!O169+MODEL!O177</f>
        <v>885.8</v>
      </c>
      <c r="J14" s="173">
        <f>J6+MODEL!P169+MODEL!P177</f>
        <v>989.6</v>
      </c>
      <c r="K14" s="173">
        <f>K6+MODEL!Q169+MODEL!Q177</f>
        <v>1736.9</v>
      </c>
      <c r="L14" s="173">
        <f>L6+MODEL!R169+MODEL!R177</f>
        <v>1012.4000000000001</v>
      </c>
      <c r="M14" s="173">
        <f>M6+MODEL!S169+MODEL!S177</f>
        <v>1010.6999999999999</v>
      </c>
      <c r="N14" s="173">
        <f>N6+MODEL!T169+MODEL!T177</f>
        <v>2008.0000000000002</v>
      </c>
      <c r="O14" s="173">
        <f>O6+MODEL!W169+MODEL!W177</f>
        <v>1711.0954239607684</v>
      </c>
    </row>
    <row r="15" spans="1:15">
      <c r="A15" s="170" t="s">
        <v>704</v>
      </c>
      <c r="B15" s="173">
        <f>B14+MODEL!H150</f>
        <v>1345.8541697969747</v>
      </c>
      <c r="C15" s="173">
        <f>C14+MODEL!I150</f>
        <v>63.40000000000002</v>
      </c>
      <c r="D15" s="173">
        <f>D14+MODEL!J150</f>
        <v>7.5</v>
      </c>
      <c r="E15" s="173">
        <f>E14+MODEL!K150</f>
        <v>1339.4217498675844</v>
      </c>
      <c r="F15" s="173">
        <f>F14+MODEL!L150</f>
        <v>57.100000000000023</v>
      </c>
      <c r="G15" s="173">
        <f>G14+MODEL!M150</f>
        <v>285.09999999999997</v>
      </c>
      <c r="H15" s="173">
        <f>H14+MODEL!N150</f>
        <v>2126.4</v>
      </c>
      <c r="I15" s="173">
        <f>I14+MODEL!O150</f>
        <v>1302.5999999999999</v>
      </c>
      <c r="J15" s="173">
        <f>J14+MODEL!P150</f>
        <v>1231.8999999999999</v>
      </c>
      <c r="K15" s="173">
        <f>K14+MODEL!Q150</f>
        <v>1979.2</v>
      </c>
      <c r="L15" s="173">
        <f>L14+MODEL!R150</f>
        <v>1106.5</v>
      </c>
      <c r="M15" s="173">
        <f>M14+MODEL!S150</f>
        <v>1024.0999999999997</v>
      </c>
      <c r="N15" s="173">
        <f>N14+MODEL!T150</f>
        <v>2021.4</v>
      </c>
      <c r="O15" s="173">
        <f>O14+MODEL!W150</f>
        <v>1903.3954239607681</v>
      </c>
    </row>
    <row r="16" spans="1:15">
      <c r="A16" s="170" t="s">
        <v>710</v>
      </c>
      <c r="B16" s="176">
        <f>B14/B3</f>
        <v>2.5777880081305202</v>
      </c>
      <c r="C16" s="176"/>
      <c r="D16" s="176"/>
      <c r="E16" s="176">
        <f>E14/E3</f>
        <v>2.4720151259606244</v>
      </c>
      <c r="F16" s="176"/>
      <c r="G16" s="176"/>
      <c r="H16" s="176">
        <f>H14/H3</f>
        <v>3.4533008252063015</v>
      </c>
      <c r="I16" s="176"/>
      <c r="J16" s="176"/>
      <c r="K16" s="176">
        <f>K14/K3</f>
        <v>2.2376964699819633</v>
      </c>
      <c r="L16" s="176"/>
      <c r="M16" s="176"/>
      <c r="N16" s="176">
        <f>N14/N3</f>
        <v>2.8612140210886299</v>
      </c>
      <c r="O16" s="176">
        <f>O14/O3</f>
        <v>2.2414139690342787</v>
      </c>
    </row>
    <row r="17" spans="1:15">
      <c r="A17" s="170" t="s">
        <v>711</v>
      </c>
      <c r="B17" s="176">
        <f t="shared" ref="B17:O17" si="0">B15/B3</f>
        <v>2.6072339593122327</v>
      </c>
      <c r="C17" s="176" t="e">
        <f t="shared" si="0"/>
        <v>#DIV/0!</v>
      </c>
      <c r="D17" s="176" t="e">
        <f t="shared" si="0"/>
        <v>#DIV/0!</v>
      </c>
      <c r="E17" s="176">
        <f t="shared" si="0"/>
        <v>2.4859349477869053</v>
      </c>
      <c r="F17" s="176" t="e">
        <f t="shared" si="0"/>
        <v>#DIV/0!</v>
      </c>
      <c r="G17" s="176" t="e">
        <f t="shared" si="0"/>
        <v>#DIV/0!</v>
      </c>
      <c r="H17" s="176">
        <f t="shared" si="0"/>
        <v>3.9879969992498121</v>
      </c>
      <c r="I17" s="176">
        <f t="shared" si="0"/>
        <v>3.1155226022482654</v>
      </c>
      <c r="J17" s="176">
        <f t="shared" si="0"/>
        <v>3.4401005305780501</v>
      </c>
      <c r="K17" s="176">
        <f t="shared" si="0"/>
        <v>2.5498582839474362</v>
      </c>
      <c r="L17" s="176">
        <f t="shared" si="0"/>
        <v>3.3591378263509415</v>
      </c>
      <c r="M17" s="176">
        <f t="shared" si="0"/>
        <v>2.7499999999999991</v>
      </c>
      <c r="N17" s="176">
        <f t="shared" si="0"/>
        <v>2.8803077799943009</v>
      </c>
      <c r="O17" s="176">
        <f t="shared" si="0"/>
        <v>2.493313366466817</v>
      </c>
    </row>
    <row r="18" spans="1:15">
      <c r="A18" s="170" t="s">
        <v>709</v>
      </c>
      <c r="B18" s="176">
        <f>'Ratio analysis'!K28/'Ratio analysis'!K42</f>
        <v>19.538280263971235</v>
      </c>
      <c r="C18" s="176">
        <f>'Ratio analysis'!L28/'Ratio analysis'!L42</f>
        <v>0</v>
      </c>
      <c r="D18" s="176">
        <f>'Ratio analysis'!M28/'Ratio analysis'!M42</f>
        <v>0</v>
      </c>
      <c r="E18" s="176">
        <f>'Ratio analysis'!N28/'Ratio analysis'!N42</f>
        <v>-254.08002562951151</v>
      </c>
      <c r="F18" s="176">
        <f>'Ratio analysis'!O28/'Ratio analysis'!O42</f>
        <v>0</v>
      </c>
      <c r="G18" s="176">
        <f>'Ratio analysis'!P28/'Ratio analysis'!P42</f>
        <v>0</v>
      </c>
      <c r="H18" s="176">
        <f>MODEL!N31/'Ratio analysis'!Q42</f>
        <v>12.357623389121873</v>
      </c>
      <c r="I18" s="176">
        <f>MODEL!O31/'Ratio analysis'!R42</f>
        <v>-87.70967741935479</v>
      </c>
      <c r="J18" s="176">
        <f>MODEL!P31/'Ratio analysis'!S42</f>
        <v>-75.888888888888928</v>
      </c>
      <c r="K18" s="176" t="e">
        <f>MODEL!Q31/'Ratio analysis'!T42</f>
        <v>#REF!</v>
      </c>
      <c r="L18" s="176">
        <f>MODEL!R31/'Ratio analysis'!U42</f>
        <v>-57.125000000000014</v>
      </c>
      <c r="M18" s="176">
        <f>MODEL!S31/'Ratio analysis'!V42</f>
        <v>-43.632653061224474</v>
      </c>
      <c r="N18" s="176" t="e">
        <f>MODEL!T31/'Ratio analysis'!W42</f>
        <v>#REF!</v>
      </c>
      <c r="O18" s="176" t="e">
        <f>MODEL!W31/'Ratio analysis'!Z42</f>
        <v>#REF!</v>
      </c>
    </row>
    <row r="19" spans="1:15">
      <c r="A19" s="170" t="s">
        <v>713</v>
      </c>
      <c r="B19" s="175">
        <f>(B14)/(B14+MODEL!H189)</f>
        <v>0.63188334163009163</v>
      </c>
      <c r="C19" s="175">
        <f>(C14)/(C14+MODEL!I189)</f>
        <v>0</v>
      </c>
      <c r="D19" s="175">
        <f>(D14)/(D14+MODEL!J189)</f>
        <v>0</v>
      </c>
      <c r="E19" s="175">
        <f>(E14)/(E14+MODEL!K189)</f>
        <v>0.6200978922764272</v>
      </c>
      <c r="F19" s="175">
        <f>(F14)/(F14+MODEL!L189)</f>
        <v>0</v>
      </c>
      <c r="G19" s="175">
        <f>(G14)/(G14+MODEL!M189)</f>
        <v>0</v>
      </c>
      <c r="H19" s="175">
        <f>(H14)/(H14+MODEL!N189)</f>
        <v>0.65003883358045611</v>
      </c>
      <c r="I19" s="175">
        <f>(I14)/(I14+MODEL!O189)</f>
        <v>0.43304815448545586</v>
      </c>
      <c r="J19" s="175">
        <f>(J14)/(J14+MODEL!P189)</f>
        <v>0.4465502459275304</v>
      </c>
      <c r="K19" s="175">
        <f>(K14)/(K14+MODEL!Q189)</f>
        <v>0.58611729769858945</v>
      </c>
      <c r="L19" s="175">
        <f>(L14)/(L14+MODEL!R189)</f>
        <v>0.45476596891564108</v>
      </c>
      <c r="M19" s="175">
        <f>(M14)/(M14+MODEL!S189)</f>
        <v>0.43949210766621732</v>
      </c>
      <c r="N19" s="175">
        <f>(N14)/(N14+MODEL!T189)</f>
        <v>0.60903851986654545</v>
      </c>
      <c r="O19" s="175">
        <f>(O14)/(O14+MODEL!W189)</f>
        <v>0.55578587301741889</v>
      </c>
    </row>
    <row r="20" spans="1:15">
      <c r="A20" s="170" t="s">
        <v>714</v>
      </c>
      <c r="B20" s="175">
        <f>(MODEL!H39+MODEL!H41+MODEL!H29+'Ratio analysis'!K26)/B15</f>
        <v>0.19184802164247233</v>
      </c>
      <c r="C20" s="175">
        <f>(MODEL!I39+MODEL!I41+MODEL!I29+'Ratio analysis'!N26)/C15</f>
        <v>3.8229926242562597</v>
      </c>
      <c r="D20" s="175">
        <f>(MODEL!J39+MODEL!J41+MODEL!J29+'Ratio analysis'!Q26)/D15</f>
        <v>26.887432959606418</v>
      </c>
      <c r="E20" s="175" t="e">
        <f>(MODEL!K39+MODEL!K41+MODEL!K29+'Ratio analysis'!T26)/E15</f>
        <v>#REF!</v>
      </c>
      <c r="F20" s="175" t="e">
        <f>(MODEL!L39+MODEL!L41+MODEL!L29+'Ratio analysis'!W26)/F15</f>
        <v>#REF!</v>
      </c>
      <c r="G20" s="175" t="e">
        <f>(MODEL!M39+MODEL!M41+MODEL!M29+'Ratio analysis'!Z26)/G15</f>
        <v>#REF!</v>
      </c>
      <c r="H20" s="175">
        <f>(MODEL!N39+MODEL!N41+MODEL!N29)/H15</f>
        <v>-5.6433408577878125E-2</v>
      </c>
      <c r="I20" s="175">
        <f>(MODEL!O39+MODEL!O41+MODEL!O29)/I15</f>
        <v>2.2570244127130316E-2</v>
      </c>
      <c r="J20" s="175">
        <f>(MODEL!P39+MODEL!P41+MODEL!P29)/J15</f>
        <v>-1.7858592418215743E-2</v>
      </c>
      <c r="K20" s="175">
        <f>(MODEL!Q39+MODEL!Q41+MODEL!Q29)/K15</f>
        <v>3.7388843977364476E-3</v>
      </c>
      <c r="L20" s="175">
        <f>(MODEL!R39+MODEL!R41+MODEL!R29)/L15</f>
        <v>-3.0546769091730656E-2</v>
      </c>
      <c r="M20" s="175">
        <f>(MODEL!S39+MODEL!S41+MODEL!S29)/M15</f>
        <v>-2.6657552973342411E-2</v>
      </c>
      <c r="N20" s="175">
        <f>(MODEL!T39+MODEL!T41+MODEL!T29)/N15</f>
        <v>-3.0226575640645067E-2</v>
      </c>
      <c r="O20" s="175">
        <f>(MODEL!W39+MODEL!W41+MODEL!W29)/O15</f>
        <v>-2.9473644463882179E-2</v>
      </c>
    </row>
  </sheetData>
  <printOptions horizontalCentered="1" verticalCentered="1"/>
  <pageMargins left="0.7" right="0.7" top="0.75" bottom="0.75" header="0.3" footer="0.3"/>
  <pageSetup paperSize="0" orientation="portrait" r:id="rId1"/>
  <customProperties>
    <customPr name="Qube.Worksheet.Visibility" r:id="rId2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I66"/>
  <sheetViews>
    <sheetView workbookViewId="0"/>
  </sheetViews>
  <sheetFormatPr defaultRowHeight="12.75"/>
  <cols>
    <col min="1" max="1" width="46.7109375" bestFit="1" customWidth="1"/>
  </cols>
  <sheetData>
    <row r="1" spans="1:3">
      <c r="A1" t="s">
        <v>396</v>
      </c>
      <c r="B1" t="s">
        <v>393</v>
      </c>
      <c r="C1">
        <v>135</v>
      </c>
    </row>
    <row r="2" spans="1:3">
      <c r="A2" t="s">
        <v>394</v>
      </c>
      <c r="C2">
        <v>54</v>
      </c>
    </row>
    <row r="3" spans="1:3">
      <c r="A3" t="s">
        <v>395</v>
      </c>
    </row>
    <row r="4" spans="1:3">
      <c r="A4" t="s">
        <v>397</v>
      </c>
      <c r="C4">
        <v>150</v>
      </c>
    </row>
    <row r="5" spans="1:3">
      <c r="A5" t="s">
        <v>398</v>
      </c>
      <c r="C5">
        <v>4</v>
      </c>
    </row>
    <row r="6" spans="1:3">
      <c r="A6" s="88" t="s">
        <v>399</v>
      </c>
    </row>
    <row r="7" spans="1:3">
      <c r="A7" s="64" t="s">
        <v>42</v>
      </c>
      <c r="B7" s="89">
        <v>0.20899999999999999</v>
      </c>
    </row>
    <row r="8" spans="1:3">
      <c r="A8" s="64" t="s">
        <v>400</v>
      </c>
      <c r="B8" s="89">
        <v>7.3999999999999996E-2</v>
      </c>
    </row>
    <row r="9" spans="1:3">
      <c r="A9" s="64" t="s">
        <v>401</v>
      </c>
      <c r="C9">
        <v>13</v>
      </c>
    </row>
    <row r="10" spans="1:3">
      <c r="A10" s="64" t="s">
        <v>402</v>
      </c>
      <c r="C10">
        <v>6</v>
      </c>
    </row>
    <row r="12" spans="1:3">
      <c r="A12" s="64" t="s">
        <v>406</v>
      </c>
    </row>
    <row r="13" spans="1:3">
      <c r="A13" s="64" t="s">
        <v>65</v>
      </c>
      <c r="B13" s="64" t="s">
        <v>404</v>
      </c>
      <c r="C13" s="90">
        <f>97.3*135/144</f>
        <v>91.21875</v>
      </c>
    </row>
    <row r="14" spans="1:3">
      <c r="A14" s="64" t="s">
        <v>66</v>
      </c>
      <c r="B14" s="64" t="s">
        <v>405</v>
      </c>
      <c r="C14">
        <f>17.2*135/144</f>
        <v>16.125</v>
      </c>
    </row>
    <row r="15" spans="1:3">
      <c r="A15" s="64" t="s">
        <v>407</v>
      </c>
      <c r="B15" s="91">
        <v>8.5999999999999993E-2</v>
      </c>
    </row>
    <row r="17" spans="1:7">
      <c r="A17" s="64" t="s">
        <v>403</v>
      </c>
      <c r="C17">
        <v>5</v>
      </c>
    </row>
    <row r="23" spans="1:7">
      <c r="A23" s="88"/>
      <c r="B23" s="88" t="s">
        <v>361</v>
      </c>
      <c r="C23" s="88" t="s">
        <v>409</v>
      </c>
      <c r="D23" s="88" t="s">
        <v>410</v>
      </c>
      <c r="E23" s="88" t="s">
        <v>411</v>
      </c>
      <c r="F23" s="88" t="s">
        <v>526</v>
      </c>
      <c r="G23" s="88" t="s">
        <v>527</v>
      </c>
    </row>
    <row r="24" spans="1:7">
      <c r="A24" s="64" t="s">
        <v>522</v>
      </c>
      <c r="B24">
        <v>95</v>
      </c>
      <c r="C24" s="92">
        <f>C27*AVERAGE(B26:C26)</f>
        <v>107.29722222222223</v>
      </c>
      <c r="D24" s="92">
        <f>D27*AVERAGE(C26:D26)</f>
        <v>122.54472222222223</v>
      </c>
      <c r="E24" s="92">
        <f>E27*AVERAGE(D26:E26)</f>
        <v>136.97337500000003</v>
      </c>
      <c r="F24" s="92">
        <f>F27*AVERAGE(E26:F26)</f>
        <v>148.56422802083335</v>
      </c>
      <c r="G24" s="92">
        <f>G27*AVERAGE(F26:G26)</f>
        <v>159.62638456770836</v>
      </c>
    </row>
    <row r="25" spans="1:7">
      <c r="A25" s="64" t="s">
        <v>523</v>
      </c>
      <c r="B25">
        <v>15</v>
      </c>
      <c r="C25" s="92">
        <f>C29*C24</f>
        <v>13.94863888888889</v>
      </c>
      <c r="D25" s="92">
        <f>C25/C24*D24</f>
        <v>15.93081388888889</v>
      </c>
      <c r="E25" s="92">
        <f>D25/D24*E24</f>
        <v>17.806538750000005</v>
      </c>
      <c r="F25" s="92">
        <f>E25/E24*F24</f>
        <v>19.313349642708335</v>
      </c>
      <c r="G25" s="92">
        <f>F25/F24*G24</f>
        <v>20.751429993802088</v>
      </c>
    </row>
    <row r="26" spans="1:7">
      <c r="A26" s="64" t="s">
        <v>394</v>
      </c>
      <c r="B26">
        <v>54</v>
      </c>
      <c r="C26">
        <f>B26+6</f>
        <v>60</v>
      </c>
      <c r="D26">
        <f>C26+4</f>
        <v>64</v>
      </c>
      <c r="E26">
        <f>D26+4</f>
        <v>68</v>
      </c>
      <c r="F26">
        <f>E26+3</f>
        <v>71</v>
      </c>
      <c r="G26">
        <f>F26+3</f>
        <v>74</v>
      </c>
    </row>
    <row r="27" spans="1:7">
      <c r="A27" s="64" t="s">
        <v>528</v>
      </c>
      <c r="B27" s="92">
        <f>B24/B26</f>
        <v>1.7592592592592593</v>
      </c>
      <c r="C27" s="115">
        <f>B27*1.07</f>
        <v>1.8824074074074075</v>
      </c>
      <c r="D27" s="115">
        <f>C27*1.05</f>
        <v>1.9765277777777779</v>
      </c>
      <c r="E27" s="115">
        <f>D27*1.05</f>
        <v>2.0753541666666671</v>
      </c>
      <c r="F27" s="115">
        <f>E27*1.03</f>
        <v>2.137614791666667</v>
      </c>
      <c r="G27" s="115">
        <f>F27*1.03</f>
        <v>2.2017432354166671</v>
      </c>
    </row>
    <row r="28" spans="1:7">
      <c r="A28" s="64" t="s">
        <v>532</v>
      </c>
      <c r="B28" s="92"/>
      <c r="C28" s="77">
        <f>C27/B27-1</f>
        <v>7.0000000000000062E-2</v>
      </c>
      <c r="D28" s="77">
        <f>D27/C27-1</f>
        <v>5.0000000000000044E-2</v>
      </c>
      <c r="E28" s="77">
        <f>E27/D27-1</f>
        <v>5.0000000000000044E-2</v>
      </c>
      <c r="F28" s="77">
        <f>F27/E27-1</f>
        <v>3.0000000000000027E-2</v>
      </c>
      <c r="G28" s="77">
        <f>G27/F27-1</f>
        <v>3.0000000000000027E-2</v>
      </c>
    </row>
    <row r="29" spans="1:7">
      <c r="A29" s="64" t="s">
        <v>100</v>
      </c>
      <c r="B29" s="77">
        <f>B25/B24</f>
        <v>0.15789473684210525</v>
      </c>
      <c r="C29" s="77">
        <v>0.13</v>
      </c>
      <c r="D29" s="77">
        <f>D25/D24</f>
        <v>0.13</v>
      </c>
      <c r="E29" s="77">
        <f>E25/E24</f>
        <v>0.13</v>
      </c>
      <c r="F29" s="77">
        <f>F25/F24</f>
        <v>0.13</v>
      </c>
      <c r="G29" s="77">
        <f>G25/G24</f>
        <v>0.13</v>
      </c>
    </row>
    <row r="31" spans="1:7">
      <c r="A31" s="64" t="s">
        <v>524</v>
      </c>
      <c r="B31">
        <v>50.1</v>
      </c>
      <c r="C31" s="92">
        <f>B31*0.75</f>
        <v>37.575000000000003</v>
      </c>
      <c r="D31" s="92">
        <f>C31</f>
        <v>37.575000000000003</v>
      </c>
      <c r="E31" s="92">
        <f>D31</f>
        <v>37.575000000000003</v>
      </c>
      <c r="F31" s="92">
        <f>E31</f>
        <v>37.575000000000003</v>
      </c>
      <c r="G31" s="92">
        <f>F31</f>
        <v>37.575000000000003</v>
      </c>
    </row>
    <row r="32" spans="1:7">
      <c r="A32" s="64" t="s">
        <v>525</v>
      </c>
      <c r="B32">
        <v>-5.5</v>
      </c>
      <c r="C32" s="92">
        <f>C36*C31</f>
        <v>0.75150000000000006</v>
      </c>
      <c r="D32" s="92">
        <f>D36*D31</f>
        <v>1.1272500000000001</v>
      </c>
      <c r="E32" s="92">
        <f>E36*E31</f>
        <v>1.5030000000000001</v>
      </c>
      <c r="F32" s="92">
        <f>F36*F31</f>
        <v>1.5030000000000001</v>
      </c>
      <c r="G32" s="92">
        <f>G36*G31</f>
        <v>1.5030000000000001</v>
      </c>
    </row>
    <row r="33" spans="1:7">
      <c r="A33" s="64" t="s">
        <v>394</v>
      </c>
      <c r="B33">
        <v>9</v>
      </c>
      <c r="C33">
        <f>B33</f>
        <v>9</v>
      </c>
      <c r="D33">
        <f>C33</f>
        <v>9</v>
      </c>
      <c r="E33">
        <f>D33</f>
        <v>9</v>
      </c>
      <c r="F33">
        <f>E33</f>
        <v>9</v>
      </c>
      <c r="G33">
        <f>F33</f>
        <v>9</v>
      </c>
    </row>
    <row r="34" spans="1:7">
      <c r="A34" s="64" t="s">
        <v>528</v>
      </c>
      <c r="B34" s="92">
        <f t="shared" ref="B34:G34" si="0">B31/B33</f>
        <v>5.5666666666666664</v>
      </c>
      <c r="C34" s="92">
        <f t="shared" si="0"/>
        <v>4.1750000000000007</v>
      </c>
      <c r="D34" s="92">
        <f t="shared" si="0"/>
        <v>4.1750000000000007</v>
      </c>
      <c r="E34" s="92">
        <f t="shared" si="0"/>
        <v>4.1750000000000007</v>
      </c>
      <c r="F34" s="92">
        <f t="shared" si="0"/>
        <v>4.1750000000000007</v>
      </c>
      <c r="G34" s="92">
        <f t="shared" si="0"/>
        <v>4.1750000000000007</v>
      </c>
    </row>
    <row r="35" spans="1:7">
      <c r="A35" s="64" t="s">
        <v>532</v>
      </c>
      <c r="B35" s="92"/>
      <c r="C35" s="77">
        <f>C34/B34-1</f>
        <v>-0.24999999999999989</v>
      </c>
      <c r="D35" s="77">
        <f>D34/C34-1</f>
        <v>0</v>
      </c>
      <c r="E35" s="77">
        <f>E34/D34-1</f>
        <v>0</v>
      </c>
      <c r="F35" s="77">
        <f>F34/E34-1</f>
        <v>0</v>
      </c>
      <c r="G35" s="77">
        <f>G34/F34-1</f>
        <v>0</v>
      </c>
    </row>
    <row r="36" spans="1:7">
      <c r="A36" s="64" t="s">
        <v>100</v>
      </c>
      <c r="B36" s="77">
        <f>B32/B31</f>
        <v>-0.10978043912175649</v>
      </c>
      <c r="C36" s="77">
        <v>0.02</v>
      </c>
      <c r="D36" s="77">
        <f>C36+1%</f>
        <v>0.03</v>
      </c>
      <c r="E36" s="77">
        <f>D36+1%</f>
        <v>0.04</v>
      </c>
      <c r="F36" s="77">
        <f>E36</f>
        <v>0.04</v>
      </c>
      <c r="G36" s="77">
        <f>F36</f>
        <v>0.04</v>
      </c>
    </row>
    <row r="37" spans="1:7">
      <c r="A37" s="64"/>
    </row>
    <row r="38" spans="1:7">
      <c r="A38" s="64" t="s">
        <v>139</v>
      </c>
      <c r="B38" s="92">
        <f t="shared" ref="B38:G40" si="1">B24+B31</f>
        <v>145.1</v>
      </c>
      <c r="C38" s="92">
        <f t="shared" si="1"/>
        <v>144.87222222222223</v>
      </c>
      <c r="D38" s="92">
        <f t="shared" si="1"/>
        <v>160.11972222222224</v>
      </c>
      <c r="E38" s="92">
        <f t="shared" si="1"/>
        <v>174.54837500000002</v>
      </c>
      <c r="F38" s="92">
        <f t="shared" si="1"/>
        <v>186.13922802083334</v>
      </c>
      <c r="G38" s="92">
        <f t="shared" si="1"/>
        <v>197.20138456770837</v>
      </c>
    </row>
    <row r="39" spans="1:7">
      <c r="A39" s="64" t="s">
        <v>140</v>
      </c>
      <c r="B39" s="92">
        <f t="shared" si="1"/>
        <v>9.5</v>
      </c>
      <c r="C39" s="92">
        <f t="shared" si="1"/>
        <v>14.70013888888889</v>
      </c>
      <c r="D39" s="92">
        <f t="shared" si="1"/>
        <v>17.058063888888888</v>
      </c>
      <c r="E39" s="92">
        <f t="shared" si="1"/>
        <v>19.309538750000005</v>
      </c>
      <c r="F39" s="92">
        <f t="shared" si="1"/>
        <v>20.816349642708335</v>
      </c>
      <c r="G39" s="92">
        <f t="shared" si="1"/>
        <v>22.254429993802088</v>
      </c>
    </row>
    <row r="40" spans="1:7">
      <c r="A40" s="64" t="s">
        <v>529</v>
      </c>
      <c r="B40" s="92">
        <f t="shared" si="1"/>
        <v>63</v>
      </c>
      <c r="C40" s="92">
        <f t="shared" si="1"/>
        <v>69</v>
      </c>
      <c r="D40" s="92">
        <f t="shared" si="1"/>
        <v>73</v>
      </c>
      <c r="E40" s="92">
        <f t="shared" si="1"/>
        <v>77</v>
      </c>
      <c r="F40" s="92">
        <f t="shared" si="1"/>
        <v>80</v>
      </c>
      <c r="G40" s="92">
        <f t="shared" si="1"/>
        <v>83</v>
      </c>
    </row>
    <row r="41" spans="1:7">
      <c r="A41" s="64" t="s">
        <v>100</v>
      </c>
      <c r="B41" s="77">
        <f t="shared" ref="B41:G41" si="2">B39/B38</f>
        <v>6.5472088215024121E-2</v>
      </c>
      <c r="C41" s="77">
        <f t="shared" si="2"/>
        <v>0.10146968593013</v>
      </c>
      <c r="D41" s="77">
        <f t="shared" si="2"/>
        <v>0.10653318437072259</v>
      </c>
      <c r="E41" s="77">
        <f t="shared" si="2"/>
        <v>0.11062571479110019</v>
      </c>
      <c r="F41" s="77">
        <f t="shared" si="2"/>
        <v>0.11183214771030692</v>
      </c>
      <c r="G41" s="77">
        <f t="shared" si="2"/>
        <v>0.11285128673202145</v>
      </c>
    </row>
    <row r="44" spans="1:7">
      <c r="A44" s="64" t="s">
        <v>530</v>
      </c>
      <c r="C44" s="92">
        <f>Divisionals!K205</f>
        <v>138.80000000000001</v>
      </c>
      <c r="D44" s="92">
        <f>Divisionals!N205</f>
        <v>131.9</v>
      </c>
      <c r="E44" s="92">
        <f>Divisionals!Q205</f>
        <v>153.4</v>
      </c>
      <c r="F44" s="92">
        <f>Divisionals!T205</f>
        <v>176.8</v>
      </c>
      <c r="G44" s="92">
        <f>Divisionals!W205</f>
        <v>216.6</v>
      </c>
    </row>
    <row r="45" spans="1:7">
      <c r="A45" s="64" t="s">
        <v>531</v>
      </c>
      <c r="C45" s="92">
        <f>Divisionals!K227</f>
        <v>13</v>
      </c>
      <c r="D45" s="92">
        <f>Divisionals!N227</f>
        <v>7.6999999999999993</v>
      </c>
      <c r="E45" s="92">
        <f>Divisionals!Q227</f>
        <v>18.100000000000001</v>
      </c>
      <c r="F45" s="92">
        <f>Divisionals!T227</f>
        <v>20</v>
      </c>
      <c r="G45" s="92">
        <f>Divisionals!W227</f>
        <v>30.400000000000002</v>
      </c>
    </row>
    <row r="46" spans="1:7">
      <c r="A46" s="64" t="s">
        <v>100</v>
      </c>
      <c r="C46" s="77">
        <f>C45/C44</f>
        <v>9.3659942363112383E-2</v>
      </c>
      <c r="D46" s="77">
        <f>D45/D44</f>
        <v>5.8377558756633807E-2</v>
      </c>
      <c r="E46" s="77">
        <f>E45/E44</f>
        <v>0.11799217731421122</v>
      </c>
      <c r="F46" s="77">
        <f>F45/F44</f>
        <v>0.11312217194570134</v>
      </c>
      <c r="G46" s="77">
        <f>G45/G44</f>
        <v>0.14035087719298248</v>
      </c>
    </row>
    <row r="51" spans="1:9">
      <c r="B51" s="88" t="s">
        <v>171</v>
      </c>
      <c r="C51" s="88" t="s">
        <v>185</v>
      </c>
      <c r="D51" s="88" t="s">
        <v>573</v>
      </c>
      <c r="E51" s="88" t="s">
        <v>583</v>
      </c>
      <c r="F51" s="88" t="s">
        <v>582</v>
      </c>
      <c r="G51" s="88" t="s">
        <v>585</v>
      </c>
      <c r="H51" s="88" t="s">
        <v>584</v>
      </c>
    </row>
    <row r="52" spans="1:9">
      <c r="A52" s="64" t="s">
        <v>574</v>
      </c>
      <c r="E52">
        <v>6</v>
      </c>
      <c r="F52">
        <v>172</v>
      </c>
      <c r="G52" s="77">
        <f>F52/$F$60</f>
        <v>0.28243021346469621</v>
      </c>
      <c r="H52" s="77">
        <v>0.31966193281686706</v>
      </c>
      <c r="I52" s="117">
        <f>G52-H52</f>
        <v>-3.7231719352170844E-2</v>
      </c>
    </row>
    <row r="53" spans="1:9">
      <c r="A53" s="64" t="s">
        <v>576</v>
      </c>
      <c r="D53">
        <v>18</v>
      </c>
      <c r="E53">
        <v>10</v>
      </c>
      <c r="F53">
        <v>133</v>
      </c>
      <c r="G53" s="77">
        <f t="shared" ref="G53:G60" si="3">F53/$F$60</f>
        <v>0.21839080459770116</v>
      </c>
      <c r="H53" s="77">
        <v>0.25522686994887284</v>
      </c>
      <c r="I53" s="117">
        <f t="shared" ref="I53:I59" si="4">G53-H53</f>
        <v>-3.6836065351171676E-2</v>
      </c>
    </row>
    <row r="54" spans="1:9">
      <c r="A54" s="88" t="s">
        <v>575</v>
      </c>
      <c r="B54" s="88"/>
      <c r="C54" s="88"/>
      <c r="D54" s="88"/>
      <c r="E54" s="88">
        <v>3</v>
      </c>
      <c r="F54" s="88">
        <v>165</v>
      </c>
      <c r="G54" s="131">
        <f t="shared" si="3"/>
        <v>0.27093596059113301</v>
      </c>
      <c r="H54" s="131">
        <v>0.20027736371799884</v>
      </c>
      <c r="I54" s="132">
        <f t="shared" si="4"/>
        <v>7.0658596873134166E-2</v>
      </c>
    </row>
    <row r="55" spans="1:9">
      <c r="A55" s="64" t="s">
        <v>577</v>
      </c>
      <c r="E55">
        <v>1</v>
      </c>
      <c r="F55">
        <v>62</v>
      </c>
      <c r="G55" s="77">
        <f t="shared" si="3"/>
        <v>0.10180623973727422</v>
      </c>
      <c r="H55" s="77">
        <v>0.10569456807494537</v>
      </c>
      <c r="I55" s="117">
        <f t="shared" si="4"/>
        <v>-3.8883283376711514E-3</v>
      </c>
    </row>
    <row r="56" spans="1:9">
      <c r="A56" s="64" t="s">
        <v>581</v>
      </c>
      <c r="D56">
        <v>9</v>
      </c>
      <c r="E56">
        <v>1</v>
      </c>
      <c r="F56">
        <v>44</v>
      </c>
      <c r="G56" s="77">
        <f t="shared" si="3"/>
        <v>7.2249589490968796E-2</v>
      </c>
      <c r="H56" s="77">
        <v>7.0755752110555251E-2</v>
      </c>
      <c r="I56" s="117">
        <f t="shared" si="4"/>
        <v>1.4938373804135457E-3</v>
      </c>
    </row>
    <row r="57" spans="1:9">
      <c r="A57" s="64" t="s">
        <v>579</v>
      </c>
      <c r="D57">
        <v>4</v>
      </c>
      <c r="E57">
        <v>2</v>
      </c>
      <c r="F57">
        <v>13</v>
      </c>
      <c r="G57" s="77">
        <f t="shared" si="3"/>
        <v>2.1346469622331693E-2</v>
      </c>
      <c r="H57" s="77">
        <v>2.1378385166724499E-2</v>
      </c>
      <c r="I57" s="117">
        <f t="shared" si="4"/>
        <v>-3.1915544392805556E-5</v>
      </c>
    </row>
    <row r="58" spans="1:9">
      <c r="A58" s="64" t="s">
        <v>578</v>
      </c>
      <c r="D58">
        <v>2</v>
      </c>
      <c r="E58">
        <v>0</v>
      </c>
      <c r="F58">
        <v>6</v>
      </c>
      <c r="G58" s="77">
        <f t="shared" si="3"/>
        <v>9.852216748768473E-3</v>
      </c>
      <c r="H58" s="77">
        <v>1.0150011922360794E-2</v>
      </c>
      <c r="I58" s="117">
        <f t="shared" si="4"/>
        <v>-2.9779517359232108E-4</v>
      </c>
    </row>
    <row r="59" spans="1:9">
      <c r="A59" s="64" t="s">
        <v>580</v>
      </c>
      <c r="D59">
        <v>2</v>
      </c>
      <c r="E59">
        <v>1</v>
      </c>
      <c r="F59">
        <v>14</v>
      </c>
      <c r="G59" s="77">
        <f t="shared" si="3"/>
        <v>2.2988505747126436E-2</v>
      </c>
      <c r="H59" s="77">
        <v>1.6664788029181511E-2</v>
      </c>
      <c r="I59" s="117">
        <f t="shared" si="4"/>
        <v>6.3237177179449253E-3</v>
      </c>
    </row>
    <row r="60" spans="1:9">
      <c r="A60" s="64" t="s">
        <v>147</v>
      </c>
      <c r="D60">
        <f>SUM(D52:D59)</f>
        <v>35</v>
      </c>
      <c r="E60">
        <f>SUM(E52:E59)</f>
        <v>24</v>
      </c>
      <c r="F60">
        <f>SUM(F52:F59)</f>
        <v>609</v>
      </c>
      <c r="G60" s="77">
        <f t="shared" si="3"/>
        <v>1</v>
      </c>
      <c r="H60" s="77"/>
    </row>
    <row r="61" spans="1:9">
      <c r="G61" s="77"/>
      <c r="H61" s="77"/>
    </row>
    <row r="62" spans="1:9">
      <c r="A62" s="64" t="s">
        <v>61</v>
      </c>
      <c r="E62">
        <f>12+18</f>
        <v>30</v>
      </c>
      <c r="F62">
        <v>79</v>
      </c>
      <c r="G62" s="77"/>
      <c r="H62" s="77">
        <v>1</v>
      </c>
    </row>
    <row r="63" spans="1:9">
      <c r="E63">
        <f>E62+E60</f>
        <v>54</v>
      </c>
      <c r="F63">
        <f>F62+F60</f>
        <v>688</v>
      </c>
    </row>
    <row r="66" spans="2:6">
      <c r="B66">
        <v>327</v>
      </c>
      <c r="C66">
        <v>161</v>
      </c>
      <c r="D66">
        <v>137</v>
      </c>
      <c r="E66">
        <v>54</v>
      </c>
      <c r="F66">
        <f>SUM(B66:E66)</f>
        <v>679</v>
      </c>
    </row>
  </sheetData>
  <pageMargins left="0.7" right="0.7" top="0.75" bottom="0.75" header="0.3" footer="0.3"/>
  <pageSetup paperSize="9" orientation="portrait" r:id="rId1"/>
  <customProperties>
    <customPr name="Qube.Worksheet.Visibility" r:id="rId2"/>
  </customProperties>
  <drawing r:id="rId3"/>
  <legacyDrawing r:id="rId4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R83"/>
  <sheetViews>
    <sheetView workbookViewId="0"/>
  </sheetViews>
  <sheetFormatPr defaultRowHeight="12.75"/>
  <cols>
    <col min="1" max="1" width="15.7109375" bestFit="1" customWidth="1"/>
  </cols>
  <sheetData>
    <row r="1" spans="1:18">
      <c r="A1" s="88" t="s">
        <v>429</v>
      </c>
    </row>
    <row r="2" spans="1:18">
      <c r="A2" s="93"/>
      <c r="B2" s="93" t="s">
        <v>430</v>
      </c>
      <c r="C2" s="93" t="s">
        <v>431</v>
      </c>
      <c r="D2" s="93" t="s">
        <v>432</v>
      </c>
      <c r="E2" s="93" t="s">
        <v>433</v>
      </c>
      <c r="F2" s="93" t="s">
        <v>434</v>
      </c>
      <c r="G2" s="93" t="s">
        <v>435</v>
      </c>
      <c r="H2" s="93" t="s">
        <v>436</v>
      </c>
      <c r="I2" s="93" t="s">
        <v>437</v>
      </c>
      <c r="J2" s="93" t="s">
        <v>438</v>
      </c>
      <c r="K2" s="93" t="s">
        <v>439</v>
      </c>
      <c r="L2" s="93" t="s">
        <v>440</v>
      </c>
      <c r="M2" s="93" t="s">
        <v>441</v>
      </c>
      <c r="N2" s="93" t="s">
        <v>442</v>
      </c>
      <c r="O2" s="93" t="s">
        <v>443</v>
      </c>
      <c r="P2" s="93" t="s">
        <v>444</v>
      </c>
      <c r="Q2" s="93" t="s">
        <v>445</v>
      </c>
      <c r="R2" s="93" t="s">
        <v>446</v>
      </c>
    </row>
    <row r="3" spans="1:18">
      <c r="A3" s="94" t="s">
        <v>65</v>
      </c>
      <c r="B3" s="95">
        <v>9783.0499999999993</v>
      </c>
      <c r="C3" s="95">
        <v>10457.9</v>
      </c>
      <c r="D3" s="95">
        <v>10843.1</v>
      </c>
      <c r="E3" s="95">
        <v>11015.2</v>
      </c>
      <c r="F3" s="95">
        <v>10057.5</v>
      </c>
      <c r="G3" s="95">
        <v>11207.5</v>
      </c>
      <c r="H3" s="95">
        <v>12458.8</v>
      </c>
      <c r="I3" s="95">
        <v>13013.8</v>
      </c>
      <c r="J3" s="95">
        <v>14077.8</v>
      </c>
      <c r="K3" s="95">
        <v>15341.6</v>
      </c>
      <c r="L3" s="95">
        <v>15280</v>
      </c>
      <c r="M3" s="95">
        <v>15339.7</v>
      </c>
      <c r="N3" s="95">
        <v>16308.8</v>
      </c>
      <c r="O3" s="95">
        <v>18735</v>
      </c>
      <c r="P3" s="95">
        <v>19453.5</v>
      </c>
      <c r="Q3" s="95">
        <v>20122.900000000001</v>
      </c>
      <c r="R3" s="95">
        <v>20658.900000000001</v>
      </c>
    </row>
    <row r="4" spans="1:18">
      <c r="A4" s="96" t="s">
        <v>447</v>
      </c>
      <c r="B4" s="96" t="s">
        <v>448</v>
      </c>
      <c r="C4" s="96" t="s">
        <v>448</v>
      </c>
      <c r="D4" s="96" t="s">
        <v>448</v>
      </c>
      <c r="E4" s="96" t="s">
        <v>448</v>
      </c>
      <c r="F4" s="97">
        <v>5225.38</v>
      </c>
      <c r="G4" s="97">
        <v>5608.1</v>
      </c>
      <c r="H4" s="97">
        <v>6061.42</v>
      </c>
      <c r="I4" s="97">
        <v>6320.88</v>
      </c>
      <c r="J4" s="97">
        <v>7489.18</v>
      </c>
      <c r="K4" s="97">
        <v>8096.87</v>
      </c>
      <c r="L4" s="97">
        <v>8015.09</v>
      </c>
      <c r="M4" s="97">
        <v>8111.51</v>
      </c>
      <c r="N4" s="97">
        <v>8662.69</v>
      </c>
      <c r="O4" s="97">
        <v>10526.5</v>
      </c>
      <c r="P4" s="97">
        <v>10960</v>
      </c>
      <c r="Q4" s="97">
        <v>11318.9</v>
      </c>
      <c r="R4" s="97">
        <v>11291.9</v>
      </c>
    </row>
    <row r="5" spans="1:18">
      <c r="A5" s="94" t="s">
        <v>449</v>
      </c>
      <c r="B5" s="94" t="s">
        <v>448</v>
      </c>
      <c r="C5" s="94" t="s">
        <v>448</v>
      </c>
      <c r="D5" s="94" t="s">
        <v>448</v>
      </c>
      <c r="E5" s="94" t="s">
        <v>448</v>
      </c>
      <c r="F5" s="95">
        <v>2885.78</v>
      </c>
      <c r="G5" s="95">
        <v>3521.86</v>
      </c>
      <c r="H5" s="95">
        <v>4173.57</v>
      </c>
      <c r="I5" s="95">
        <v>4453.57</v>
      </c>
      <c r="J5" s="95">
        <v>4429.97</v>
      </c>
      <c r="K5" s="95">
        <v>4771.08</v>
      </c>
      <c r="L5" s="95">
        <v>4646.68</v>
      </c>
      <c r="M5" s="95">
        <v>4634.21</v>
      </c>
      <c r="N5" s="95">
        <v>4966.51</v>
      </c>
      <c r="O5" s="95">
        <v>6298.58</v>
      </c>
      <c r="P5" s="95">
        <v>6673.9</v>
      </c>
      <c r="Q5" s="95">
        <v>6987</v>
      </c>
      <c r="R5" s="95">
        <v>7562.42</v>
      </c>
    </row>
    <row r="6" spans="1:18">
      <c r="A6" s="96" t="s">
        <v>450</v>
      </c>
      <c r="B6" s="96" t="s">
        <v>448</v>
      </c>
      <c r="C6" s="96" t="s">
        <v>448</v>
      </c>
      <c r="D6" s="96" t="s">
        <v>448</v>
      </c>
      <c r="E6" s="96" t="s">
        <v>448</v>
      </c>
      <c r="F6" s="97">
        <v>1639.01</v>
      </c>
      <c r="G6" s="97">
        <v>1641.96</v>
      </c>
      <c r="H6" s="97">
        <v>1689.36</v>
      </c>
      <c r="I6" s="97">
        <v>1686.69</v>
      </c>
      <c r="J6" s="97">
        <v>1638.61</v>
      </c>
      <c r="K6" s="97">
        <v>1802.75</v>
      </c>
      <c r="L6" s="97">
        <v>1937.62</v>
      </c>
      <c r="M6" s="97">
        <v>1969.4</v>
      </c>
      <c r="N6" s="97">
        <v>1998.94</v>
      </c>
      <c r="O6" s="97">
        <v>1909.96</v>
      </c>
      <c r="P6" s="97">
        <v>1901.34</v>
      </c>
      <c r="Q6" s="97">
        <v>1882.42</v>
      </c>
      <c r="R6" s="97">
        <v>1804.52</v>
      </c>
    </row>
    <row r="7" spans="1:18">
      <c r="A7" s="94" t="s">
        <v>451</v>
      </c>
      <c r="B7" s="94" t="s">
        <v>448</v>
      </c>
      <c r="C7" s="94" t="s">
        <v>448</v>
      </c>
      <c r="D7" s="94" t="s">
        <v>448</v>
      </c>
      <c r="E7" s="94" t="s">
        <v>448</v>
      </c>
      <c r="F7" s="98">
        <v>-38.484999999999999</v>
      </c>
      <c r="G7" s="98">
        <v>-14.108000000000001</v>
      </c>
      <c r="H7" s="98">
        <v>-23.026</v>
      </c>
      <c r="I7" s="98">
        <v>-30.097999999999999</v>
      </c>
      <c r="J7" s="98">
        <v>-48.808999999999997</v>
      </c>
      <c r="K7" s="98">
        <v>-68.183000000000007</v>
      </c>
      <c r="L7" s="98">
        <v>-70.141999999999996</v>
      </c>
      <c r="M7" s="98">
        <v>-91.064999999999998</v>
      </c>
      <c r="N7" s="98">
        <v>-100.28700000000001</v>
      </c>
      <c r="O7" s="95">
        <v>0</v>
      </c>
      <c r="P7" s="95">
        <v>0</v>
      </c>
      <c r="Q7" s="95">
        <v>0</v>
      </c>
      <c r="R7" s="94" t="s">
        <v>448</v>
      </c>
    </row>
    <row r="8" spans="1:18">
      <c r="A8" s="96" t="s">
        <v>452</v>
      </c>
      <c r="B8" s="97">
        <v>763.14300000000003</v>
      </c>
      <c r="C8" s="97">
        <v>821.77200000000005</v>
      </c>
      <c r="D8" s="97">
        <v>882.15800000000002</v>
      </c>
      <c r="E8" s="97">
        <v>838</v>
      </c>
      <c r="F8" s="97">
        <v>671.13800000000003</v>
      </c>
      <c r="G8" s="97">
        <v>788.38099999999997</v>
      </c>
      <c r="H8" s="97">
        <v>915.41399999999999</v>
      </c>
      <c r="I8" s="97">
        <v>1046.5899999999999</v>
      </c>
      <c r="J8" s="97">
        <v>1100.44</v>
      </c>
      <c r="K8" s="97">
        <v>1141.93</v>
      </c>
      <c r="L8" s="97">
        <v>1144</v>
      </c>
      <c r="M8" s="97">
        <v>1093.9000000000001</v>
      </c>
      <c r="N8" s="97">
        <v>1233.8</v>
      </c>
      <c r="O8" s="97">
        <v>1197</v>
      </c>
      <c r="P8" s="97">
        <v>1211.46</v>
      </c>
      <c r="Q8" s="97">
        <v>1263.5999999999999</v>
      </c>
      <c r="R8" s="97">
        <v>1304.24</v>
      </c>
    </row>
    <row r="9" spans="1:18">
      <c r="A9" s="94" t="s">
        <v>447</v>
      </c>
      <c r="B9" s="94" t="s">
        <v>448</v>
      </c>
      <c r="C9" s="94" t="s">
        <v>448</v>
      </c>
      <c r="D9" s="94" t="s">
        <v>448</v>
      </c>
      <c r="E9" s="94" t="s">
        <v>448</v>
      </c>
      <c r="F9" s="94" t="s">
        <v>448</v>
      </c>
      <c r="G9" s="94" t="s">
        <v>448</v>
      </c>
      <c r="H9" s="94" t="s">
        <v>448</v>
      </c>
      <c r="I9" s="94" t="s">
        <v>448</v>
      </c>
      <c r="J9" s="95">
        <v>641.49199999999996</v>
      </c>
      <c r="K9" s="95">
        <v>700.38599999999997</v>
      </c>
      <c r="L9" s="95">
        <v>729.15200000000004</v>
      </c>
      <c r="M9" s="95">
        <v>715.2</v>
      </c>
      <c r="N9" s="95">
        <v>720.48199999999997</v>
      </c>
      <c r="O9" s="95">
        <v>854.39400000000001</v>
      </c>
      <c r="P9" s="95">
        <v>903.67899999999997</v>
      </c>
      <c r="Q9" s="95">
        <v>929.93499999999995</v>
      </c>
      <c r="R9" s="95">
        <v>942.88099999999997</v>
      </c>
    </row>
    <row r="10" spans="1:18">
      <c r="A10" s="96" t="s">
        <v>449</v>
      </c>
      <c r="B10" s="96" t="s">
        <v>448</v>
      </c>
      <c r="C10" s="96" t="s">
        <v>448</v>
      </c>
      <c r="D10" s="96" t="s">
        <v>448</v>
      </c>
      <c r="E10" s="96" t="s">
        <v>448</v>
      </c>
      <c r="F10" s="96" t="s">
        <v>448</v>
      </c>
      <c r="G10" s="96" t="s">
        <v>448</v>
      </c>
      <c r="H10" s="96" t="s">
        <v>448</v>
      </c>
      <c r="I10" s="96" t="s">
        <v>448</v>
      </c>
      <c r="J10" s="97">
        <v>320.72000000000003</v>
      </c>
      <c r="K10" s="97">
        <v>370</v>
      </c>
      <c r="L10" s="97">
        <v>339.18</v>
      </c>
      <c r="M10" s="97">
        <v>336.608</v>
      </c>
      <c r="N10" s="97">
        <v>384.22399999999999</v>
      </c>
      <c r="O10" s="97">
        <v>487.38</v>
      </c>
      <c r="P10" s="97">
        <v>528.79700000000003</v>
      </c>
      <c r="Q10" s="97">
        <v>554.57500000000005</v>
      </c>
      <c r="R10" s="97">
        <v>601.21299999999997</v>
      </c>
    </row>
    <row r="11" spans="1:18">
      <c r="A11" s="94" t="s">
        <v>450</v>
      </c>
      <c r="B11" s="94" t="s">
        <v>448</v>
      </c>
      <c r="C11" s="94" t="s">
        <v>448</v>
      </c>
      <c r="D11" s="94" t="s">
        <v>448</v>
      </c>
      <c r="E11" s="94" t="s">
        <v>448</v>
      </c>
      <c r="F11" s="94" t="s">
        <v>448</v>
      </c>
      <c r="G11" s="94" t="s">
        <v>448</v>
      </c>
      <c r="H11" s="94" t="s">
        <v>448</v>
      </c>
      <c r="I11" s="94" t="s">
        <v>448</v>
      </c>
      <c r="J11" s="95">
        <v>122.492</v>
      </c>
      <c r="K11" s="95">
        <v>133.727</v>
      </c>
      <c r="L11" s="95">
        <v>140.88300000000001</v>
      </c>
      <c r="M11" s="95">
        <v>117.035</v>
      </c>
      <c r="N11" s="95">
        <v>98.891000000000005</v>
      </c>
      <c r="O11" s="95">
        <v>88.778000000000006</v>
      </c>
      <c r="P11" s="95">
        <v>87.915000000000006</v>
      </c>
      <c r="Q11" s="95">
        <v>89.128</v>
      </c>
      <c r="R11" s="95">
        <v>93.834999999999994</v>
      </c>
    </row>
    <row r="12" spans="1:18">
      <c r="A12" s="96" t="s">
        <v>451</v>
      </c>
      <c r="B12" s="96" t="s">
        <v>448</v>
      </c>
      <c r="C12" s="96" t="s">
        <v>448</v>
      </c>
      <c r="D12" s="96" t="s">
        <v>448</v>
      </c>
      <c r="E12" s="96" t="s">
        <v>448</v>
      </c>
      <c r="F12" s="96" t="s">
        <v>448</v>
      </c>
      <c r="G12" s="96" t="s">
        <v>448</v>
      </c>
      <c r="H12" s="96" t="s">
        <v>448</v>
      </c>
      <c r="I12" s="96" t="s">
        <v>448</v>
      </c>
      <c r="J12" s="99">
        <v>-95.304000000000002</v>
      </c>
      <c r="K12" s="99">
        <v>-118.405</v>
      </c>
      <c r="L12" s="99">
        <v>-126.657</v>
      </c>
      <c r="M12" s="99">
        <v>-119.41200000000001</v>
      </c>
      <c r="N12" s="99">
        <v>-172.90600000000001</v>
      </c>
      <c r="O12" s="96" t="s">
        <v>448</v>
      </c>
      <c r="P12" s="96" t="s">
        <v>448</v>
      </c>
      <c r="Q12" s="96" t="s">
        <v>448</v>
      </c>
      <c r="R12" s="96" t="s">
        <v>448</v>
      </c>
    </row>
    <row r="14" spans="1:18">
      <c r="A14" s="64" t="s">
        <v>464</v>
      </c>
      <c r="C14" s="77">
        <f>C3/B3-1</f>
        <v>6.8981554832082015E-2</v>
      </c>
      <c r="D14" s="77">
        <f t="shared" ref="D14:R14" si="0">D3/C3-1</f>
        <v>3.6833398674686268E-2</v>
      </c>
      <c r="E14" s="77">
        <f t="shared" si="0"/>
        <v>1.5871844767640253E-2</v>
      </c>
      <c r="F14" s="77">
        <f t="shared" si="0"/>
        <v>-8.6943496259713871E-2</v>
      </c>
      <c r="G14" s="77">
        <f t="shared" si="0"/>
        <v>0.11434253044991305</v>
      </c>
      <c r="H14" s="77">
        <f t="shared" si="0"/>
        <v>0.11164844969886234</v>
      </c>
      <c r="I14" s="77">
        <f t="shared" si="0"/>
        <v>4.4546826339615375E-2</v>
      </c>
      <c r="J14" s="77">
        <f t="shared" si="0"/>
        <v>8.1759363137592356E-2</v>
      </c>
      <c r="K14" s="77">
        <f t="shared" si="0"/>
        <v>8.9772549688161618E-2</v>
      </c>
      <c r="L14" s="77">
        <f t="shared" si="0"/>
        <v>-4.0152265734995085E-3</v>
      </c>
      <c r="M14" s="77">
        <f t="shared" si="0"/>
        <v>3.9070680628272569E-3</v>
      </c>
      <c r="N14" s="77">
        <f t="shared" si="0"/>
        <v>6.317594216314526E-2</v>
      </c>
      <c r="O14" s="77">
        <f t="shared" si="0"/>
        <v>0.14876631021289133</v>
      </c>
      <c r="P14" s="77">
        <f t="shared" si="0"/>
        <v>3.8350680544435578E-2</v>
      </c>
      <c r="Q14" s="77">
        <f t="shared" si="0"/>
        <v>3.4410260364458933E-2</v>
      </c>
      <c r="R14" s="77">
        <f t="shared" si="0"/>
        <v>2.6636319814738352E-2</v>
      </c>
    </row>
    <row r="15" spans="1:18">
      <c r="A15" s="64" t="s">
        <v>453</v>
      </c>
      <c r="C15" s="77">
        <f>C8/B8-1</f>
        <v>7.6825706322406262E-2</v>
      </c>
      <c r="D15" s="77">
        <f t="shared" ref="D15:R15" si="1">D8/C8-1</f>
        <v>7.3482669158842162E-2</v>
      </c>
      <c r="E15" s="77">
        <f t="shared" si="1"/>
        <v>-5.0056792547366835E-2</v>
      </c>
      <c r="F15" s="77">
        <f>F8/E8-1</f>
        <v>-0.19911933174224339</v>
      </c>
      <c r="G15" s="77">
        <f t="shared" si="1"/>
        <v>0.17469283515461798</v>
      </c>
      <c r="H15" s="77">
        <f t="shared" si="1"/>
        <v>0.16113148338176586</v>
      </c>
      <c r="I15" s="77">
        <f t="shared" si="1"/>
        <v>0.14329691265372824</v>
      </c>
      <c r="J15" s="77">
        <f t="shared" si="1"/>
        <v>5.1452813422639299E-2</v>
      </c>
      <c r="K15" s="77">
        <f t="shared" si="1"/>
        <v>3.7703100577950677E-2</v>
      </c>
      <c r="L15" s="77">
        <f t="shared" si="1"/>
        <v>1.8127205695619431E-3</v>
      </c>
      <c r="M15" s="77">
        <f t="shared" si="1"/>
        <v>-4.3793706293706269E-2</v>
      </c>
      <c r="N15" s="77">
        <f t="shared" si="1"/>
        <v>0.1278910320870279</v>
      </c>
      <c r="O15" s="77">
        <f t="shared" si="1"/>
        <v>-2.9826552115415739E-2</v>
      </c>
      <c r="P15" s="77">
        <f t="shared" si="1"/>
        <v>1.2080200501253247E-2</v>
      </c>
      <c r="Q15" s="77">
        <f t="shared" si="1"/>
        <v>4.3038977762369202E-2</v>
      </c>
      <c r="R15" s="77">
        <f t="shared" si="1"/>
        <v>3.2162076606521151E-2</v>
      </c>
    </row>
    <row r="16" spans="1:18">
      <c r="A16" s="64"/>
      <c r="B16" s="77">
        <f>B8/B3</f>
        <v>7.8006654366480813E-2</v>
      </c>
      <c r="C16" s="77">
        <f>C8/C3</f>
        <v>7.8579064630566367E-2</v>
      </c>
      <c r="D16" s="77">
        <f t="shared" ref="D16:R16" si="2">D8/D3</f>
        <v>8.135662310593833E-2</v>
      </c>
      <c r="E16" s="77">
        <f t="shared" si="2"/>
        <v>7.6076694022804842E-2</v>
      </c>
      <c r="F16" s="77">
        <f t="shared" si="2"/>
        <v>6.6730101913994533E-2</v>
      </c>
      <c r="G16" s="77">
        <f t="shared" si="2"/>
        <v>7.0344055320098145E-2</v>
      </c>
      <c r="H16" s="77">
        <f t="shared" si="2"/>
        <v>7.3475294570905708E-2</v>
      </c>
      <c r="I16" s="77">
        <f t="shared" si="2"/>
        <v>8.0421552505801533E-2</v>
      </c>
      <c r="J16" s="77">
        <f t="shared" si="2"/>
        <v>7.8168463822472264E-2</v>
      </c>
      <c r="K16" s="77">
        <f t="shared" si="2"/>
        <v>7.4433566251238467E-2</v>
      </c>
      <c r="L16" s="77">
        <f t="shared" si="2"/>
        <v>7.486910994764398E-2</v>
      </c>
      <c r="M16" s="77">
        <f t="shared" si="2"/>
        <v>7.1311694492069602E-2</v>
      </c>
      <c r="N16" s="77">
        <f t="shared" si="2"/>
        <v>7.5652408515648001E-2</v>
      </c>
      <c r="O16" s="77">
        <f t="shared" si="2"/>
        <v>6.3891112890312254E-2</v>
      </c>
      <c r="P16" s="77">
        <f t="shared" si="2"/>
        <v>6.2274654946410671E-2</v>
      </c>
      <c r="Q16" s="77">
        <f t="shared" si="2"/>
        <v>6.2794130070715451E-2</v>
      </c>
      <c r="R16" s="77">
        <f t="shared" si="2"/>
        <v>6.3132112551975178E-2</v>
      </c>
    </row>
    <row r="17" spans="1:18">
      <c r="C17">
        <f>((C16-B16)*(10^4))</f>
        <v>5.724102640855544</v>
      </c>
      <c r="D17">
        <f t="shared" ref="D17:R17" si="3">((D16-C16)*(10^4))</f>
        <v>27.775584753719635</v>
      </c>
      <c r="E17">
        <f t="shared" si="3"/>
        <v>-52.799290831334886</v>
      </c>
      <c r="F17">
        <f t="shared" si="3"/>
        <v>-93.465921088103087</v>
      </c>
      <c r="G17">
        <f t="shared" si="3"/>
        <v>36.139534061036123</v>
      </c>
      <c r="H17">
        <f t="shared" si="3"/>
        <v>31.312392508075632</v>
      </c>
      <c r="I17">
        <f t="shared" si="3"/>
        <v>69.462579348958243</v>
      </c>
      <c r="J17">
        <f t="shared" si="3"/>
        <v>-22.530886833292683</v>
      </c>
      <c r="K17">
        <f t="shared" si="3"/>
        <v>-37.348975712337975</v>
      </c>
      <c r="L17">
        <f t="shared" si="3"/>
        <v>4.3554369640551318</v>
      </c>
      <c r="M17">
        <f t="shared" si="3"/>
        <v>-35.574154555743782</v>
      </c>
      <c r="N17">
        <f t="shared" si="3"/>
        <v>43.407140235783984</v>
      </c>
      <c r="O17">
        <f t="shared" si="3"/>
        <v>-117.61295625335747</v>
      </c>
      <c r="P17">
        <f t="shared" si="3"/>
        <v>-16.164579439015835</v>
      </c>
      <c r="Q17">
        <f t="shared" si="3"/>
        <v>5.1947512430478016</v>
      </c>
      <c r="R17">
        <f t="shared" si="3"/>
        <v>3.3798248125972705</v>
      </c>
    </row>
    <row r="18" spans="1:18" ht="15">
      <c r="A18" s="100" t="s">
        <v>463</v>
      </c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>
      <c r="A19" s="93"/>
      <c r="B19" s="93" t="s">
        <v>430</v>
      </c>
      <c r="C19" s="93" t="s">
        <v>431</v>
      </c>
      <c r="D19" s="93" t="s">
        <v>432</v>
      </c>
      <c r="E19" s="93" t="s">
        <v>433</v>
      </c>
      <c r="F19" s="93" t="s">
        <v>434</v>
      </c>
      <c r="G19" s="93" t="s">
        <v>435</v>
      </c>
      <c r="H19" s="93" t="s">
        <v>436</v>
      </c>
      <c r="I19" s="93" t="s">
        <v>437</v>
      </c>
      <c r="J19" s="93" t="s">
        <v>438</v>
      </c>
      <c r="K19" s="93" t="s">
        <v>439</v>
      </c>
      <c r="L19" s="93" t="s">
        <v>440</v>
      </c>
      <c r="M19" s="93" t="s">
        <v>441</v>
      </c>
      <c r="N19" s="93" t="s">
        <v>442</v>
      </c>
      <c r="O19" s="93" t="s">
        <v>443</v>
      </c>
      <c r="P19" s="93" t="s">
        <v>444</v>
      </c>
      <c r="Q19" s="93" t="s">
        <v>445</v>
      </c>
      <c r="R19" s="93" t="s">
        <v>446</v>
      </c>
    </row>
    <row r="20" spans="1:18">
      <c r="A20" s="94" t="s">
        <v>455</v>
      </c>
      <c r="B20" s="94" t="s">
        <v>448</v>
      </c>
      <c r="C20" s="94" t="s">
        <v>448</v>
      </c>
      <c r="D20" s="103">
        <v>0.8</v>
      </c>
      <c r="E20" s="103">
        <v>1.5</v>
      </c>
      <c r="F20" s="103">
        <v>5.3</v>
      </c>
      <c r="G20" s="103">
        <v>8</v>
      </c>
      <c r="H20" s="103">
        <v>2.2000000000000002</v>
      </c>
      <c r="I20" s="104">
        <v>-0.8</v>
      </c>
      <c r="J20" s="104">
        <v>-1.5</v>
      </c>
      <c r="K20" s="103">
        <v>2</v>
      </c>
      <c r="L20" s="103">
        <v>0</v>
      </c>
      <c r="M20" s="104">
        <v>-1.4</v>
      </c>
      <c r="N20" s="104">
        <v>-2</v>
      </c>
      <c r="O20" s="103">
        <v>2.2999999999999998</v>
      </c>
      <c r="P20" s="103">
        <v>2.2230799999999999</v>
      </c>
      <c r="Q20" s="103">
        <v>2.1153900000000001</v>
      </c>
      <c r="R20" s="103">
        <v>2</v>
      </c>
    </row>
    <row r="21" spans="1:18">
      <c r="A21" s="96" t="s">
        <v>456</v>
      </c>
      <c r="B21" s="96" t="s">
        <v>448</v>
      </c>
      <c r="C21" s="96" t="s">
        <v>448</v>
      </c>
      <c r="D21" s="96" t="s">
        <v>448</v>
      </c>
      <c r="E21" s="105">
        <v>0</v>
      </c>
      <c r="F21" s="96" t="s">
        <v>448</v>
      </c>
      <c r="G21" s="105">
        <v>1</v>
      </c>
      <c r="H21" s="96" t="s">
        <v>448</v>
      </c>
      <c r="I21" s="96" t="s">
        <v>448</v>
      </c>
      <c r="J21" s="96" t="s">
        <v>448</v>
      </c>
      <c r="K21" s="96" t="s">
        <v>448</v>
      </c>
      <c r="L21" s="96" t="s">
        <v>448</v>
      </c>
      <c r="M21" s="96" t="s">
        <v>448</v>
      </c>
      <c r="N21" s="106">
        <v>-3</v>
      </c>
      <c r="O21" s="105">
        <v>2</v>
      </c>
      <c r="P21" s="105">
        <v>1</v>
      </c>
      <c r="Q21" s="96" t="s">
        <v>448</v>
      </c>
      <c r="R21" s="96" t="s">
        <v>448</v>
      </c>
    </row>
    <row r="22" spans="1:18">
      <c r="A22" s="94" t="s">
        <v>457</v>
      </c>
      <c r="B22" s="94" t="s">
        <v>448</v>
      </c>
      <c r="C22" s="94" t="s">
        <v>448</v>
      </c>
      <c r="D22" s="94" t="s">
        <v>448</v>
      </c>
      <c r="E22" s="103">
        <v>0</v>
      </c>
      <c r="F22" s="94" t="s">
        <v>448</v>
      </c>
      <c r="G22" s="103">
        <v>5</v>
      </c>
      <c r="H22" s="94" t="s">
        <v>448</v>
      </c>
      <c r="I22" s="94" t="s">
        <v>448</v>
      </c>
      <c r="J22" s="94" t="s">
        <v>448</v>
      </c>
      <c r="K22" s="94" t="s">
        <v>448</v>
      </c>
      <c r="L22" s="94" t="s">
        <v>448</v>
      </c>
      <c r="M22" s="94" t="s">
        <v>448</v>
      </c>
      <c r="N22" s="104">
        <v>-1</v>
      </c>
      <c r="O22" s="103">
        <v>2.5</v>
      </c>
      <c r="P22" s="103">
        <v>2.5</v>
      </c>
      <c r="Q22" s="94" t="s">
        <v>448</v>
      </c>
      <c r="R22" s="94" t="s">
        <v>448</v>
      </c>
    </row>
    <row r="23" spans="1:18">
      <c r="A23" s="96" t="s">
        <v>458</v>
      </c>
      <c r="B23" s="96" t="s">
        <v>448</v>
      </c>
      <c r="C23" s="96" t="s">
        <v>448</v>
      </c>
      <c r="D23" s="105">
        <v>207</v>
      </c>
      <c r="E23" s="105">
        <v>211</v>
      </c>
      <c r="F23" s="105">
        <v>218</v>
      </c>
      <c r="G23" s="105">
        <v>233.1</v>
      </c>
      <c r="H23" s="105">
        <v>234.8</v>
      </c>
      <c r="I23" s="105">
        <v>229.84</v>
      </c>
      <c r="J23" s="96" t="s">
        <v>448</v>
      </c>
      <c r="K23" s="96" t="s">
        <v>448</v>
      </c>
      <c r="L23" s="96" t="s">
        <v>448</v>
      </c>
      <c r="M23" s="96" t="s">
        <v>448</v>
      </c>
      <c r="N23" s="105">
        <v>222.85</v>
      </c>
      <c r="O23" s="105">
        <v>232</v>
      </c>
      <c r="P23" s="105">
        <v>234.91</v>
      </c>
      <c r="Q23" s="105">
        <v>240</v>
      </c>
      <c r="R23" s="96" t="s">
        <v>448</v>
      </c>
    </row>
    <row r="24" spans="1:18">
      <c r="A24" s="94" t="s">
        <v>459</v>
      </c>
      <c r="B24" s="94" t="s">
        <v>448</v>
      </c>
      <c r="C24" s="94" t="s">
        <v>448</v>
      </c>
      <c r="D24" s="94" t="s">
        <v>448</v>
      </c>
      <c r="E24" s="103">
        <v>24.710999999999999</v>
      </c>
      <c r="F24" s="103">
        <v>24.972999999999999</v>
      </c>
      <c r="G24" s="103">
        <v>25.95</v>
      </c>
      <c r="H24" s="103">
        <v>26.663</v>
      </c>
      <c r="I24" s="103">
        <v>27.806000000000001</v>
      </c>
      <c r="J24" s="103">
        <v>29.701000000000001</v>
      </c>
      <c r="K24" s="103">
        <v>44.328499999999998</v>
      </c>
      <c r="L24" s="103">
        <v>43</v>
      </c>
      <c r="M24" s="103">
        <v>41.835799999999999</v>
      </c>
      <c r="N24" s="103">
        <v>42</v>
      </c>
      <c r="O24" s="103">
        <v>41.718000000000004</v>
      </c>
      <c r="P24" s="103">
        <v>41.345700000000001</v>
      </c>
      <c r="Q24" s="103">
        <v>41.552100000000003</v>
      </c>
      <c r="R24" s="94" t="s">
        <v>448</v>
      </c>
    </row>
    <row r="25" spans="1:18">
      <c r="A25" s="96" t="s">
        <v>460</v>
      </c>
      <c r="B25" s="96" t="s">
        <v>448</v>
      </c>
      <c r="C25" s="96" t="s">
        <v>448</v>
      </c>
      <c r="D25" s="97">
        <v>3261</v>
      </c>
      <c r="E25" s="97">
        <v>3368</v>
      </c>
      <c r="F25" s="97">
        <v>3420</v>
      </c>
      <c r="G25" s="97">
        <v>3563</v>
      </c>
      <c r="H25" s="97">
        <v>3662</v>
      </c>
      <c r="I25" s="97">
        <v>3794</v>
      </c>
      <c r="J25" s="97">
        <v>4049</v>
      </c>
      <c r="K25" s="97">
        <v>5372</v>
      </c>
      <c r="L25" s="97">
        <v>5293</v>
      </c>
      <c r="M25" s="97">
        <v>5189</v>
      </c>
      <c r="N25" s="97">
        <v>5183</v>
      </c>
      <c r="O25" s="97">
        <v>5109</v>
      </c>
      <c r="P25" s="97">
        <v>5150</v>
      </c>
      <c r="Q25" s="97">
        <v>5164.38</v>
      </c>
      <c r="R25" s="97">
        <v>4964</v>
      </c>
    </row>
    <row r="26" spans="1:18">
      <c r="A26" s="94" t="s">
        <v>461</v>
      </c>
      <c r="B26" s="94" t="s">
        <v>448</v>
      </c>
      <c r="C26" s="94" t="s">
        <v>448</v>
      </c>
      <c r="D26" s="95">
        <v>17</v>
      </c>
      <c r="E26" s="95">
        <v>20</v>
      </c>
      <c r="F26" s="95">
        <v>55</v>
      </c>
      <c r="G26" s="95">
        <v>5</v>
      </c>
      <c r="H26" s="95">
        <v>5</v>
      </c>
      <c r="I26" s="95">
        <v>5</v>
      </c>
      <c r="J26" s="95">
        <v>41</v>
      </c>
      <c r="K26" s="95">
        <v>19</v>
      </c>
      <c r="L26" s="95">
        <v>89</v>
      </c>
      <c r="M26" s="95">
        <v>23</v>
      </c>
      <c r="N26" s="95">
        <v>50</v>
      </c>
      <c r="O26" s="95">
        <v>101</v>
      </c>
      <c r="P26" s="94" t="s">
        <v>448</v>
      </c>
      <c r="Q26" s="94" t="s">
        <v>448</v>
      </c>
      <c r="R26" s="94" t="s">
        <v>448</v>
      </c>
    </row>
    <row r="27" spans="1:18">
      <c r="A27" s="96" t="s">
        <v>456</v>
      </c>
      <c r="B27" s="96" t="s">
        <v>448</v>
      </c>
      <c r="C27" s="96" t="s">
        <v>448</v>
      </c>
      <c r="D27" s="96" t="s">
        <v>448</v>
      </c>
      <c r="E27" s="97">
        <v>10</v>
      </c>
      <c r="F27" s="96" t="s">
        <v>448</v>
      </c>
      <c r="G27" s="96" t="s">
        <v>448</v>
      </c>
      <c r="H27" s="96" t="s">
        <v>448</v>
      </c>
      <c r="I27" s="96" t="s">
        <v>448</v>
      </c>
      <c r="J27" s="96" t="s">
        <v>448</v>
      </c>
      <c r="K27" s="96" t="s">
        <v>448</v>
      </c>
      <c r="L27" s="96" t="s">
        <v>448</v>
      </c>
      <c r="M27" s="96" t="s">
        <v>448</v>
      </c>
      <c r="N27" s="96" t="s">
        <v>448</v>
      </c>
      <c r="O27" s="96" t="s">
        <v>448</v>
      </c>
      <c r="P27" s="96" t="s">
        <v>448</v>
      </c>
      <c r="Q27" s="96" t="s">
        <v>448</v>
      </c>
      <c r="R27" s="96" t="s">
        <v>448</v>
      </c>
    </row>
    <row r="28" spans="1:18">
      <c r="A28" s="94" t="s">
        <v>457</v>
      </c>
      <c r="B28" s="94" t="s">
        <v>448</v>
      </c>
      <c r="C28" s="94" t="s">
        <v>448</v>
      </c>
      <c r="D28" s="94" t="s">
        <v>448</v>
      </c>
      <c r="E28" s="95">
        <v>15</v>
      </c>
      <c r="F28" s="94" t="s">
        <v>448</v>
      </c>
      <c r="G28" s="94" t="s">
        <v>448</v>
      </c>
      <c r="H28" s="94" t="s">
        <v>448</v>
      </c>
      <c r="I28" s="94" t="s">
        <v>448</v>
      </c>
      <c r="J28" s="94" t="s">
        <v>448</v>
      </c>
      <c r="K28" s="94" t="s">
        <v>448</v>
      </c>
      <c r="L28" s="94" t="s">
        <v>448</v>
      </c>
      <c r="M28" s="94" t="s">
        <v>448</v>
      </c>
      <c r="N28" s="94" t="s">
        <v>448</v>
      </c>
      <c r="O28" s="94" t="s">
        <v>448</v>
      </c>
      <c r="P28" s="94" t="s">
        <v>448</v>
      </c>
      <c r="Q28" s="94" t="s">
        <v>448</v>
      </c>
      <c r="R28" s="94" t="s">
        <v>448</v>
      </c>
    </row>
    <row r="29" spans="1:18">
      <c r="A29" s="96" t="s">
        <v>462</v>
      </c>
      <c r="B29" s="96" t="s">
        <v>448</v>
      </c>
      <c r="C29" s="96" t="s">
        <v>448</v>
      </c>
      <c r="D29" s="97">
        <v>175</v>
      </c>
      <c r="E29" s="97">
        <v>127</v>
      </c>
      <c r="F29" s="97">
        <v>107</v>
      </c>
      <c r="G29" s="97">
        <v>148</v>
      </c>
      <c r="H29" s="97">
        <v>104</v>
      </c>
      <c r="I29" s="97">
        <v>137</v>
      </c>
      <c r="J29" s="97">
        <v>296</v>
      </c>
      <c r="K29" s="97">
        <v>151</v>
      </c>
      <c r="L29" s="97">
        <v>121</v>
      </c>
      <c r="M29" s="97">
        <v>78</v>
      </c>
      <c r="N29" s="97">
        <v>60</v>
      </c>
      <c r="O29" s="97">
        <v>27</v>
      </c>
      <c r="P29" s="97">
        <v>30</v>
      </c>
      <c r="Q29" s="97">
        <v>45</v>
      </c>
      <c r="R29" s="97">
        <v>55</v>
      </c>
    </row>
    <row r="30" spans="1:18">
      <c r="A30" s="94" t="s">
        <v>456</v>
      </c>
      <c r="B30" s="94" t="s">
        <v>448</v>
      </c>
      <c r="C30" s="94" t="s">
        <v>448</v>
      </c>
      <c r="D30" s="95">
        <v>190</v>
      </c>
      <c r="E30" s="95">
        <v>70</v>
      </c>
      <c r="F30" s="95">
        <v>150</v>
      </c>
      <c r="G30" s="95">
        <v>150</v>
      </c>
      <c r="H30" s="95">
        <v>120</v>
      </c>
      <c r="I30" s="95">
        <v>120</v>
      </c>
      <c r="J30" s="95">
        <v>294</v>
      </c>
      <c r="K30" s="95">
        <v>120</v>
      </c>
      <c r="L30" s="95">
        <v>100</v>
      </c>
      <c r="M30" s="95">
        <v>65</v>
      </c>
      <c r="N30" s="95">
        <v>60</v>
      </c>
      <c r="O30" s="94" t="s">
        <v>448</v>
      </c>
      <c r="P30" s="94" t="s">
        <v>448</v>
      </c>
      <c r="Q30" s="94" t="s">
        <v>448</v>
      </c>
      <c r="R30" s="94" t="s">
        <v>448</v>
      </c>
    </row>
    <row r="31" spans="1:18">
      <c r="A31" s="96" t="s">
        <v>457</v>
      </c>
      <c r="B31" s="96" t="s">
        <v>448</v>
      </c>
      <c r="C31" s="96" t="s">
        <v>448</v>
      </c>
      <c r="D31" s="97">
        <v>200</v>
      </c>
      <c r="E31" s="97">
        <v>70</v>
      </c>
      <c r="F31" s="97">
        <v>150</v>
      </c>
      <c r="G31" s="97">
        <v>150</v>
      </c>
      <c r="H31" s="97">
        <v>140</v>
      </c>
      <c r="I31" s="97">
        <v>140</v>
      </c>
      <c r="J31" s="97">
        <v>314</v>
      </c>
      <c r="K31" s="97">
        <v>140</v>
      </c>
      <c r="L31" s="97">
        <v>120</v>
      </c>
      <c r="M31" s="97">
        <v>75</v>
      </c>
      <c r="N31" s="97">
        <v>65</v>
      </c>
      <c r="O31" s="96" t="s">
        <v>448</v>
      </c>
      <c r="P31" s="96" t="s">
        <v>448</v>
      </c>
      <c r="Q31" s="96" t="s">
        <v>448</v>
      </c>
      <c r="R31" s="96" t="s">
        <v>448</v>
      </c>
    </row>
    <row r="32" spans="1:18">
      <c r="A32" s="94" t="s">
        <v>65</v>
      </c>
      <c r="B32" s="95">
        <v>4264.97</v>
      </c>
      <c r="C32" s="95">
        <v>4616.5</v>
      </c>
      <c r="D32" s="95">
        <v>4844.3999999999996</v>
      </c>
      <c r="E32" s="95">
        <v>5142.25</v>
      </c>
      <c r="F32" s="95">
        <v>5412.62</v>
      </c>
      <c r="G32" s="95">
        <v>5925.2</v>
      </c>
      <c r="H32" s="95">
        <v>6170.46</v>
      </c>
      <c r="I32" s="95">
        <v>6205</v>
      </c>
      <c r="J32" s="95">
        <v>6493.81</v>
      </c>
      <c r="K32" s="95">
        <v>9843.86</v>
      </c>
      <c r="L32" s="95">
        <v>9737.01</v>
      </c>
      <c r="M32" s="95">
        <v>9567.7000000000007</v>
      </c>
      <c r="N32" s="95">
        <v>9373.7999999999993</v>
      </c>
      <c r="O32" s="95">
        <v>9580.5499999999993</v>
      </c>
      <c r="P32" s="95">
        <v>9773.19</v>
      </c>
      <c r="Q32" s="95">
        <v>10025.299999999999</v>
      </c>
      <c r="R32" s="95">
        <v>10243.1</v>
      </c>
    </row>
    <row r="33" spans="1:18">
      <c r="A33" s="94" t="s">
        <v>452</v>
      </c>
      <c r="B33" s="95">
        <v>408.49599999999998</v>
      </c>
      <c r="C33" s="95">
        <v>403.35</v>
      </c>
      <c r="D33" s="95">
        <v>422.72899999999998</v>
      </c>
      <c r="E33" s="95">
        <v>452.40499999999997</v>
      </c>
      <c r="F33" s="95">
        <v>479.31400000000002</v>
      </c>
      <c r="G33" s="95">
        <v>584.9</v>
      </c>
      <c r="H33" s="95">
        <v>664.64099999999996</v>
      </c>
      <c r="I33" s="95">
        <v>657.3</v>
      </c>
      <c r="J33" s="95">
        <v>689.81</v>
      </c>
      <c r="K33" s="95">
        <v>976.66099999999994</v>
      </c>
      <c r="L33" s="95">
        <v>995.1</v>
      </c>
      <c r="M33" s="95">
        <v>901.36699999999996</v>
      </c>
      <c r="N33" s="95">
        <v>686.3</v>
      </c>
      <c r="O33" s="95">
        <v>750.16</v>
      </c>
      <c r="P33" s="95">
        <v>817.14700000000005</v>
      </c>
      <c r="Q33" s="95">
        <v>912.00300000000004</v>
      </c>
      <c r="R33" s="95">
        <v>1007.75</v>
      </c>
    </row>
    <row r="34" spans="1:18">
      <c r="A34" s="94" t="s">
        <v>465</v>
      </c>
      <c r="B34" s="95">
        <v>378.923</v>
      </c>
      <c r="C34" s="95">
        <v>369.9</v>
      </c>
      <c r="D34" s="95">
        <v>388.78399999999999</v>
      </c>
      <c r="E34" s="95">
        <v>418.17599999999999</v>
      </c>
      <c r="F34" s="95">
        <v>455.38499999999999</v>
      </c>
      <c r="G34" s="95">
        <v>557.1</v>
      </c>
      <c r="H34" s="95">
        <v>633.21799999999996</v>
      </c>
      <c r="I34" s="95">
        <v>624.07399999999996</v>
      </c>
      <c r="J34" s="95">
        <v>658.19299999999998</v>
      </c>
      <c r="K34" s="95">
        <v>906.32399999999996</v>
      </c>
      <c r="L34" s="95">
        <v>922.2</v>
      </c>
      <c r="M34" s="95">
        <v>852.60400000000004</v>
      </c>
      <c r="N34" s="95">
        <v>627.49</v>
      </c>
      <c r="O34" s="95">
        <v>701.09199999999998</v>
      </c>
      <c r="P34" s="95">
        <v>782.03599999999994</v>
      </c>
      <c r="Q34" s="95">
        <v>883.82100000000003</v>
      </c>
      <c r="R34" s="95">
        <v>972.56399999999996</v>
      </c>
    </row>
    <row r="35" spans="1:18">
      <c r="A35" s="94" t="s">
        <v>466</v>
      </c>
      <c r="B35" s="95">
        <v>234.72499999999999</v>
      </c>
      <c r="C35" s="95">
        <v>231.31800000000001</v>
      </c>
      <c r="D35" s="95">
        <v>238.31700000000001</v>
      </c>
      <c r="E35" s="95">
        <v>238.03800000000001</v>
      </c>
      <c r="F35" s="95">
        <v>270.37299999999999</v>
      </c>
      <c r="G35" s="95">
        <v>346.053</v>
      </c>
      <c r="H35" s="95">
        <v>394.68200000000002</v>
      </c>
      <c r="I35" s="95">
        <v>387.67</v>
      </c>
      <c r="J35" s="95">
        <v>417.464</v>
      </c>
      <c r="K35" s="95">
        <v>571.28200000000004</v>
      </c>
      <c r="L35" s="95">
        <v>578.38900000000001</v>
      </c>
      <c r="M35" s="95">
        <v>530.15800000000002</v>
      </c>
      <c r="N35" s="95">
        <v>398.23200000000003</v>
      </c>
      <c r="O35" s="95">
        <v>527.79300000000001</v>
      </c>
      <c r="P35" s="95">
        <v>587.27099999999996</v>
      </c>
      <c r="Q35" s="95">
        <v>658.62</v>
      </c>
      <c r="R35" s="95">
        <v>732.96500000000003</v>
      </c>
    </row>
    <row r="37" spans="1:18">
      <c r="A37" s="64" t="s">
        <v>464</v>
      </c>
      <c r="C37" s="77">
        <f>C32/B32-1</f>
        <v>8.2422619619833215E-2</v>
      </c>
      <c r="D37" s="77">
        <f t="shared" ref="D37:R37" si="4">D32/C32-1</f>
        <v>4.9366403119246005E-2</v>
      </c>
      <c r="E37" s="77">
        <f t="shared" si="4"/>
        <v>6.1483362232681138E-2</v>
      </c>
      <c r="F37" s="77">
        <f t="shared" si="4"/>
        <v>5.2578151587340249E-2</v>
      </c>
      <c r="G37" s="77">
        <f t="shared" si="4"/>
        <v>9.4700902705159518E-2</v>
      </c>
      <c r="H37" s="77">
        <f t="shared" si="4"/>
        <v>4.1392695605211749E-2</v>
      </c>
      <c r="I37" s="77">
        <f t="shared" si="4"/>
        <v>5.5976377774105135E-3</v>
      </c>
      <c r="J37" s="77">
        <f t="shared" si="4"/>
        <v>4.654472199838855E-2</v>
      </c>
      <c r="K37" s="77">
        <f t="shared" si="4"/>
        <v>0.51588358760111541</v>
      </c>
      <c r="L37" s="77">
        <f t="shared" si="4"/>
        <v>-1.0854481880075539E-2</v>
      </c>
      <c r="M37" s="77">
        <f t="shared" si="4"/>
        <v>-1.7388294763998391E-2</v>
      </c>
      <c r="N37" s="77">
        <f t="shared" si="4"/>
        <v>-2.0266103661277124E-2</v>
      </c>
      <c r="O37" s="77">
        <f t="shared" si="4"/>
        <v>2.2056156521368164E-2</v>
      </c>
      <c r="P37" s="77">
        <f t="shared" si="4"/>
        <v>2.0107405107222531E-2</v>
      </c>
      <c r="Q37" s="77">
        <f t="shared" si="4"/>
        <v>2.5796080911145491E-2</v>
      </c>
      <c r="R37" s="77">
        <f t="shared" si="4"/>
        <v>2.17250356597809E-2</v>
      </c>
    </row>
    <row r="38" spans="1:18">
      <c r="A38" s="64" t="s">
        <v>453</v>
      </c>
      <c r="C38" s="77">
        <f t="shared" ref="C38:R38" si="5">C33/B33-1</f>
        <v>-1.2597430574595503E-2</v>
      </c>
      <c r="D38" s="77">
        <f t="shared" si="5"/>
        <v>4.8045122102392313E-2</v>
      </c>
      <c r="E38" s="77">
        <f t="shared" si="5"/>
        <v>7.0201003479770652E-2</v>
      </c>
      <c r="F38" s="77">
        <f t="shared" si="5"/>
        <v>5.9479890805804736E-2</v>
      </c>
      <c r="G38" s="77">
        <f t="shared" si="5"/>
        <v>0.22028565825325352</v>
      </c>
      <c r="H38" s="77">
        <f t="shared" si="5"/>
        <v>0.13633270644554618</v>
      </c>
      <c r="I38" s="77">
        <f t="shared" si="5"/>
        <v>-1.1045060416074226E-2</v>
      </c>
      <c r="J38" s="77">
        <f t="shared" si="5"/>
        <v>4.9459911760231234E-2</v>
      </c>
      <c r="K38" s="77">
        <f t="shared" si="5"/>
        <v>0.41584059378669491</v>
      </c>
      <c r="L38" s="77">
        <f t="shared" si="5"/>
        <v>1.8879631724825874E-2</v>
      </c>
      <c r="M38" s="77">
        <f t="shared" si="5"/>
        <v>-9.419455331122506E-2</v>
      </c>
      <c r="N38" s="77">
        <f t="shared" si="5"/>
        <v>-0.23860092503941233</v>
      </c>
      <c r="O38" s="77">
        <f t="shared" si="5"/>
        <v>9.3049686725921621E-2</v>
      </c>
      <c r="P38" s="77">
        <f t="shared" si="5"/>
        <v>8.9296949984003504E-2</v>
      </c>
      <c r="Q38" s="77">
        <f t="shared" si="5"/>
        <v>0.11608192895525526</v>
      </c>
      <c r="R38" s="77">
        <f t="shared" si="5"/>
        <v>0.10498540026732361</v>
      </c>
    </row>
    <row r="39" spans="1:18">
      <c r="B39" s="77">
        <f>B33/B32</f>
        <v>9.5779337252079141E-2</v>
      </c>
      <c r="C39" s="77">
        <f t="shared" ref="C39:R39" si="6">C33/C32</f>
        <v>8.7371385248564928E-2</v>
      </c>
      <c r="D39" s="77">
        <f t="shared" si="6"/>
        <v>8.7261373957559243E-2</v>
      </c>
      <c r="E39" s="77">
        <f t="shared" si="6"/>
        <v>8.797802518352861E-2</v>
      </c>
      <c r="F39" s="77">
        <f t="shared" si="6"/>
        <v>8.8554895780601633E-2</v>
      </c>
      <c r="G39" s="77">
        <f t="shared" si="6"/>
        <v>9.8713967461013977E-2</v>
      </c>
      <c r="H39" s="77">
        <f t="shared" si="6"/>
        <v>0.10771336334730311</v>
      </c>
      <c r="I39" s="77">
        <f t="shared" si="6"/>
        <v>0.10593070104754229</v>
      </c>
      <c r="J39" s="77">
        <f t="shared" si="6"/>
        <v>0.10622577500727615</v>
      </c>
      <c r="K39" s="77">
        <f t="shared" si="6"/>
        <v>9.9215246864542958E-2</v>
      </c>
      <c r="L39" s="77">
        <f t="shared" si="6"/>
        <v>0.10219769723970705</v>
      </c>
      <c r="M39" s="77">
        <f t="shared" si="6"/>
        <v>9.4209371113224694E-2</v>
      </c>
      <c r="N39" s="77">
        <f t="shared" si="6"/>
        <v>7.321470481554973E-2</v>
      </c>
      <c r="O39" s="77">
        <f t="shared" si="6"/>
        <v>7.8300306349844223E-2</v>
      </c>
      <c r="P39" s="77">
        <f t="shared" si="6"/>
        <v>8.3611082972908535E-2</v>
      </c>
      <c r="Q39" s="77">
        <f t="shared" si="6"/>
        <v>9.0970145531804547E-2</v>
      </c>
      <c r="R39" s="77">
        <f t="shared" si="6"/>
        <v>9.8383301930079756E-2</v>
      </c>
    </row>
    <row r="40" spans="1:18">
      <c r="A40" s="100" t="s">
        <v>485</v>
      </c>
      <c r="C40">
        <f t="shared" ref="C40:R40" si="7">((C39-B39)*(10^4))</f>
        <v>-84.079520035142124</v>
      </c>
      <c r="D40">
        <f t="shared" si="7"/>
        <v>-1.1001129100568496</v>
      </c>
      <c r="E40">
        <f t="shared" si="7"/>
        <v>7.1665122596936692</v>
      </c>
      <c r="F40">
        <f t="shared" si="7"/>
        <v>5.7687059707302311</v>
      </c>
      <c r="G40">
        <f t="shared" si="7"/>
        <v>101.59071680412343</v>
      </c>
      <c r="H40">
        <f t="shared" si="7"/>
        <v>89.993958862891333</v>
      </c>
      <c r="I40">
        <f t="shared" si="7"/>
        <v>-17.826622997608176</v>
      </c>
      <c r="J40">
        <f t="shared" si="7"/>
        <v>2.9507395973385475</v>
      </c>
      <c r="K40">
        <f t="shared" si="7"/>
        <v>-70.105281427331889</v>
      </c>
      <c r="L40">
        <f t="shared" si="7"/>
        <v>29.824503751640918</v>
      </c>
      <c r="M40">
        <f t="shared" si="7"/>
        <v>-79.88326126482356</v>
      </c>
      <c r="N40">
        <f t="shared" si="7"/>
        <v>-209.94666297674962</v>
      </c>
      <c r="O40">
        <f t="shared" si="7"/>
        <v>50.856015342944929</v>
      </c>
      <c r="P40">
        <f t="shared" si="7"/>
        <v>53.107766230643115</v>
      </c>
      <c r="Q40">
        <f t="shared" si="7"/>
        <v>73.590625588960123</v>
      </c>
      <c r="R40">
        <f t="shared" si="7"/>
        <v>74.131563982752084</v>
      </c>
    </row>
    <row r="41" spans="1:18" ht="15">
      <c r="A41" s="102" t="s">
        <v>454</v>
      </c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>
      <c r="A42" s="93"/>
      <c r="B42" s="93" t="s">
        <v>467</v>
      </c>
      <c r="C42" s="93" t="s">
        <v>468</v>
      </c>
      <c r="D42" s="93" t="s">
        <v>469</v>
      </c>
      <c r="E42" s="93" t="s">
        <v>470</v>
      </c>
      <c r="F42" s="93" t="s">
        <v>471</v>
      </c>
      <c r="G42" s="93" t="s">
        <v>472</v>
      </c>
      <c r="H42" s="93" t="s">
        <v>473</v>
      </c>
      <c r="I42" s="93" t="s">
        <v>474</v>
      </c>
      <c r="J42" s="93" t="s">
        <v>475</v>
      </c>
      <c r="K42" s="93" t="s">
        <v>476</v>
      </c>
      <c r="L42" s="93" t="s">
        <v>477</v>
      </c>
      <c r="M42" s="93" t="s">
        <v>478</v>
      </c>
      <c r="N42" s="93" t="s">
        <v>479</v>
      </c>
      <c r="O42" s="93" t="s">
        <v>480</v>
      </c>
      <c r="P42" s="93" t="s">
        <v>481</v>
      </c>
      <c r="Q42" s="93" t="s">
        <v>482</v>
      </c>
      <c r="R42" s="93" t="s">
        <v>483</v>
      </c>
    </row>
    <row r="43" spans="1:18">
      <c r="A43" s="94" t="s">
        <v>455</v>
      </c>
      <c r="B43" s="94" t="s">
        <v>448</v>
      </c>
      <c r="C43" s="94" t="s">
        <v>448</v>
      </c>
      <c r="D43" s="103">
        <v>0.1</v>
      </c>
      <c r="E43" s="103">
        <v>0.4</v>
      </c>
      <c r="F43" s="103">
        <v>4.5</v>
      </c>
      <c r="G43" s="103">
        <v>5.4</v>
      </c>
      <c r="H43" s="103">
        <v>6.3</v>
      </c>
      <c r="I43" s="103">
        <v>3.9</v>
      </c>
      <c r="J43" s="103">
        <v>0</v>
      </c>
      <c r="K43" s="103">
        <v>2.8</v>
      </c>
      <c r="L43" s="103">
        <v>3.8</v>
      </c>
      <c r="M43" s="103">
        <v>2.4</v>
      </c>
      <c r="N43" s="103">
        <v>0.5</v>
      </c>
      <c r="O43" s="103">
        <v>1.8</v>
      </c>
      <c r="P43" s="103">
        <v>2.8615400000000002</v>
      </c>
      <c r="Q43" s="103">
        <v>2.1076899999999998</v>
      </c>
      <c r="R43" s="103">
        <v>2.4</v>
      </c>
    </row>
    <row r="44" spans="1:18">
      <c r="A44" s="96" t="s">
        <v>458</v>
      </c>
      <c r="B44" s="96" t="s">
        <v>448</v>
      </c>
      <c r="C44" s="96" t="s">
        <v>448</v>
      </c>
      <c r="D44" s="96" t="s">
        <v>448</v>
      </c>
      <c r="E44" s="105">
        <v>235</v>
      </c>
      <c r="F44" s="105">
        <v>239</v>
      </c>
      <c r="G44" s="105">
        <v>251.4</v>
      </c>
      <c r="H44" s="105">
        <v>258</v>
      </c>
      <c r="I44" s="105">
        <v>263</v>
      </c>
      <c r="J44" s="105">
        <v>265</v>
      </c>
      <c r="K44" s="105">
        <v>263</v>
      </c>
      <c r="L44" s="105">
        <v>268</v>
      </c>
      <c r="M44" s="105">
        <v>269</v>
      </c>
      <c r="N44" s="105">
        <v>266</v>
      </c>
      <c r="O44" s="105">
        <v>269</v>
      </c>
      <c r="P44" s="105">
        <v>282</v>
      </c>
      <c r="Q44" s="105">
        <v>282</v>
      </c>
      <c r="R44" s="96" t="s">
        <v>448</v>
      </c>
    </row>
    <row r="45" spans="1:18">
      <c r="A45" s="94" t="s">
        <v>459</v>
      </c>
      <c r="B45" s="94" t="s">
        <v>448</v>
      </c>
      <c r="C45" s="94" t="s">
        <v>448</v>
      </c>
      <c r="D45" s="94" t="s">
        <v>448</v>
      </c>
      <c r="E45" s="103">
        <v>26.24</v>
      </c>
      <c r="F45" s="103">
        <v>28.55</v>
      </c>
      <c r="G45" s="103">
        <v>29.513500000000001</v>
      </c>
      <c r="H45" s="103">
        <v>31.337</v>
      </c>
      <c r="I45" s="103">
        <v>32.706000000000003</v>
      </c>
      <c r="J45" s="103">
        <v>34.076000000000001</v>
      </c>
      <c r="K45" s="103">
        <v>35.423999999999999</v>
      </c>
      <c r="L45" s="103">
        <v>36.814999999999998</v>
      </c>
      <c r="M45" s="103">
        <v>38.198</v>
      </c>
      <c r="N45" s="103">
        <v>39.683999999999997</v>
      </c>
      <c r="O45" s="103">
        <v>41.066000000000003</v>
      </c>
      <c r="P45" s="103">
        <v>42.348799999999997</v>
      </c>
      <c r="Q45" s="103">
        <v>43.805599999999998</v>
      </c>
      <c r="R45" s="94" t="s">
        <v>448</v>
      </c>
    </row>
    <row r="46" spans="1:18">
      <c r="A46" s="96" t="s">
        <v>460</v>
      </c>
      <c r="B46" s="96" t="s">
        <v>448</v>
      </c>
      <c r="C46" s="96" t="s">
        <v>448</v>
      </c>
      <c r="D46" s="97">
        <v>4056</v>
      </c>
      <c r="E46" s="97">
        <v>4240</v>
      </c>
      <c r="F46" s="97">
        <v>4417</v>
      </c>
      <c r="G46" s="97">
        <v>4627</v>
      </c>
      <c r="H46" s="97">
        <v>4813</v>
      </c>
      <c r="I46" s="97">
        <v>5006</v>
      </c>
      <c r="J46" s="97">
        <v>5201</v>
      </c>
      <c r="K46" s="97">
        <v>5391</v>
      </c>
      <c r="L46" s="97">
        <v>5609</v>
      </c>
      <c r="M46" s="97">
        <v>5788</v>
      </c>
      <c r="N46" s="97">
        <v>6003</v>
      </c>
      <c r="O46" s="97">
        <v>6202</v>
      </c>
      <c r="P46" s="97">
        <v>6403.5</v>
      </c>
      <c r="Q46" s="97">
        <v>6606.17</v>
      </c>
      <c r="R46" s="97">
        <v>6823</v>
      </c>
    </row>
    <row r="47" spans="1:18">
      <c r="A47" s="94" t="s">
        <v>461</v>
      </c>
      <c r="B47" s="94" t="s">
        <v>448</v>
      </c>
      <c r="C47" s="94" t="s">
        <v>448</v>
      </c>
      <c r="D47" s="94" t="s">
        <v>448</v>
      </c>
      <c r="E47" s="94" t="s">
        <v>448</v>
      </c>
      <c r="F47" s="94" t="s">
        <v>448</v>
      </c>
      <c r="G47" s="95">
        <v>3</v>
      </c>
      <c r="H47" s="95">
        <v>2</v>
      </c>
      <c r="I47" s="95">
        <v>0</v>
      </c>
      <c r="J47" s="95">
        <v>2</v>
      </c>
      <c r="K47" s="94" t="s">
        <v>448</v>
      </c>
      <c r="L47" s="95">
        <v>1</v>
      </c>
      <c r="M47" s="95">
        <v>0</v>
      </c>
      <c r="N47" s="95">
        <v>0</v>
      </c>
      <c r="O47" s="94" t="s">
        <v>448</v>
      </c>
      <c r="P47" s="94" t="s">
        <v>448</v>
      </c>
      <c r="Q47" s="94" t="s">
        <v>448</v>
      </c>
      <c r="R47" s="94" t="s">
        <v>448</v>
      </c>
    </row>
    <row r="48" spans="1:18">
      <c r="A48" s="96" t="s">
        <v>462</v>
      </c>
      <c r="B48" s="96" t="s">
        <v>448</v>
      </c>
      <c r="C48" s="96" t="s">
        <v>448</v>
      </c>
      <c r="D48" s="97">
        <v>186</v>
      </c>
      <c r="E48" s="97">
        <v>185</v>
      </c>
      <c r="F48" s="97">
        <v>180</v>
      </c>
      <c r="G48" s="97">
        <v>213</v>
      </c>
      <c r="H48" s="97">
        <v>188</v>
      </c>
      <c r="I48" s="97">
        <v>193</v>
      </c>
      <c r="J48" s="97">
        <v>194</v>
      </c>
      <c r="K48" s="97">
        <v>188</v>
      </c>
      <c r="L48" s="97">
        <v>199</v>
      </c>
      <c r="M48" s="97">
        <v>199</v>
      </c>
      <c r="N48" s="97">
        <v>215</v>
      </c>
      <c r="O48" s="97">
        <v>201</v>
      </c>
      <c r="P48" s="96" t="s">
        <v>448</v>
      </c>
      <c r="Q48" s="96" t="s">
        <v>448</v>
      </c>
      <c r="R48" s="96" t="s">
        <v>448</v>
      </c>
    </row>
    <row r="49" spans="1:18">
      <c r="A49" s="94" t="s">
        <v>484</v>
      </c>
      <c r="B49" s="94" t="s">
        <v>448</v>
      </c>
      <c r="C49" s="94" t="s">
        <v>448</v>
      </c>
      <c r="D49" s="94" t="s">
        <v>448</v>
      </c>
      <c r="E49" s="94" t="s">
        <v>448</v>
      </c>
      <c r="F49" s="94" t="s">
        <v>448</v>
      </c>
      <c r="G49" s="94" t="s">
        <v>448</v>
      </c>
      <c r="H49" s="95">
        <v>10</v>
      </c>
      <c r="I49" s="95">
        <v>10</v>
      </c>
      <c r="J49" s="95">
        <v>11</v>
      </c>
      <c r="K49" s="95">
        <v>8</v>
      </c>
      <c r="L49" s="95">
        <v>5</v>
      </c>
      <c r="M49" s="95">
        <v>6</v>
      </c>
      <c r="N49" s="95">
        <v>5</v>
      </c>
      <c r="O49" s="95">
        <v>7</v>
      </c>
      <c r="P49" s="95">
        <v>3</v>
      </c>
      <c r="Q49" s="95">
        <v>4</v>
      </c>
      <c r="R49" s="94" t="s">
        <v>448</v>
      </c>
    </row>
    <row r="50" spans="1:18">
      <c r="A50" s="94" t="s">
        <v>65</v>
      </c>
      <c r="B50" s="95">
        <v>5710.88</v>
      </c>
      <c r="C50" s="95">
        <v>5948.35</v>
      </c>
      <c r="D50" s="95">
        <v>6169.8</v>
      </c>
      <c r="E50" s="95">
        <v>6522.7</v>
      </c>
      <c r="F50" s="95">
        <v>6816.82</v>
      </c>
      <c r="G50" s="95">
        <v>7362.61</v>
      </c>
      <c r="H50" s="95">
        <v>8072.97</v>
      </c>
      <c r="I50" s="95">
        <v>8603.86</v>
      </c>
      <c r="J50" s="95">
        <v>9147.5300000000007</v>
      </c>
      <c r="K50" s="95">
        <v>9475.31</v>
      </c>
      <c r="L50" s="95">
        <v>10187.299999999999</v>
      </c>
      <c r="M50" s="95">
        <v>10635.6</v>
      </c>
      <c r="N50" s="95">
        <v>10888.6</v>
      </c>
      <c r="O50" s="95">
        <v>11221</v>
      </c>
      <c r="P50" s="95">
        <v>11800.4</v>
      </c>
      <c r="Q50" s="95">
        <v>12055.5</v>
      </c>
      <c r="R50" s="95">
        <v>12523.7</v>
      </c>
    </row>
    <row r="51" spans="1:18">
      <c r="A51" s="96" t="s">
        <v>452</v>
      </c>
      <c r="B51" s="97">
        <v>1015.99</v>
      </c>
      <c r="C51" s="97">
        <v>1009.92</v>
      </c>
      <c r="D51" s="97">
        <v>1055.1300000000001</v>
      </c>
      <c r="E51" s="97">
        <v>1124.1300000000001</v>
      </c>
      <c r="F51" s="97">
        <v>1176.0999999999999</v>
      </c>
      <c r="G51" s="97">
        <v>1319.4</v>
      </c>
      <c r="H51" s="97">
        <v>1494.8</v>
      </c>
      <c r="I51" s="97">
        <v>1628.9</v>
      </c>
      <c r="J51" s="97">
        <v>1773.09</v>
      </c>
      <c r="K51" s="97">
        <v>1830.2</v>
      </c>
      <c r="L51" s="97">
        <v>1953.05</v>
      </c>
      <c r="M51" s="97">
        <v>2060.4</v>
      </c>
      <c r="N51" s="97">
        <v>2080.06</v>
      </c>
      <c r="O51" s="97">
        <v>2139.5</v>
      </c>
      <c r="P51" s="97">
        <v>2208.5</v>
      </c>
      <c r="Q51" s="97">
        <v>2234.16</v>
      </c>
      <c r="R51" s="97">
        <v>2331.0500000000002</v>
      </c>
    </row>
    <row r="52" spans="1:18">
      <c r="A52" s="96" t="s">
        <v>466</v>
      </c>
      <c r="B52" s="97">
        <v>571.01900000000001</v>
      </c>
      <c r="C52" s="97">
        <v>569.27499999999998</v>
      </c>
      <c r="D52" s="97">
        <v>595.67200000000003</v>
      </c>
      <c r="E52" s="97">
        <v>641.60599999999999</v>
      </c>
      <c r="F52" s="97">
        <v>657.04899999999998</v>
      </c>
      <c r="G52" s="97">
        <v>738.31</v>
      </c>
      <c r="H52" s="97">
        <v>848.97400000000005</v>
      </c>
      <c r="I52" s="97">
        <v>930.37300000000005</v>
      </c>
      <c r="J52" s="97">
        <v>1016.48</v>
      </c>
      <c r="K52" s="97">
        <v>1069.74</v>
      </c>
      <c r="L52" s="97">
        <v>1160.24</v>
      </c>
      <c r="M52" s="97">
        <v>1241</v>
      </c>
      <c r="N52" s="97">
        <v>1280.8599999999999</v>
      </c>
      <c r="O52" s="97">
        <v>1337.53</v>
      </c>
      <c r="P52" s="97">
        <v>1587.87</v>
      </c>
      <c r="Q52" s="97">
        <v>1565.65</v>
      </c>
      <c r="R52" s="97">
        <v>1638.26</v>
      </c>
    </row>
    <row r="54" spans="1:18">
      <c r="A54" s="64" t="s">
        <v>464</v>
      </c>
      <c r="C54" s="77">
        <f>C50/B50-1</f>
        <v>4.1582032891603449E-2</v>
      </c>
      <c r="D54" s="77">
        <f t="shared" ref="D54:R54" si="8">D50/C50-1</f>
        <v>3.7228811351046831E-2</v>
      </c>
      <c r="E54" s="77">
        <f t="shared" si="8"/>
        <v>5.7197964277610147E-2</v>
      </c>
      <c r="F54" s="77">
        <f t="shared" si="8"/>
        <v>4.5091756481211664E-2</v>
      </c>
      <c r="G54" s="77">
        <f t="shared" si="8"/>
        <v>8.006519168761983E-2</v>
      </c>
      <c r="H54" s="77">
        <f t="shared" si="8"/>
        <v>9.6482089911050561E-2</v>
      </c>
      <c r="I54" s="77">
        <f t="shared" si="8"/>
        <v>6.5761423614853154E-2</v>
      </c>
      <c r="J54" s="77">
        <f t="shared" si="8"/>
        <v>6.318908025002723E-2</v>
      </c>
      <c r="K54" s="77">
        <f t="shared" si="8"/>
        <v>3.5832623669995955E-2</v>
      </c>
      <c r="L54" s="77">
        <f t="shared" si="8"/>
        <v>7.5141604865698319E-2</v>
      </c>
      <c r="M54" s="77">
        <f t="shared" si="8"/>
        <v>4.4005771892454471E-2</v>
      </c>
      <c r="N54" s="77">
        <f t="shared" si="8"/>
        <v>2.3788032645078783E-2</v>
      </c>
      <c r="O54" s="77">
        <f t="shared" si="8"/>
        <v>3.0527340521279145E-2</v>
      </c>
      <c r="P54" s="77">
        <f t="shared" si="8"/>
        <v>5.1635326619730915E-2</v>
      </c>
      <c r="Q54" s="77">
        <f t="shared" si="8"/>
        <v>2.1617911257245659E-2</v>
      </c>
      <c r="R54" s="77">
        <f t="shared" si="8"/>
        <v>3.8837045332006159E-2</v>
      </c>
    </row>
    <row r="55" spans="1:18">
      <c r="A55" s="64" t="s">
        <v>453</v>
      </c>
      <c r="C55" s="77">
        <f t="shared" ref="C55:R55" si="9">C51/B51-1</f>
        <v>-5.9744682526403636E-3</v>
      </c>
      <c r="D55" s="77">
        <f t="shared" si="9"/>
        <v>4.4765922053232154E-2</v>
      </c>
      <c r="E55" s="77">
        <f t="shared" si="9"/>
        <v>6.5394785476671213E-2</v>
      </c>
      <c r="F55" s="77">
        <f t="shared" si="9"/>
        <v>4.6231307766895213E-2</v>
      </c>
      <c r="G55" s="77">
        <f t="shared" si="9"/>
        <v>0.12184338066490952</v>
      </c>
      <c r="H55" s="77">
        <f t="shared" si="9"/>
        <v>0.13293921479460358</v>
      </c>
      <c r="I55" s="77">
        <f t="shared" si="9"/>
        <v>8.9710998126839803E-2</v>
      </c>
      <c r="J55" s="77">
        <f t="shared" si="9"/>
        <v>8.851986002823975E-2</v>
      </c>
      <c r="K55" s="77">
        <f t="shared" si="9"/>
        <v>3.2209306916174629E-2</v>
      </c>
      <c r="L55" s="77">
        <f t="shared" si="9"/>
        <v>6.7123811605289019E-2</v>
      </c>
      <c r="M55" s="77">
        <f t="shared" si="9"/>
        <v>5.4965310667929757E-2</v>
      </c>
      <c r="N55" s="77">
        <f t="shared" si="9"/>
        <v>9.5418365365946833E-3</v>
      </c>
      <c r="O55" s="77">
        <f t="shared" si="9"/>
        <v>2.8576098766381675E-2</v>
      </c>
      <c r="P55" s="77">
        <f t="shared" si="9"/>
        <v>3.2250525823790621E-2</v>
      </c>
      <c r="Q55" s="77">
        <f t="shared" si="9"/>
        <v>1.1618745755037185E-2</v>
      </c>
      <c r="R55" s="77">
        <f t="shared" si="9"/>
        <v>4.3367529630823354E-2</v>
      </c>
    </row>
    <row r="56" spans="1:18">
      <c r="B56" s="77">
        <f>B51/B50</f>
        <v>0.17790428095144706</v>
      </c>
      <c r="C56" s="77">
        <f t="shared" ref="C56:R56" si="10">C51/C50</f>
        <v>0.16978153605621726</v>
      </c>
      <c r="D56" s="77">
        <f t="shared" si="10"/>
        <v>0.17101526791792279</v>
      </c>
      <c r="E56" s="77">
        <f t="shared" si="10"/>
        <v>0.17234120839529646</v>
      </c>
      <c r="F56" s="77">
        <f t="shared" si="10"/>
        <v>0.17252912648419644</v>
      </c>
      <c r="G56" s="77">
        <f t="shared" si="10"/>
        <v>0.17920275554456913</v>
      </c>
      <c r="H56" s="77">
        <f t="shared" si="10"/>
        <v>0.18516109932280189</v>
      </c>
      <c r="I56" s="77">
        <f t="shared" si="10"/>
        <v>0.1893220019851555</v>
      </c>
      <c r="J56" s="77">
        <f t="shared" si="10"/>
        <v>0.19383265209296935</v>
      </c>
      <c r="K56" s="77">
        <f t="shared" si="10"/>
        <v>0.19315463029705626</v>
      </c>
      <c r="L56" s="77">
        <f t="shared" si="10"/>
        <v>0.19171419316207436</v>
      </c>
      <c r="M56" s="77">
        <f t="shared" si="10"/>
        <v>0.19372672909849939</v>
      </c>
      <c r="N56" s="77">
        <f t="shared" si="10"/>
        <v>0.19103098653637748</v>
      </c>
      <c r="O56" s="77">
        <f t="shared" si="10"/>
        <v>0.1906692808127618</v>
      </c>
      <c r="P56" s="77">
        <f t="shared" si="10"/>
        <v>0.18715467272295855</v>
      </c>
      <c r="Q56" s="77">
        <f t="shared" si="10"/>
        <v>0.18532288167226577</v>
      </c>
      <c r="R56" s="77">
        <f t="shared" si="10"/>
        <v>0.18613109544303999</v>
      </c>
    </row>
    <row r="57" spans="1:18">
      <c r="A57" s="100" t="s">
        <v>487</v>
      </c>
      <c r="C57">
        <f t="shared" ref="C57:R57" si="11">((C56-B56)*(10^4))</f>
        <v>-81.227448952297948</v>
      </c>
      <c r="D57">
        <f t="shared" si="11"/>
        <v>12.337318617055281</v>
      </c>
      <c r="E57">
        <f t="shared" si="11"/>
        <v>13.25940477373666</v>
      </c>
      <c r="F57">
        <f t="shared" si="11"/>
        <v>1.8791808889997985</v>
      </c>
      <c r="G57">
        <f t="shared" si="11"/>
        <v>66.736290603726928</v>
      </c>
      <c r="H57">
        <f t="shared" si="11"/>
        <v>59.583437782327607</v>
      </c>
      <c r="I57">
        <f t="shared" si="11"/>
        <v>41.609026623536103</v>
      </c>
      <c r="J57">
        <f t="shared" si="11"/>
        <v>45.106501078138464</v>
      </c>
      <c r="K57">
        <f t="shared" si="11"/>
        <v>-6.7802179591308631</v>
      </c>
      <c r="L57">
        <f t="shared" si="11"/>
        <v>-14.404371349819034</v>
      </c>
      <c r="M57">
        <f t="shared" si="11"/>
        <v>20.125359364250308</v>
      </c>
      <c r="N57">
        <f t="shared" si="11"/>
        <v>-26.957425621219056</v>
      </c>
      <c r="O57">
        <f t="shared" si="11"/>
        <v>-3.6170572361568509</v>
      </c>
      <c r="P57">
        <f t="shared" si="11"/>
        <v>-35.146080898032508</v>
      </c>
      <c r="Q57">
        <f t="shared" si="11"/>
        <v>-18.317910506927827</v>
      </c>
      <c r="R57">
        <f t="shared" si="11"/>
        <v>8.0821377077422429</v>
      </c>
    </row>
    <row r="58" spans="1:18" ht="15">
      <c r="A58" s="102" t="s">
        <v>454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</row>
    <row r="59" spans="1:18">
      <c r="A59" s="93"/>
      <c r="B59" s="93" t="s">
        <v>430</v>
      </c>
      <c r="C59" s="93" t="s">
        <v>431</v>
      </c>
      <c r="D59" s="93" t="s">
        <v>432</v>
      </c>
      <c r="E59" s="93" t="s">
        <v>433</v>
      </c>
      <c r="F59" s="93" t="s">
        <v>434</v>
      </c>
      <c r="G59" s="93" t="s">
        <v>435</v>
      </c>
      <c r="H59" s="93" t="s">
        <v>436</v>
      </c>
      <c r="I59" s="93" t="s">
        <v>437</v>
      </c>
      <c r="J59" s="93" t="s">
        <v>438</v>
      </c>
      <c r="K59" s="93" t="s">
        <v>439</v>
      </c>
      <c r="L59" s="93" t="s">
        <v>440</v>
      </c>
      <c r="M59" s="93" t="s">
        <v>441</v>
      </c>
      <c r="N59" s="93" t="s">
        <v>442</v>
      </c>
      <c r="O59" s="93" t="s">
        <v>443</v>
      </c>
      <c r="P59" s="93" t="s">
        <v>444</v>
      </c>
      <c r="Q59" s="93" t="s">
        <v>445</v>
      </c>
      <c r="R59" s="93" t="s">
        <v>446</v>
      </c>
    </row>
    <row r="60" spans="1:18">
      <c r="A60" s="94" t="s">
        <v>455</v>
      </c>
      <c r="B60" s="94" t="s">
        <v>448</v>
      </c>
      <c r="C60" s="94" t="s">
        <v>448</v>
      </c>
      <c r="D60" s="103">
        <v>3.7</v>
      </c>
      <c r="E60" s="103">
        <v>1.5</v>
      </c>
      <c r="F60" s="103">
        <v>4.5999999999999996</v>
      </c>
      <c r="G60" s="103">
        <v>8.8000000000000007</v>
      </c>
      <c r="H60" s="103">
        <v>4.5999999999999996</v>
      </c>
      <c r="I60" s="103">
        <v>3.8</v>
      </c>
      <c r="J60" s="103">
        <v>4.3</v>
      </c>
      <c r="K60" s="103">
        <v>6</v>
      </c>
      <c r="L60" s="103">
        <v>7.5</v>
      </c>
      <c r="M60" s="103">
        <v>4.8</v>
      </c>
      <c r="N60" s="103">
        <v>1.4</v>
      </c>
      <c r="O60" s="103">
        <v>3.8</v>
      </c>
      <c r="P60" s="103">
        <v>3.7846199999999999</v>
      </c>
      <c r="Q60" s="103">
        <v>3.4750000000000001</v>
      </c>
      <c r="R60" s="94" t="s">
        <v>448</v>
      </c>
    </row>
    <row r="61" spans="1:18">
      <c r="A61" s="96" t="s">
        <v>456</v>
      </c>
      <c r="B61" s="96" t="s">
        <v>448</v>
      </c>
      <c r="C61" s="96" t="s">
        <v>448</v>
      </c>
      <c r="D61" s="105">
        <v>4</v>
      </c>
      <c r="E61" s="105">
        <v>0</v>
      </c>
      <c r="F61" s="105">
        <v>3</v>
      </c>
      <c r="G61" s="105">
        <v>7</v>
      </c>
      <c r="H61" s="105">
        <v>4</v>
      </c>
      <c r="I61" s="105">
        <v>3</v>
      </c>
      <c r="J61" s="105">
        <v>3.5</v>
      </c>
      <c r="K61" s="105">
        <v>5</v>
      </c>
      <c r="L61" s="105">
        <v>6.5</v>
      </c>
      <c r="M61" s="105">
        <v>4</v>
      </c>
      <c r="N61" s="105">
        <v>1</v>
      </c>
      <c r="O61" s="105">
        <v>3</v>
      </c>
      <c r="P61" s="105">
        <v>3</v>
      </c>
      <c r="Q61" s="96" t="s">
        <v>448</v>
      </c>
      <c r="R61" s="96" t="s">
        <v>448</v>
      </c>
    </row>
    <row r="62" spans="1:18">
      <c r="A62" s="94" t="s">
        <v>457</v>
      </c>
      <c r="B62" s="94" t="s">
        <v>448</v>
      </c>
      <c r="C62" s="94" t="s">
        <v>448</v>
      </c>
      <c r="D62" s="103">
        <v>5</v>
      </c>
      <c r="E62" s="103">
        <v>1</v>
      </c>
      <c r="F62" s="103">
        <v>5</v>
      </c>
      <c r="G62" s="103">
        <v>8</v>
      </c>
      <c r="H62" s="103">
        <v>5.5</v>
      </c>
      <c r="I62" s="103">
        <v>4</v>
      </c>
      <c r="J62" s="103">
        <v>4.5</v>
      </c>
      <c r="K62" s="103">
        <v>6</v>
      </c>
      <c r="L62" s="103">
        <v>7</v>
      </c>
      <c r="M62" s="103">
        <v>5</v>
      </c>
      <c r="N62" s="103">
        <v>2</v>
      </c>
      <c r="O62" s="103">
        <v>4</v>
      </c>
      <c r="P62" s="103">
        <v>5</v>
      </c>
      <c r="Q62" s="94" t="s">
        <v>448</v>
      </c>
      <c r="R62" s="94" t="s">
        <v>448</v>
      </c>
    </row>
    <row r="63" spans="1:18">
      <c r="A63" s="96" t="s">
        <v>458</v>
      </c>
      <c r="B63" s="96" t="s">
        <v>448</v>
      </c>
      <c r="C63" s="96" t="s">
        <v>448</v>
      </c>
      <c r="D63" s="105">
        <v>212.03</v>
      </c>
      <c r="E63" s="105">
        <v>210.9</v>
      </c>
      <c r="F63" s="105">
        <v>203.8</v>
      </c>
      <c r="G63" s="105">
        <v>215.58</v>
      </c>
      <c r="H63" s="105">
        <v>220.69</v>
      </c>
      <c r="I63" s="105">
        <v>223.55</v>
      </c>
      <c r="J63" s="105">
        <v>223.95</v>
      </c>
      <c r="K63" s="105">
        <v>232.22</v>
      </c>
      <c r="L63" s="105">
        <v>244.13</v>
      </c>
      <c r="M63" s="105">
        <v>251.36</v>
      </c>
      <c r="N63" s="105">
        <v>247.97</v>
      </c>
      <c r="O63" s="105">
        <v>251.06</v>
      </c>
      <c r="P63" s="105">
        <v>257.51</v>
      </c>
      <c r="Q63" s="105">
        <v>260.61</v>
      </c>
      <c r="R63" s="96" t="s">
        <v>448</v>
      </c>
    </row>
    <row r="64" spans="1:18">
      <c r="A64" s="94" t="s">
        <v>486</v>
      </c>
      <c r="B64" s="94" t="s">
        <v>448</v>
      </c>
      <c r="C64" s="94" t="s">
        <v>448</v>
      </c>
      <c r="D64" s="94" t="s">
        <v>448</v>
      </c>
      <c r="E64" s="94" t="s">
        <v>448</v>
      </c>
      <c r="F64" s="94" t="s">
        <v>448</v>
      </c>
      <c r="G64" s="94" t="s">
        <v>448</v>
      </c>
      <c r="H64" s="103">
        <v>217.3</v>
      </c>
      <c r="I64" s="94" t="s">
        <v>448</v>
      </c>
      <c r="J64" s="94" t="s">
        <v>448</v>
      </c>
      <c r="K64" s="94" t="s">
        <v>448</v>
      </c>
      <c r="L64" s="94" t="s">
        <v>448</v>
      </c>
      <c r="M64" s="94" t="s">
        <v>448</v>
      </c>
      <c r="N64" s="94" t="s">
        <v>448</v>
      </c>
      <c r="O64" s="94" t="s">
        <v>448</v>
      </c>
      <c r="P64" s="94" t="s">
        <v>448</v>
      </c>
      <c r="Q64" s="94" t="s">
        <v>448</v>
      </c>
      <c r="R64" s="94" t="s">
        <v>448</v>
      </c>
    </row>
    <row r="65" spans="1:18">
      <c r="A65" s="96" t="s">
        <v>459</v>
      </c>
      <c r="B65" s="96" t="s">
        <v>448</v>
      </c>
      <c r="C65" s="96" t="s">
        <v>448</v>
      </c>
      <c r="D65" s="105">
        <v>12.439</v>
      </c>
      <c r="E65" s="105">
        <v>23.204999999999998</v>
      </c>
      <c r="F65" s="105">
        <v>24.2</v>
      </c>
      <c r="G65" s="105">
        <v>25.315000000000001</v>
      </c>
      <c r="H65" s="105">
        <v>26.53</v>
      </c>
      <c r="I65" s="105">
        <v>28.628</v>
      </c>
      <c r="J65" s="105">
        <v>30.077000000000002</v>
      </c>
      <c r="K65" s="105">
        <v>31.595500000000001</v>
      </c>
      <c r="L65" s="105">
        <v>33.148000000000003</v>
      </c>
      <c r="M65" s="105">
        <v>35.122999999999998</v>
      </c>
      <c r="N65" s="105">
        <v>36.685000000000002</v>
      </c>
      <c r="O65" s="105">
        <v>38.454999999999998</v>
      </c>
      <c r="P65" s="105">
        <v>40.053400000000003</v>
      </c>
      <c r="Q65" s="105">
        <v>41.657200000000003</v>
      </c>
      <c r="R65" s="96" t="s">
        <v>448</v>
      </c>
    </row>
    <row r="66" spans="1:18">
      <c r="A66" s="94" t="s">
        <v>486</v>
      </c>
      <c r="B66" s="94" t="s">
        <v>448</v>
      </c>
      <c r="C66" s="94" t="s">
        <v>448</v>
      </c>
      <c r="D66" s="94" t="s">
        <v>448</v>
      </c>
      <c r="E66" s="94" t="s">
        <v>448</v>
      </c>
      <c r="F66" s="94" t="s">
        <v>448</v>
      </c>
      <c r="G66" s="94" t="s">
        <v>448</v>
      </c>
      <c r="H66" s="103">
        <v>25.626999999999999</v>
      </c>
      <c r="I66" s="94" t="s">
        <v>448</v>
      </c>
      <c r="J66" s="94" t="s">
        <v>448</v>
      </c>
      <c r="K66" s="94" t="s">
        <v>448</v>
      </c>
      <c r="L66" s="94" t="s">
        <v>448</v>
      </c>
      <c r="M66" s="94" t="s">
        <v>448</v>
      </c>
      <c r="N66" s="94" t="s">
        <v>448</v>
      </c>
      <c r="O66" s="94" t="s">
        <v>448</v>
      </c>
      <c r="P66" s="94" t="s">
        <v>448</v>
      </c>
      <c r="Q66" s="94" t="s">
        <v>448</v>
      </c>
      <c r="R66" s="94" t="s">
        <v>448</v>
      </c>
    </row>
    <row r="67" spans="1:18">
      <c r="A67" s="96" t="s">
        <v>460</v>
      </c>
      <c r="B67" s="96" t="s">
        <v>448</v>
      </c>
      <c r="C67" s="96" t="s">
        <v>448</v>
      </c>
      <c r="D67" s="97">
        <v>1830</v>
      </c>
      <c r="E67" s="97">
        <v>3285</v>
      </c>
      <c r="F67" s="97">
        <v>3421</v>
      </c>
      <c r="G67" s="97">
        <v>3570</v>
      </c>
      <c r="H67" s="97">
        <v>3740</v>
      </c>
      <c r="I67" s="97">
        <v>3976</v>
      </c>
      <c r="J67" s="97">
        <v>4166</v>
      </c>
      <c r="K67" s="97">
        <v>4366</v>
      </c>
      <c r="L67" s="97">
        <v>4571</v>
      </c>
      <c r="M67" s="97">
        <v>4829</v>
      </c>
      <c r="N67" s="97">
        <v>5019</v>
      </c>
      <c r="O67" s="97">
        <v>5219</v>
      </c>
      <c r="P67" s="97">
        <v>5439.29</v>
      </c>
      <c r="Q67" s="97">
        <v>5642.86</v>
      </c>
      <c r="R67" s="96" t="s">
        <v>448</v>
      </c>
    </row>
    <row r="68" spans="1:18">
      <c r="A68" s="94" t="s">
        <v>486</v>
      </c>
      <c r="B68" s="94" t="s">
        <v>448</v>
      </c>
      <c r="C68" s="94" t="s">
        <v>448</v>
      </c>
      <c r="D68" s="94" t="s">
        <v>448</v>
      </c>
      <c r="E68" s="94" t="s">
        <v>448</v>
      </c>
      <c r="F68" s="94" t="s">
        <v>448</v>
      </c>
      <c r="G68" s="94" t="s">
        <v>448</v>
      </c>
      <c r="H68" s="94" t="s">
        <v>448</v>
      </c>
      <c r="I68" s="94" t="s">
        <v>448</v>
      </c>
      <c r="J68" s="94" t="s">
        <v>448</v>
      </c>
      <c r="K68" s="94" t="s">
        <v>448</v>
      </c>
      <c r="L68" s="94" t="s">
        <v>448</v>
      </c>
      <c r="M68" s="95">
        <v>4623</v>
      </c>
      <c r="N68" s="95">
        <v>5000</v>
      </c>
      <c r="O68" s="94" t="s">
        <v>448</v>
      </c>
      <c r="P68" s="94" t="s">
        <v>448</v>
      </c>
      <c r="Q68" s="94" t="s">
        <v>448</v>
      </c>
      <c r="R68" s="94" t="s">
        <v>448</v>
      </c>
    </row>
    <row r="69" spans="1:18">
      <c r="A69" s="96" t="s">
        <v>461</v>
      </c>
      <c r="B69" s="96" t="s">
        <v>448</v>
      </c>
      <c r="C69" s="96" t="s">
        <v>448</v>
      </c>
      <c r="D69" s="96" t="s">
        <v>448</v>
      </c>
      <c r="E69" s="96" t="s">
        <v>448</v>
      </c>
      <c r="F69" s="96" t="s">
        <v>448</v>
      </c>
      <c r="G69" s="97">
        <v>7</v>
      </c>
      <c r="H69" s="97">
        <v>13</v>
      </c>
      <c r="I69" s="97">
        <v>5</v>
      </c>
      <c r="J69" s="97">
        <v>5</v>
      </c>
      <c r="K69" s="97">
        <v>7</v>
      </c>
      <c r="L69" s="97">
        <v>4</v>
      </c>
      <c r="M69" s="97">
        <v>2</v>
      </c>
      <c r="N69" s="97">
        <v>8</v>
      </c>
      <c r="O69" s="97">
        <v>6</v>
      </c>
      <c r="P69" s="97">
        <v>6</v>
      </c>
      <c r="Q69" s="97">
        <v>6</v>
      </c>
      <c r="R69" s="96" t="s">
        <v>448</v>
      </c>
    </row>
    <row r="70" spans="1:18">
      <c r="A70" s="94" t="s">
        <v>486</v>
      </c>
      <c r="B70" s="94" t="s">
        <v>448</v>
      </c>
      <c r="C70" s="94" t="s">
        <v>448</v>
      </c>
      <c r="D70" s="94" t="s">
        <v>448</v>
      </c>
      <c r="E70" s="94" t="s">
        <v>448</v>
      </c>
      <c r="F70" s="94" t="s">
        <v>448</v>
      </c>
      <c r="G70" s="94" t="s">
        <v>448</v>
      </c>
      <c r="H70" s="94" t="s">
        <v>448</v>
      </c>
      <c r="I70" s="94" t="s">
        <v>448</v>
      </c>
      <c r="J70" s="94" t="s">
        <v>448</v>
      </c>
      <c r="K70" s="94" t="s">
        <v>448</v>
      </c>
      <c r="L70" s="94" t="s">
        <v>448</v>
      </c>
      <c r="M70" s="95">
        <v>4</v>
      </c>
      <c r="N70" s="94" t="s">
        <v>448</v>
      </c>
      <c r="O70" s="94" t="s">
        <v>448</v>
      </c>
      <c r="P70" s="94" t="s">
        <v>448</v>
      </c>
      <c r="Q70" s="94" t="s">
        <v>448</v>
      </c>
      <c r="R70" s="94" t="s">
        <v>448</v>
      </c>
    </row>
    <row r="71" spans="1:18">
      <c r="A71" s="96" t="s">
        <v>462</v>
      </c>
      <c r="B71" s="96" t="s">
        <v>448</v>
      </c>
      <c r="C71" s="96" t="s">
        <v>448</v>
      </c>
      <c r="D71" s="97">
        <v>190</v>
      </c>
      <c r="E71" s="96" t="s">
        <v>448</v>
      </c>
      <c r="F71" s="97">
        <v>150</v>
      </c>
      <c r="G71" s="97">
        <v>156</v>
      </c>
      <c r="H71" s="97">
        <v>183</v>
      </c>
      <c r="I71" s="97">
        <v>185</v>
      </c>
      <c r="J71" s="97">
        <v>195</v>
      </c>
      <c r="K71" s="97">
        <v>207</v>
      </c>
      <c r="L71" s="97">
        <v>209</v>
      </c>
      <c r="M71" s="97">
        <v>212</v>
      </c>
      <c r="N71" s="97">
        <v>198</v>
      </c>
      <c r="O71" s="97">
        <v>206</v>
      </c>
      <c r="P71" s="97">
        <v>205.5</v>
      </c>
      <c r="Q71" s="97">
        <v>206</v>
      </c>
      <c r="R71" s="96" t="s">
        <v>448</v>
      </c>
    </row>
    <row r="72" spans="1:18">
      <c r="A72" s="94" t="s">
        <v>456</v>
      </c>
      <c r="B72" s="94" t="s">
        <v>448</v>
      </c>
      <c r="C72" s="94" t="s">
        <v>448</v>
      </c>
      <c r="D72" s="95">
        <v>190</v>
      </c>
      <c r="E72" s="95">
        <v>148</v>
      </c>
      <c r="F72" s="95">
        <v>150</v>
      </c>
      <c r="G72" s="95">
        <v>150</v>
      </c>
      <c r="H72" s="95">
        <v>170</v>
      </c>
      <c r="I72" s="95">
        <v>180</v>
      </c>
      <c r="J72" s="95">
        <v>190</v>
      </c>
      <c r="K72" s="95">
        <v>190</v>
      </c>
      <c r="L72" s="95">
        <v>205</v>
      </c>
      <c r="M72" s="95">
        <v>258</v>
      </c>
      <c r="N72" s="95">
        <v>190</v>
      </c>
      <c r="O72" s="95">
        <v>200</v>
      </c>
      <c r="P72" s="95">
        <v>200</v>
      </c>
      <c r="Q72" s="94" t="s">
        <v>448</v>
      </c>
      <c r="R72" s="94" t="s">
        <v>448</v>
      </c>
    </row>
    <row r="73" spans="1:18">
      <c r="A73" s="96" t="s">
        <v>457</v>
      </c>
      <c r="B73" s="96" t="s">
        <v>448</v>
      </c>
      <c r="C73" s="96" t="s">
        <v>448</v>
      </c>
      <c r="D73" s="97">
        <v>190</v>
      </c>
      <c r="E73" s="97">
        <v>150</v>
      </c>
      <c r="F73" s="97">
        <v>150</v>
      </c>
      <c r="G73" s="97">
        <v>150</v>
      </c>
      <c r="H73" s="97">
        <v>170</v>
      </c>
      <c r="I73" s="97">
        <v>180</v>
      </c>
      <c r="J73" s="97">
        <v>190</v>
      </c>
      <c r="K73" s="97">
        <v>200</v>
      </c>
      <c r="L73" s="97">
        <v>205</v>
      </c>
      <c r="M73" s="97">
        <v>258</v>
      </c>
      <c r="N73" s="97">
        <v>190</v>
      </c>
      <c r="O73" s="97">
        <v>210</v>
      </c>
      <c r="P73" s="97">
        <v>210</v>
      </c>
      <c r="Q73" s="96" t="s">
        <v>448</v>
      </c>
      <c r="R73" s="96" t="s">
        <v>448</v>
      </c>
    </row>
    <row r="74" spans="1:18">
      <c r="A74" s="94" t="s">
        <v>65</v>
      </c>
      <c r="B74" s="95">
        <v>2045.31</v>
      </c>
      <c r="C74" s="95">
        <v>2283.2199999999998</v>
      </c>
      <c r="D74" s="95">
        <v>2522.31</v>
      </c>
      <c r="E74" s="95">
        <v>3576.55</v>
      </c>
      <c r="F74" s="95">
        <v>4847.0600000000004</v>
      </c>
      <c r="G74" s="95">
        <v>5397.52</v>
      </c>
      <c r="H74" s="95">
        <v>5788.81</v>
      </c>
      <c r="I74" s="95">
        <v>6182.18</v>
      </c>
      <c r="J74" s="95">
        <v>6649.23</v>
      </c>
      <c r="K74" s="95">
        <v>7216.08</v>
      </c>
      <c r="L74" s="95">
        <v>7966.67</v>
      </c>
      <c r="M74" s="95">
        <v>8593.09</v>
      </c>
      <c r="N74" s="95">
        <v>8977.7199999999993</v>
      </c>
      <c r="O74" s="95">
        <v>9536.42</v>
      </c>
      <c r="P74" s="95">
        <v>10141.6</v>
      </c>
      <c r="Q74" s="95">
        <v>10717</v>
      </c>
      <c r="R74" s="95">
        <v>11214.9</v>
      </c>
    </row>
    <row r="75" spans="1:18">
      <c r="A75" s="96" t="s">
        <v>452</v>
      </c>
      <c r="B75" s="97">
        <v>252.762</v>
      </c>
      <c r="C75" s="97">
        <v>282.3</v>
      </c>
      <c r="D75" s="97">
        <v>305.15100000000001</v>
      </c>
      <c r="E75" s="97">
        <v>347.70699999999999</v>
      </c>
      <c r="F75" s="97">
        <v>541.81299999999999</v>
      </c>
      <c r="G75" s="97">
        <v>733.7</v>
      </c>
      <c r="H75" s="97">
        <v>864</v>
      </c>
      <c r="I75" s="97">
        <v>977.39300000000003</v>
      </c>
      <c r="J75" s="97">
        <v>1103.48</v>
      </c>
      <c r="K75" s="97">
        <v>1270.3699999999999</v>
      </c>
      <c r="L75" s="97">
        <v>1514.02</v>
      </c>
      <c r="M75" s="97">
        <v>1699.2</v>
      </c>
      <c r="N75" s="97">
        <v>1725.4</v>
      </c>
      <c r="O75" s="97">
        <v>1815.18</v>
      </c>
      <c r="P75" s="97">
        <v>1931.27</v>
      </c>
      <c r="Q75" s="97">
        <v>2050.6799999999998</v>
      </c>
      <c r="R75" s="97">
        <v>2163.6799999999998</v>
      </c>
    </row>
    <row r="76" spans="1:18">
      <c r="A76" s="94" t="s">
        <v>466</v>
      </c>
      <c r="B76" s="95">
        <v>164.26599999999999</v>
      </c>
      <c r="C76" s="95">
        <v>178.08500000000001</v>
      </c>
      <c r="D76" s="95">
        <v>193.988</v>
      </c>
      <c r="E76" s="95">
        <v>186.232</v>
      </c>
      <c r="F76" s="95">
        <v>307.49799999999999</v>
      </c>
      <c r="G76" s="95">
        <v>419.37299999999999</v>
      </c>
      <c r="H76" s="95">
        <v>507.673</v>
      </c>
      <c r="I76" s="95">
        <v>585.74599999999998</v>
      </c>
      <c r="J76" s="95">
        <v>670.29200000000003</v>
      </c>
      <c r="K76" s="95">
        <v>778.18200000000002</v>
      </c>
      <c r="L76" s="95">
        <v>931.21600000000001</v>
      </c>
      <c r="M76" s="95">
        <v>1037.69</v>
      </c>
      <c r="N76" s="95">
        <v>1080.8</v>
      </c>
      <c r="O76" s="95">
        <v>1324.48</v>
      </c>
      <c r="P76" s="95">
        <v>1382.49</v>
      </c>
      <c r="Q76" s="95">
        <v>1469.51</v>
      </c>
      <c r="R76" s="95">
        <v>1560.92</v>
      </c>
    </row>
    <row r="78" spans="1:18">
      <c r="A78" s="64" t="s">
        <v>464</v>
      </c>
      <c r="C78" s="77">
        <f>C74/B74-1</f>
        <v>0.11631977548635652</v>
      </c>
      <c r="D78" s="77">
        <f t="shared" ref="D78:R78" si="12">D74/C74-1</f>
        <v>0.10471614649486249</v>
      </c>
      <c r="E78" s="77">
        <f t="shared" si="12"/>
        <v>0.41796607078432091</v>
      </c>
      <c r="F78" s="77">
        <f t="shared" si="12"/>
        <v>0.35523339531112397</v>
      </c>
      <c r="G78" s="77">
        <f t="shared" si="12"/>
        <v>0.11356574913452699</v>
      </c>
      <c r="H78" s="77">
        <f t="shared" si="12"/>
        <v>7.249440483777736E-2</v>
      </c>
      <c r="I78" s="77">
        <f t="shared" si="12"/>
        <v>6.7953517216837289E-2</v>
      </c>
      <c r="J78" s="77">
        <f t="shared" si="12"/>
        <v>7.5547784114988525E-2</v>
      </c>
      <c r="K78" s="77">
        <f t="shared" si="12"/>
        <v>8.5250472611114514E-2</v>
      </c>
      <c r="L78" s="77">
        <f t="shared" si="12"/>
        <v>0.10401630802319262</v>
      </c>
      <c r="M78" s="77">
        <f t="shared" si="12"/>
        <v>7.8630092623392267E-2</v>
      </c>
      <c r="N78" s="77">
        <f t="shared" si="12"/>
        <v>4.4760383051963837E-2</v>
      </c>
      <c r="O78" s="77">
        <f t="shared" si="12"/>
        <v>6.2231836145480335E-2</v>
      </c>
      <c r="P78" s="77">
        <f t="shared" si="12"/>
        <v>6.345987278244869E-2</v>
      </c>
      <c r="Q78" s="77">
        <f t="shared" si="12"/>
        <v>5.6736609607951349E-2</v>
      </c>
      <c r="R78" s="77">
        <f t="shared" si="12"/>
        <v>4.6458897079406425E-2</v>
      </c>
    </row>
    <row r="79" spans="1:18">
      <c r="A79" s="64" t="s">
        <v>453</v>
      </c>
      <c r="C79" s="77">
        <f t="shared" ref="C79:R79" si="13">C75/B75-1</f>
        <v>0.11686092054976616</v>
      </c>
      <c r="D79" s="77">
        <f t="shared" si="13"/>
        <v>8.0945802337938355E-2</v>
      </c>
      <c r="E79" s="77">
        <f t="shared" si="13"/>
        <v>0.13945882530288278</v>
      </c>
      <c r="F79" s="77">
        <f t="shared" si="13"/>
        <v>0.55824587943297077</v>
      </c>
      <c r="G79" s="77">
        <f t="shared" si="13"/>
        <v>0.35415724613473665</v>
      </c>
      <c r="H79" s="77">
        <f t="shared" si="13"/>
        <v>0.17759302167098268</v>
      </c>
      <c r="I79" s="77">
        <f t="shared" si="13"/>
        <v>0.13124189814814824</v>
      </c>
      <c r="J79" s="77">
        <f t="shared" si="13"/>
        <v>0.12900337939805184</v>
      </c>
      <c r="K79" s="77">
        <f t="shared" si="13"/>
        <v>0.15123971435821204</v>
      </c>
      <c r="L79" s="77">
        <f t="shared" si="13"/>
        <v>0.19179451655816826</v>
      </c>
      <c r="M79" s="77">
        <f t="shared" si="13"/>
        <v>0.12231014121345818</v>
      </c>
      <c r="N79" s="77">
        <f t="shared" si="13"/>
        <v>1.5419020715630838E-2</v>
      </c>
      <c r="O79" s="77">
        <f t="shared" si="13"/>
        <v>5.2034310884432555E-2</v>
      </c>
      <c r="P79" s="77">
        <f t="shared" si="13"/>
        <v>6.3955089853347857E-2</v>
      </c>
      <c r="Q79" s="77">
        <f t="shared" si="13"/>
        <v>6.1829780403568568E-2</v>
      </c>
      <c r="R79" s="77">
        <f t="shared" si="13"/>
        <v>5.5103672928004332E-2</v>
      </c>
    </row>
    <row r="80" spans="1:18">
      <c r="B80">
        <f>B75/B74</f>
        <v>0.12358126640949293</v>
      </c>
      <c r="C80">
        <f t="shared" ref="C80:R80" si="14">C75/C74</f>
        <v>0.12364117343050605</v>
      </c>
      <c r="D80">
        <f t="shared" si="14"/>
        <v>0.1209807676296728</v>
      </c>
      <c r="E80">
        <f t="shared" si="14"/>
        <v>9.7218548601305715E-2</v>
      </c>
      <c r="F80">
        <f t="shared" si="14"/>
        <v>0.1117817811209269</v>
      </c>
      <c r="G80">
        <f t="shared" si="14"/>
        <v>0.13593279876684106</v>
      </c>
      <c r="H80">
        <f t="shared" si="14"/>
        <v>0.14925347351182711</v>
      </c>
      <c r="I80">
        <f t="shared" si="14"/>
        <v>0.15809843776790711</v>
      </c>
      <c r="J80">
        <f t="shared" si="14"/>
        <v>0.16595605806988178</v>
      </c>
      <c r="K80">
        <f t="shared" si="14"/>
        <v>0.17604710590791675</v>
      </c>
      <c r="L80">
        <f t="shared" si="14"/>
        <v>0.19004427194800336</v>
      </c>
      <c r="M80">
        <f t="shared" si="14"/>
        <v>0.19774027736239233</v>
      </c>
      <c r="N80">
        <f t="shared" si="14"/>
        <v>0.19218688041061652</v>
      </c>
      <c r="O80">
        <f t="shared" si="14"/>
        <v>0.19034186833214142</v>
      </c>
      <c r="P80">
        <f t="shared" si="14"/>
        <v>0.19043050406247533</v>
      </c>
      <c r="Q80">
        <f t="shared" si="14"/>
        <v>0.19134832509097693</v>
      </c>
      <c r="R80">
        <f t="shared" si="14"/>
        <v>0.19292904974631961</v>
      </c>
    </row>
    <row r="81" spans="1:18">
      <c r="C81">
        <f t="shared" ref="C81:R81" si="15">((C80-B80)*(10^4))</f>
        <v>0.59907021013119732</v>
      </c>
      <c r="D81">
        <f t="shared" si="15"/>
        <v>-26.604058008332515</v>
      </c>
      <c r="E81">
        <f t="shared" si="15"/>
        <v>-237.62219028367088</v>
      </c>
      <c r="F81">
        <f t="shared" si="15"/>
        <v>145.63232519621189</v>
      </c>
      <c r="G81">
        <f t="shared" si="15"/>
        <v>241.51017645914152</v>
      </c>
      <c r="H81">
        <f t="shared" si="15"/>
        <v>133.2067474498605</v>
      </c>
      <c r="I81">
        <f t="shared" si="15"/>
        <v>88.449642560800015</v>
      </c>
      <c r="J81">
        <f t="shared" si="15"/>
        <v>78.576203019746771</v>
      </c>
      <c r="K81">
        <f t="shared" si="15"/>
        <v>100.91047838034967</v>
      </c>
      <c r="L81">
        <f t="shared" si="15"/>
        <v>139.97166040086606</v>
      </c>
      <c r="M81">
        <f t="shared" si="15"/>
        <v>76.960054143889735</v>
      </c>
      <c r="N81">
        <f t="shared" si="15"/>
        <v>-55.533969517758131</v>
      </c>
      <c r="O81">
        <f t="shared" si="15"/>
        <v>-18.450120784750943</v>
      </c>
      <c r="P81">
        <f t="shared" si="15"/>
        <v>0.88635730333908036</v>
      </c>
      <c r="Q81">
        <f t="shared" si="15"/>
        <v>9.1782102850160303</v>
      </c>
      <c r="R81">
        <f t="shared" si="15"/>
        <v>15.807246553426745</v>
      </c>
    </row>
    <row r="82" spans="1:18">
      <c r="A82">
        <v>2018</v>
      </c>
    </row>
    <row r="83" spans="1:18">
      <c r="A83" s="64" t="s">
        <v>518</v>
      </c>
      <c r="B83">
        <f>Divisionals!H7</f>
        <v>1006.4</v>
      </c>
    </row>
  </sheetData>
  <pageMargins left="0.7" right="0.7" top="0.75" bottom="0.75" header="0.3" footer="0.3"/>
  <pageSetup paperSize="0" orientation="portrait" r:id="rId1"/>
  <customProperties>
    <customPr name="Qube.Worksheet.Visibility" r:id="rId2"/>
  </customPropertie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R24"/>
  <sheetViews>
    <sheetView workbookViewId="0"/>
  </sheetViews>
  <sheetFormatPr defaultRowHeight="12.75"/>
  <sheetData>
    <row r="1" spans="1:18" ht="15">
      <c r="A1" s="100" t="s">
        <v>517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ht="15">
      <c r="A2" s="102" t="s">
        <v>516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>
      <c r="A3" s="93"/>
      <c r="B3" s="93" t="s">
        <v>515</v>
      </c>
      <c r="C3" s="93" t="s">
        <v>514</v>
      </c>
      <c r="D3" s="93" t="s">
        <v>513</v>
      </c>
      <c r="E3" s="93" t="s">
        <v>512</v>
      </c>
      <c r="F3" s="93" t="s">
        <v>511</v>
      </c>
      <c r="G3" s="93" t="s">
        <v>510</v>
      </c>
      <c r="H3" s="93" t="s">
        <v>509</v>
      </c>
      <c r="I3" s="93" t="s">
        <v>508</v>
      </c>
      <c r="J3" s="93" t="s">
        <v>507</v>
      </c>
      <c r="K3" s="93" t="s">
        <v>506</v>
      </c>
      <c r="L3" s="93" t="s">
        <v>505</v>
      </c>
      <c r="M3" s="93" t="s">
        <v>504</v>
      </c>
      <c r="N3" s="93" t="s">
        <v>503</v>
      </c>
      <c r="O3" s="93" t="s">
        <v>502</v>
      </c>
      <c r="P3" s="93" t="s">
        <v>501</v>
      </c>
      <c r="Q3" s="93" t="s">
        <v>500</v>
      </c>
      <c r="R3" s="93" t="s">
        <v>499</v>
      </c>
    </row>
    <row r="4" spans="1:18">
      <c r="A4" s="94" t="s">
        <v>65</v>
      </c>
      <c r="B4" s="94" t="s">
        <v>448</v>
      </c>
      <c r="C4" s="94" t="s">
        <v>448</v>
      </c>
      <c r="D4" s="94" t="s">
        <v>448</v>
      </c>
      <c r="E4" s="94" t="s">
        <v>448</v>
      </c>
      <c r="F4" s="103">
        <v>215.58</v>
      </c>
      <c r="G4" s="103">
        <v>245.81899999999999</v>
      </c>
      <c r="H4" s="103">
        <v>306.10000000000002</v>
      </c>
      <c r="I4" s="103">
        <v>347.1</v>
      </c>
      <c r="J4" s="103">
        <v>383.983</v>
      </c>
      <c r="K4" s="103">
        <v>392.91800000000001</v>
      </c>
      <c r="L4" s="103">
        <v>409.37200000000001</v>
      </c>
      <c r="M4" s="103">
        <v>425.59300000000002</v>
      </c>
      <c r="N4" s="103">
        <v>445.34800000000001</v>
      </c>
      <c r="O4" s="103">
        <v>497.4</v>
      </c>
      <c r="P4" s="103">
        <v>548.02099999999996</v>
      </c>
      <c r="Q4" s="103">
        <v>579.11300000000006</v>
      </c>
      <c r="R4" s="103">
        <v>608.23299999999995</v>
      </c>
    </row>
    <row r="5" spans="1:18">
      <c r="A5" s="96" t="s">
        <v>486</v>
      </c>
      <c r="B5" s="96" t="s">
        <v>448</v>
      </c>
      <c r="C5" s="96" t="s">
        <v>448</v>
      </c>
      <c r="D5" s="96" t="s">
        <v>448</v>
      </c>
      <c r="E5" s="96" t="s">
        <v>448</v>
      </c>
      <c r="F5" s="96" t="s">
        <v>448</v>
      </c>
      <c r="G5" s="96" t="s">
        <v>448</v>
      </c>
      <c r="H5" s="96" t="s">
        <v>448</v>
      </c>
      <c r="I5" s="96" t="s">
        <v>448</v>
      </c>
      <c r="J5" s="96" t="s">
        <v>448</v>
      </c>
      <c r="K5" s="96" t="s">
        <v>448</v>
      </c>
      <c r="L5" s="105">
        <v>409.4</v>
      </c>
      <c r="M5" s="105">
        <v>454.6</v>
      </c>
      <c r="N5" s="105">
        <v>445.3</v>
      </c>
      <c r="O5" s="96" t="s">
        <v>448</v>
      </c>
      <c r="P5" s="96" t="s">
        <v>448</v>
      </c>
      <c r="Q5" s="96" t="s">
        <v>448</v>
      </c>
      <c r="R5" s="96" t="s">
        <v>448</v>
      </c>
    </row>
    <row r="6" spans="1:18">
      <c r="A6" s="94" t="s">
        <v>30</v>
      </c>
      <c r="B6" s="94" t="s">
        <v>448</v>
      </c>
      <c r="C6" s="94" t="s">
        <v>448</v>
      </c>
      <c r="D6" s="94" t="s">
        <v>448</v>
      </c>
      <c r="E6" s="94" t="s">
        <v>448</v>
      </c>
      <c r="F6" s="94" t="s">
        <v>448</v>
      </c>
      <c r="G6" s="94" t="s">
        <v>448</v>
      </c>
      <c r="H6" s="94" t="s">
        <v>448</v>
      </c>
      <c r="I6" s="94" t="s">
        <v>448</v>
      </c>
      <c r="J6" s="94" t="s">
        <v>448</v>
      </c>
      <c r="K6" s="94" t="s">
        <v>448</v>
      </c>
      <c r="L6" s="94" t="s">
        <v>448</v>
      </c>
      <c r="M6" s="103">
        <v>159.30000000000001</v>
      </c>
      <c r="N6" s="94" t="s">
        <v>448</v>
      </c>
      <c r="O6" s="94" t="s">
        <v>448</v>
      </c>
      <c r="P6" s="94" t="s">
        <v>448</v>
      </c>
      <c r="Q6" s="94" t="s">
        <v>448</v>
      </c>
      <c r="R6" s="94" t="s">
        <v>448</v>
      </c>
    </row>
    <row r="7" spans="1:18">
      <c r="A7" s="96" t="s">
        <v>498</v>
      </c>
      <c r="B7" s="96" t="s">
        <v>448</v>
      </c>
      <c r="C7" s="96" t="s">
        <v>448</v>
      </c>
      <c r="D7" s="96" t="s">
        <v>448</v>
      </c>
      <c r="E7" s="96" t="s">
        <v>448</v>
      </c>
      <c r="F7" s="105">
        <v>139</v>
      </c>
      <c r="G7" s="105">
        <v>155.30000000000001</v>
      </c>
      <c r="H7" s="105">
        <v>200.6</v>
      </c>
      <c r="I7" s="105">
        <v>219.75</v>
      </c>
      <c r="J7" s="105">
        <v>242</v>
      </c>
      <c r="K7" s="105">
        <v>320.5</v>
      </c>
      <c r="L7" s="105">
        <v>251.89</v>
      </c>
      <c r="M7" s="105">
        <v>266.3</v>
      </c>
      <c r="N7" s="105">
        <v>276.2</v>
      </c>
      <c r="O7" s="105">
        <v>315.25</v>
      </c>
      <c r="P7" s="105">
        <v>330.8</v>
      </c>
      <c r="Q7" s="105">
        <v>342.95</v>
      </c>
      <c r="R7" s="105">
        <v>357</v>
      </c>
    </row>
    <row r="8" spans="1:18">
      <c r="A8" s="94" t="s">
        <v>486</v>
      </c>
      <c r="B8" s="94" t="s">
        <v>448</v>
      </c>
      <c r="C8" s="94" t="s">
        <v>448</v>
      </c>
      <c r="D8" s="94" t="s">
        <v>448</v>
      </c>
      <c r="E8" s="94" t="s">
        <v>448</v>
      </c>
      <c r="F8" s="94" t="s">
        <v>448</v>
      </c>
      <c r="G8" s="94" t="s">
        <v>448</v>
      </c>
      <c r="H8" s="94" t="s">
        <v>448</v>
      </c>
      <c r="I8" s="94" t="s">
        <v>448</v>
      </c>
      <c r="J8" s="94" t="s">
        <v>448</v>
      </c>
      <c r="K8" s="94" t="s">
        <v>448</v>
      </c>
      <c r="L8" s="103">
        <v>252.1</v>
      </c>
      <c r="M8" s="94" t="s">
        <v>448</v>
      </c>
      <c r="N8" s="94" t="s">
        <v>448</v>
      </c>
      <c r="O8" s="94" t="s">
        <v>448</v>
      </c>
      <c r="P8" s="94" t="s">
        <v>448</v>
      </c>
      <c r="Q8" s="94" t="s">
        <v>448</v>
      </c>
      <c r="R8" s="94" t="s">
        <v>448</v>
      </c>
    </row>
    <row r="9" spans="1:18">
      <c r="A9" s="96" t="s">
        <v>66</v>
      </c>
      <c r="B9" s="96" t="s">
        <v>448</v>
      </c>
      <c r="C9" s="96" t="s">
        <v>448</v>
      </c>
      <c r="D9" s="96" t="s">
        <v>448</v>
      </c>
      <c r="E9" s="96" t="s">
        <v>448</v>
      </c>
      <c r="F9" s="105">
        <v>49.62</v>
      </c>
      <c r="G9" s="105">
        <v>53.902000000000001</v>
      </c>
      <c r="H9" s="105">
        <v>71.400000000000006</v>
      </c>
      <c r="I9" s="105">
        <v>66.5</v>
      </c>
      <c r="J9" s="105">
        <v>74</v>
      </c>
      <c r="K9" s="105">
        <v>74.5</v>
      </c>
      <c r="L9" s="105">
        <v>47.259300000000003</v>
      </c>
      <c r="M9" s="105">
        <v>64.815200000000004</v>
      </c>
      <c r="N9" s="105">
        <v>70.83</v>
      </c>
      <c r="O9" s="105">
        <v>90</v>
      </c>
      <c r="P9" s="105">
        <v>93.844499999999996</v>
      </c>
      <c r="Q9" s="105">
        <v>98.323899999999995</v>
      </c>
      <c r="R9" s="105">
        <v>103.889</v>
      </c>
    </row>
    <row r="10" spans="1:18">
      <c r="A10" s="94" t="s">
        <v>486</v>
      </c>
      <c r="B10" s="94" t="s">
        <v>448</v>
      </c>
      <c r="C10" s="94" t="s">
        <v>448</v>
      </c>
      <c r="D10" s="94" t="s">
        <v>448</v>
      </c>
      <c r="E10" s="94" t="s">
        <v>448</v>
      </c>
      <c r="F10" s="94" t="s">
        <v>448</v>
      </c>
      <c r="G10" s="94" t="s">
        <v>448</v>
      </c>
      <c r="H10" s="94" t="s">
        <v>448</v>
      </c>
      <c r="I10" s="94" t="s">
        <v>448</v>
      </c>
      <c r="J10" s="94" t="s">
        <v>448</v>
      </c>
      <c r="K10" s="94" t="s">
        <v>448</v>
      </c>
      <c r="L10" s="103">
        <v>47.3</v>
      </c>
      <c r="M10" s="94" t="s">
        <v>448</v>
      </c>
      <c r="N10" s="94" t="s">
        <v>448</v>
      </c>
      <c r="O10" s="94" t="s">
        <v>448</v>
      </c>
      <c r="P10" s="94" t="s">
        <v>448</v>
      </c>
      <c r="Q10" s="94" t="s">
        <v>448</v>
      </c>
      <c r="R10" s="94" t="s">
        <v>448</v>
      </c>
    </row>
    <row r="11" spans="1:18">
      <c r="A11" s="96" t="s">
        <v>70</v>
      </c>
      <c r="B11" s="96" t="s">
        <v>448</v>
      </c>
      <c r="C11" s="96" t="s">
        <v>448</v>
      </c>
      <c r="D11" s="96" t="s">
        <v>448</v>
      </c>
      <c r="E11" s="96" t="s">
        <v>448</v>
      </c>
      <c r="F11" s="105">
        <v>44.05</v>
      </c>
      <c r="G11" s="105">
        <v>48</v>
      </c>
      <c r="H11" s="105">
        <v>64</v>
      </c>
      <c r="I11" s="105">
        <v>57</v>
      </c>
      <c r="J11" s="105">
        <v>63.4</v>
      </c>
      <c r="K11" s="105">
        <v>64.3</v>
      </c>
      <c r="L11" s="105">
        <v>33.200000000000003</v>
      </c>
      <c r="M11" s="105">
        <v>50.9</v>
      </c>
      <c r="N11" s="105">
        <v>57.003999999999998</v>
      </c>
      <c r="O11" s="105">
        <v>74.599999999999994</v>
      </c>
      <c r="P11" s="105">
        <v>77.519000000000005</v>
      </c>
      <c r="Q11" s="105">
        <v>81.7761</v>
      </c>
      <c r="R11" s="105">
        <v>86.700699999999998</v>
      </c>
    </row>
    <row r="12" spans="1:18">
      <c r="A12" s="94" t="s">
        <v>456</v>
      </c>
      <c r="B12" s="94" t="s">
        <v>448</v>
      </c>
      <c r="C12" s="94" t="s">
        <v>448</v>
      </c>
      <c r="D12" s="94" t="s">
        <v>448</v>
      </c>
      <c r="E12" s="94" t="s">
        <v>448</v>
      </c>
      <c r="F12" s="94" t="s">
        <v>448</v>
      </c>
      <c r="G12" s="94" t="s">
        <v>448</v>
      </c>
      <c r="H12" s="94" t="s">
        <v>448</v>
      </c>
      <c r="I12" s="94" t="s">
        <v>448</v>
      </c>
      <c r="J12" s="94" t="s">
        <v>448</v>
      </c>
      <c r="K12" s="103">
        <v>62.5</v>
      </c>
      <c r="L12" s="103">
        <v>33.700000000000003</v>
      </c>
      <c r="M12" s="103">
        <v>48.2</v>
      </c>
      <c r="N12" s="103">
        <v>56</v>
      </c>
      <c r="O12" s="94" t="s">
        <v>448</v>
      </c>
      <c r="P12" s="94" t="s">
        <v>448</v>
      </c>
      <c r="Q12" s="94" t="s">
        <v>448</v>
      </c>
      <c r="R12" s="94" t="s">
        <v>448</v>
      </c>
    </row>
    <row r="13" spans="1:18">
      <c r="A13" s="96" t="s">
        <v>457</v>
      </c>
      <c r="B13" s="96" t="s">
        <v>448</v>
      </c>
      <c r="C13" s="96" t="s">
        <v>448</v>
      </c>
      <c r="D13" s="96" t="s">
        <v>448</v>
      </c>
      <c r="E13" s="96" t="s">
        <v>448</v>
      </c>
      <c r="F13" s="96" t="s">
        <v>448</v>
      </c>
      <c r="G13" s="96" t="s">
        <v>448</v>
      </c>
      <c r="H13" s="96" t="s">
        <v>448</v>
      </c>
      <c r="I13" s="96" t="s">
        <v>448</v>
      </c>
      <c r="J13" s="96" t="s">
        <v>448</v>
      </c>
      <c r="K13" s="105">
        <v>65.5</v>
      </c>
      <c r="L13" s="105">
        <v>33.700000000000003</v>
      </c>
      <c r="M13" s="105">
        <v>48.2</v>
      </c>
      <c r="N13" s="105">
        <v>57</v>
      </c>
      <c r="O13" s="96" t="s">
        <v>448</v>
      </c>
      <c r="P13" s="96" t="s">
        <v>448</v>
      </c>
      <c r="Q13" s="96" t="s">
        <v>448</v>
      </c>
      <c r="R13" s="96" t="s">
        <v>448</v>
      </c>
    </row>
    <row r="14" spans="1:18">
      <c r="A14" s="94" t="s">
        <v>465</v>
      </c>
      <c r="B14" s="94" t="s">
        <v>448</v>
      </c>
      <c r="C14" s="94" t="s">
        <v>448</v>
      </c>
      <c r="D14" s="94" t="s">
        <v>448</v>
      </c>
      <c r="E14" s="94" t="s">
        <v>448</v>
      </c>
      <c r="F14" s="103">
        <v>41.075000000000003</v>
      </c>
      <c r="G14" s="103">
        <v>41.412500000000001</v>
      </c>
      <c r="H14" s="103">
        <v>57.2</v>
      </c>
      <c r="I14" s="103">
        <v>51.113</v>
      </c>
      <c r="J14" s="103">
        <v>59</v>
      </c>
      <c r="K14" s="103">
        <v>59.7</v>
      </c>
      <c r="L14" s="103">
        <v>30.409500000000001</v>
      </c>
      <c r="M14" s="103">
        <v>47.3</v>
      </c>
      <c r="N14" s="103">
        <v>54.987000000000002</v>
      </c>
      <c r="O14" s="103">
        <v>74</v>
      </c>
      <c r="P14" s="103">
        <v>73.694800000000001</v>
      </c>
      <c r="Q14" s="103">
        <v>77.787899999999993</v>
      </c>
      <c r="R14" s="103">
        <v>84.310400000000001</v>
      </c>
    </row>
    <row r="15" spans="1:18">
      <c r="A15" s="96" t="s">
        <v>497</v>
      </c>
      <c r="B15" s="96" t="s">
        <v>448</v>
      </c>
      <c r="C15" s="96" t="s">
        <v>448</v>
      </c>
      <c r="D15" s="96" t="s">
        <v>448</v>
      </c>
      <c r="E15" s="96" t="s">
        <v>448</v>
      </c>
      <c r="F15" s="96" t="s">
        <v>448</v>
      </c>
      <c r="G15" s="96" t="s">
        <v>448</v>
      </c>
      <c r="H15" s="96" t="s">
        <v>448</v>
      </c>
      <c r="I15" s="96" t="s">
        <v>448</v>
      </c>
      <c r="J15" s="105">
        <v>15</v>
      </c>
      <c r="K15" s="105">
        <v>17.5</v>
      </c>
      <c r="L15" s="105">
        <v>10.25</v>
      </c>
      <c r="M15" s="105">
        <v>13.8</v>
      </c>
      <c r="N15" s="105">
        <v>16.899999999999999</v>
      </c>
      <c r="O15" s="105">
        <v>23</v>
      </c>
      <c r="P15" s="105">
        <v>22.8</v>
      </c>
      <c r="Q15" s="105">
        <v>23.2667</v>
      </c>
      <c r="R15" s="105">
        <v>26.5</v>
      </c>
    </row>
    <row r="16" spans="1:18">
      <c r="A16" s="94" t="s">
        <v>466</v>
      </c>
      <c r="B16" s="94" t="s">
        <v>448</v>
      </c>
      <c r="C16" s="94" t="s">
        <v>448</v>
      </c>
      <c r="D16" s="94" t="s">
        <v>448</v>
      </c>
      <c r="E16" s="94" t="s">
        <v>448</v>
      </c>
      <c r="F16" s="103">
        <v>35.3675</v>
      </c>
      <c r="G16" s="103">
        <v>9.4969999999999999</v>
      </c>
      <c r="H16" s="103">
        <v>39.1</v>
      </c>
      <c r="I16" s="103">
        <v>34.9</v>
      </c>
      <c r="J16" s="103">
        <v>44.173999999999999</v>
      </c>
      <c r="K16" s="103">
        <v>42.2</v>
      </c>
      <c r="L16" s="103">
        <v>20.419</v>
      </c>
      <c r="M16" s="103">
        <v>33.5</v>
      </c>
      <c r="N16" s="103">
        <v>38.039000000000001</v>
      </c>
      <c r="O16" s="103">
        <v>50.5</v>
      </c>
      <c r="P16" s="103">
        <v>52.854399999999998</v>
      </c>
      <c r="Q16" s="103">
        <v>55.980499999999999</v>
      </c>
      <c r="R16" s="103">
        <v>60.469200000000001</v>
      </c>
    </row>
    <row r="17" spans="1:18">
      <c r="A17" s="96" t="s">
        <v>456</v>
      </c>
      <c r="B17" s="96" t="s">
        <v>448</v>
      </c>
      <c r="C17" s="96" t="s">
        <v>448</v>
      </c>
      <c r="D17" s="96" t="s">
        <v>448</v>
      </c>
      <c r="E17" s="96" t="s">
        <v>448</v>
      </c>
      <c r="F17" s="96" t="s">
        <v>448</v>
      </c>
      <c r="G17" s="96" t="s">
        <v>448</v>
      </c>
      <c r="H17" s="96" t="s">
        <v>448</v>
      </c>
      <c r="I17" s="96" t="s">
        <v>448</v>
      </c>
      <c r="J17" s="96" t="s">
        <v>448</v>
      </c>
      <c r="K17" s="105">
        <v>39.5</v>
      </c>
      <c r="L17" s="105">
        <v>20</v>
      </c>
      <c r="M17" s="105">
        <v>30.2</v>
      </c>
      <c r="N17" s="105">
        <v>37.4</v>
      </c>
      <c r="O17" s="96" t="s">
        <v>448</v>
      </c>
      <c r="P17" s="96" t="s">
        <v>448</v>
      </c>
      <c r="Q17" s="96" t="s">
        <v>448</v>
      </c>
      <c r="R17" s="96" t="s">
        <v>448</v>
      </c>
    </row>
    <row r="18" spans="1:18">
      <c r="A18" s="94" t="s">
        <v>457</v>
      </c>
      <c r="B18" s="94" t="s">
        <v>448</v>
      </c>
      <c r="C18" s="94" t="s">
        <v>448</v>
      </c>
      <c r="D18" s="94" t="s">
        <v>448</v>
      </c>
      <c r="E18" s="94" t="s">
        <v>448</v>
      </c>
      <c r="F18" s="94" t="s">
        <v>448</v>
      </c>
      <c r="G18" s="94" t="s">
        <v>448</v>
      </c>
      <c r="H18" s="94" t="s">
        <v>448</v>
      </c>
      <c r="I18" s="94" t="s">
        <v>448</v>
      </c>
      <c r="J18" s="94" t="s">
        <v>448</v>
      </c>
      <c r="K18" s="103">
        <v>42.5</v>
      </c>
      <c r="L18" s="103">
        <v>20</v>
      </c>
      <c r="M18" s="103">
        <v>30.2</v>
      </c>
      <c r="N18" s="103">
        <v>38</v>
      </c>
      <c r="O18" s="94" t="s">
        <v>448</v>
      </c>
      <c r="P18" s="94" t="s">
        <v>448</v>
      </c>
      <c r="Q18" s="94" t="s">
        <v>448</v>
      </c>
      <c r="R18" s="94" t="s">
        <v>448</v>
      </c>
    </row>
    <row r="19" spans="1:18" ht="1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ht="15">
      <c r="A20" s="101"/>
      <c r="B20" s="101"/>
      <c r="C20" s="101"/>
      <c r="D20" s="101"/>
      <c r="E20" s="101"/>
      <c r="F20" s="114">
        <f t="shared" ref="F20:R20" si="0">F11/F4</f>
        <v>0.20433249837647274</v>
      </c>
      <c r="G20" s="114">
        <f t="shared" si="0"/>
        <v>0.19526562226678981</v>
      </c>
      <c r="H20" s="114">
        <f t="shared" si="0"/>
        <v>0.20908199934661872</v>
      </c>
      <c r="I20" s="114">
        <f t="shared" si="0"/>
        <v>0.16421780466724287</v>
      </c>
      <c r="J20" s="114">
        <f t="shared" si="0"/>
        <v>0.16511147628931488</v>
      </c>
      <c r="K20" s="114">
        <f t="shared" si="0"/>
        <v>0.16364737680635652</v>
      </c>
      <c r="L20" s="114">
        <f t="shared" si="0"/>
        <v>8.1099830960593297E-2</v>
      </c>
      <c r="M20" s="114">
        <f t="shared" si="0"/>
        <v>0.11959783173125497</v>
      </c>
      <c r="N20" s="114">
        <f t="shared" si="0"/>
        <v>0.12799877848334335</v>
      </c>
      <c r="O20" s="114">
        <f t="shared" si="0"/>
        <v>0.14997989545637314</v>
      </c>
      <c r="P20" s="114">
        <f t="shared" si="0"/>
        <v>0.14145260856791986</v>
      </c>
      <c r="Q20" s="114">
        <f t="shared" si="0"/>
        <v>0.14120922859614615</v>
      </c>
      <c r="R20" s="114">
        <f t="shared" si="0"/>
        <v>0.14254520882622285</v>
      </c>
    </row>
    <row r="22" spans="1:18">
      <c r="A22" t="s">
        <v>394</v>
      </c>
      <c r="G22">
        <v>91</v>
      </c>
      <c r="L22">
        <f>110+46</f>
        <v>156</v>
      </c>
      <c r="M22">
        <f>114+47</f>
        <v>161</v>
      </c>
      <c r="N22">
        <f>116+47</f>
        <v>163</v>
      </c>
      <c r="O22">
        <v>166</v>
      </c>
    </row>
    <row r="23" spans="1:18">
      <c r="L23">
        <f>L22</f>
        <v>156</v>
      </c>
      <c r="M23">
        <f>AVERAGE(L22:M22)</f>
        <v>158.5</v>
      </c>
      <c r="N23">
        <f>AVERAGE(M22:N22)</f>
        <v>162</v>
      </c>
      <c r="O23">
        <f>AVERAGE(N22:O22)</f>
        <v>164.5</v>
      </c>
    </row>
    <row r="24" spans="1:18">
      <c r="L24" s="92">
        <f>L4/L23</f>
        <v>2.6241794871794872</v>
      </c>
      <c r="M24" s="92">
        <f>M4/M23</f>
        <v>2.6851293375394323</v>
      </c>
      <c r="N24" s="92">
        <f>N4/N23</f>
        <v>2.7490617283950618</v>
      </c>
      <c r="O24" s="92">
        <f>O4/O23</f>
        <v>3.0237082066869299</v>
      </c>
    </row>
  </sheetData>
  <pageMargins left="0.7" right="0.7" top="0.75" bottom="0.75" header="0.3" footer="0.3"/>
  <pageSetup paperSize="0" orientation="portrait" r:id="rId1"/>
  <customProperties>
    <customPr name="Qube.Worksheet.Visibility" r:id="rId2"/>
  </customPropertie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T25"/>
  <sheetViews>
    <sheetView workbookViewId="0"/>
  </sheetViews>
  <sheetFormatPr defaultRowHeight="12.75"/>
  <cols>
    <col min="1" max="1" width="11.5703125" bestFit="1" customWidth="1"/>
    <col min="2" max="7" width="11.5703125" customWidth="1"/>
  </cols>
  <sheetData>
    <row r="1" spans="1:20">
      <c r="B1" s="1414" t="s">
        <v>361</v>
      </c>
      <c r="C1" s="1414"/>
      <c r="D1" s="1414"/>
      <c r="E1" s="1414"/>
      <c r="F1" s="1414"/>
      <c r="G1" s="1414"/>
      <c r="H1" s="1414" t="s">
        <v>409</v>
      </c>
      <c r="I1" s="1414"/>
      <c r="J1" s="1414"/>
      <c r="K1" s="1414"/>
      <c r="L1" s="1414"/>
    </row>
    <row r="2" spans="1:20">
      <c r="A2" s="64"/>
      <c r="B2" s="64" t="s">
        <v>545</v>
      </c>
      <c r="C2" s="64" t="s">
        <v>546</v>
      </c>
      <c r="D2" s="64" t="s">
        <v>543</v>
      </c>
      <c r="E2" s="64" t="s">
        <v>545</v>
      </c>
      <c r="F2" s="64" t="s">
        <v>543</v>
      </c>
      <c r="G2" s="64" t="s">
        <v>546</v>
      </c>
      <c r="H2" s="64" t="s">
        <v>541</v>
      </c>
      <c r="I2" s="64" t="s">
        <v>543</v>
      </c>
      <c r="J2" s="64" t="s">
        <v>543</v>
      </c>
      <c r="K2" s="64" t="s">
        <v>541</v>
      </c>
      <c r="L2" s="64" t="s">
        <v>549</v>
      </c>
      <c r="M2" s="64" t="s">
        <v>543</v>
      </c>
      <c r="N2" s="64"/>
      <c r="O2" s="64"/>
      <c r="P2" s="64">
        <v>26</v>
      </c>
      <c r="Q2">
        <v>16</v>
      </c>
      <c r="R2" s="64" t="s">
        <v>544</v>
      </c>
      <c r="T2">
        <v>52</v>
      </c>
    </row>
    <row r="3" spans="1:20">
      <c r="A3" s="64" t="s">
        <v>542</v>
      </c>
      <c r="B3" s="116">
        <v>0.04</v>
      </c>
      <c r="C3" s="116">
        <f>(((1+Q9)^16)/((1+B3)^7))^(1/9)-1</f>
        <v>4.0000000000000036E-2</v>
      </c>
      <c r="D3" s="117">
        <f>(((1+P9)^26)/((1+Q9)^16))^(1/10)-1</f>
        <v>2.7049951899931646E-2</v>
      </c>
      <c r="E3" s="89">
        <v>4.4999999999999998E-2</v>
      </c>
      <c r="F3" s="77">
        <f>(((1+R9)^17)/((1+E3)^7))^(1/10)-1</f>
        <v>4.3300569432493496E-2</v>
      </c>
      <c r="G3" s="77">
        <f>(((1+T9)^52)/((1+S9)^43))^(1/9)-1</f>
        <v>2.1785792227864809E-2</v>
      </c>
      <c r="H3" s="116">
        <v>0.05</v>
      </c>
      <c r="I3" s="116">
        <f>(((1+Q3)^16)/((1+H3)^6))^(1/10)-1</f>
        <v>1.9765429279437141E-2</v>
      </c>
      <c r="J3" s="117">
        <f>(((1+P3)^26)/((1+Q3)^16))^(1/10)-1</f>
        <v>-2.4599103715958748E-3</v>
      </c>
      <c r="K3" s="117">
        <v>2.1999999999999999E-2</v>
      </c>
      <c r="L3" s="77">
        <f>(((1+R3)^17)/((1+K3)^6))^(1/11)-1</f>
        <v>5.3073571015285648E-2</v>
      </c>
      <c r="M3" s="117">
        <f>(((1+T3)^52)/(((1+H3)^6)*((1+I3)^10)*((1+J3)^10)*((1+K3)^6)*((1+L3)^11)))^(1/10)-1</f>
        <v>1.9220862889488544E-3</v>
      </c>
      <c r="N3" s="117"/>
      <c r="O3" s="117"/>
      <c r="P3" s="89">
        <v>1.7999999999999999E-2</v>
      </c>
      <c r="Q3" s="89">
        <v>3.1E-2</v>
      </c>
      <c r="R3" s="117">
        <v>4.2000000000000003E-2</v>
      </c>
      <c r="T3">
        <v>2.3E-2</v>
      </c>
    </row>
    <row r="4" spans="1:20">
      <c r="A4" s="64" t="s">
        <v>168</v>
      </c>
      <c r="B4" s="116">
        <v>0.02</v>
      </c>
      <c r="C4" s="116">
        <f>(((1+Q10)^16)/((1+B4)^7))^(1/9)-1</f>
        <v>2.0000000000000018E-2</v>
      </c>
      <c r="D4" s="117">
        <f>(((1+P10)^26)/((1+Q10)^16))^(1/10)-1</f>
        <v>-3.2351152751340928E-3</v>
      </c>
      <c r="E4" s="116">
        <v>1.4999999999999999E-2</v>
      </c>
      <c r="F4" s="77">
        <f>(((1+R10)^17)/((1+E4)^7))^(1/10)-1</f>
        <v>2.692870437244177E-2</v>
      </c>
      <c r="G4" s="77">
        <f>(((1+T10)^52)/((1+S10)^43))^(1/9)-1</f>
        <v>4.4230967280049382E-2</v>
      </c>
      <c r="H4" s="116">
        <v>0.03</v>
      </c>
      <c r="I4" s="116">
        <f>(((1+Q4)^16)/((1+H4)^6))^(1/10)-1</f>
        <v>2.0416789756116493E-2</v>
      </c>
      <c r="J4" s="117">
        <f>(((1+P4)^26)/((1+Q4)^16))^(1/10)-1</f>
        <v>4.7564820211517977E-2</v>
      </c>
      <c r="K4" s="117">
        <v>0.04</v>
      </c>
      <c r="L4" s="77">
        <f>(((1+R4)^17)/((1+K4)^6))^(1/11)-1</f>
        <v>4.0000000000000036E-2</v>
      </c>
      <c r="M4" s="117">
        <f>(((1+T4)^52)/(((1+H4)^6)*((1+I4)^10)*((1+J4)^10)*((1+K4)^6)*((1+L4)^11)))^(1/10)-1</f>
        <v>1.789776115255215E-2</v>
      </c>
      <c r="N4" s="117"/>
      <c r="O4" s="117"/>
      <c r="P4" s="89">
        <v>3.3000000000000002E-2</v>
      </c>
      <c r="Q4" s="89">
        <v>2.4E-2</v>
      </c>
      <c r="R4" s="117">
        <v>0.04</v>
      </c>
      <c r="T4">
        <v>3.3000000000000002E-2</v>
      </c>
    </row>
    <row r="5" spans="1:20">
      <c r="A5" s="64" t="s">
        <v>150</v>
      </c>
      <c r="B5" s="116">
        <v>7.0000000000000007E-2</v>
      </c>
      <c r="C5" s="116">
        <f>(((1+Q11)^16)/((1+B5)^7))^(1/9)-1</f>
        <v>-1.7267893580536819E-2</v>
      </c>
      <c r="D5" s="117">
        <f>(((1+P11)^26)/((1+Q11)^16))^(1/10)-1</f>
        <v>9.6326018507764122E-3</v>
      </c>
      <c r="E5" s="116">
        <v>0.02</v>
      </c>
      <c r="F5" s="77">
        <f>(((1+R11)^17)/((1+E5)^7))^(1/10)-1</f>
        <v>-2.0463203299795119E-2</v>
      </c>
      <c r="G5" s="77">
        <f>(((1+T11)^52)/((1+S11)^43))^(1/9)-1</f>
        <v>3.0331515482379334E-2</v>
      </c>
      <c r="H5" s="116">
        <v>0.03</v>
      </c>
      <c r="I5" s="116">
        <f>(((1+Q5)^16)/((1+H5)^6))^(1/10)-1</f>
        <v>2.0416789756116493E-2</v>
      </c>
      <c r="J5" s="117">
        <f>(((1+P5)^26)/((1+Q5)^16))^(1/10)-1</f>
        <v>1.6218270535188983E-2</v>
      </c>
      <c r="K5" s="117">
        <v>0.08</v>
      </c>
      <c r="L5" s="77">
        <f>(((1+R5)^17)/((1+K5)^6))^(1/11)-1</f>
        <v>3.8558318991094742E-2</v>
      </c>
      <c r="M5" s="117">
        <f>(((1+T5)^52)/(((1+H5)^6)*((1+I5)^10)*((1+J5)^10)*((1+K5)^6)*((1+L5)^11)))^(1/10)-1</f>
        <v>2.2207976384460704E-2</v>
      </c>
      <c r="N5" s="117"/>
      <c r="O5" s="117"/>
      <c r="P5" s="89">
        <v>2.1000000000000001E-2</v>
      </c>
      <c r="Q5" s="89">
        <v>2.4E-2</v>
      </c>
      <c r="R5" s="117">
        <v>5.2999999999999999E-2</v>
      </c>
      <c r="T5">
        <v>3.2000000000000001E-2</v>
      </c>
    </row>
    <row r="6" spans="1:20">
      <c r="A6" s="64" t="s">
        <v>246</v>
      </c>
      <c r="B6" s="64"/>
      <c r="C6" s="64"/>
      <c r="D6" s="64"/>
      <c r="E6" s="64"/>
      <c r="F6" s="64"/>
      <c r="G6" s="64"/>
      <c r="H6" s="116">
        <v>7.0000000000000007E-2</v>
      </c>
      <c r="I6" s="116">
        <f>(((1+Q6)^16)/((1+H6)^6))^(1/10)-1</f>
        <v>9.2487772541889335E-2</v>
      </c>
      <c r="J6" s="117">
        <f>(((1+P6)^26)/((1+Q6)^16))^(1/10)-1</f>
        <v>0.14751012313445244</v>
      </c>
      <c r="K6" s="117">
        <v>-0.02</v>
      </c>
      <c r="L6" s="77">
        <f>(((1+R6)^17)/((1+K6)^6))^(1/11)-1</f>
        <v>4.2502131094056095E-2</v>
      </c>
      <c r="M6" s="117">
        <f>(((1+T6)^52)/(((1+H6)^6)*((1+I6)^10)*((1+J6)^10)*((1+K6)^6)*((1+L6)^11)))^(1/10)-1</f>
        <v>6.8304075523205832E-2</v>
      </c>
      <c r="N6" s="117"/>
      <c r="O6" s="117"/>
      <c r="P6" s="89">
        <v>0.108</v>
      </c>
      <c r="Q6" s="89">
        <v>8.4000000000000005E-2</v>
      </c>
      <c r="R6" s="117">
        <v>0.02</v>
      </c>
      <c r="T6">
        <v>7.2999999999999995E-2</v>
      </c>
    </row>
    <row r="8" spans="1:20">
      <c r="A8" s="64" t="s">
        <v>550</v>
      </c>
      <c r="B8" s="64"/>
      <c r="C8" s="64"/>
      <c r="D8" s="64"/>
      <c r="E8" s="64"/>
      <c r="F8" s="64"/>
      <c r="G8" s="64"/>
      <c r="P8">
        <v>26</v>
      </c>
      <c r="Q8">
        <v>16</v>
      </c>
      <c r="R8" s="64" t="s">
        <v>547</v>
      </c>
      <c r="S8" s="64" t="s">
        <v>548</v>
      </c>
      <c r="T8" s="64" t="s">
        <v>256</v>
      </c>
    </row>
    <row r="9" spans="1:20">
      <c r="A9" s="64" t="s">
        <v>542</v>
      </c>
      <c r="B9" s="118">
        <f>((1+B3)*(1+H3))^(1/2)-1</f>
        <v>4.4988038209050618E-2</v>
      </c>
      <c r="C9" s="118">
        <f t="shared" ref="C9:F11" si="0">((1+C3)*(1+I3))^(1/2)-1</f>
        <v>2.9833018722265736E-2</v>
      </c>
      <c r="D9" s="118">
        <f t="shared" si="0"/>
        <v>1.2187483162633184E-2</v>
      </c>
      <c r="E9" s="118">
        <f t="shared" si="0"/>
        <v>3.3436016403531443E-2</v>
      </c>
      <c r="F9" s="118">
        <f t="shared" si="0"/>
        <v>4.8175680072074956E-2</v>
      </c>
      <c r="G9" s="64"/>
      <c r="P9" s="89">
        <v>3.5000000000000003E-2</v>
      </c>
      <c r="Q9" s="116">
        <v>0.04</v>
      </c>
      <c r="R9" s="89">
        <v>4.3999999999999997E-2</v>
      </c>
      <c r="S9" s="89">
        <v>3.9E-2</v>
      </c>
      <c r="T9" s="89">
        <v>3.5999999999999997E-2</v>
      </c>
    </row>
    <row r="10" spans="1:20">
      <c r="A10" s="64" t="s">
        <v>168</v>
      </c>
      <c r="B10" s="118">
        <f>((1+B4)*(1+H4))^(1/2)-1</f>
        <v>2.4987804805501002E-2</v>
      </c>
      <c r="C10" s="118">
        <f t="shared" si="0"/>
        <v>2.0208373593962881E-2</v>
      </c>
      <c r="D10" s="118">
        <f t="shared" si="0"/>
        <v>2.1849219435019496E-2</v>
      </c>
      <c r="E10" s="118">
        <f t="shared" si="0"/>
        <v>2.742396312330575E-2</v>
      </c>
      <c r="F10" s="118">
        <f t="shared" si="0"/>
        <v>3.3443686200336442E-2</v>
      </c>
      <c r="G10" s="64"/>
      <c r="P10" s="89">
        <v>1.0999999999999999E-2</v>
      </c>
      <c r="Q10" s="116">
        <v>0.02</v>
      </c>
      <c r="R10" s="89">
        <v>2.1999999999999999E-2</v>
      </c>
      <c r="S10" s="89">
        <v>1.4999999999999999E-2</v>
      </c>
      <c r="T10" s="116">
        <v>0.02</v>
      </c>
    </row>
    <row r="11" spans="1:20">
      <c r="A11" s="64" t="s">
        <v>150</v>
      </c>
      <c r="B11" s="118">
        <f>((1+B5)*(1+H5))^(1/2)-1</f>
        <v>4.9809506529637115E-2</v>
      </c>
      <c r="C11" s="118">
        <f t="shared" si="0"/>
        <v>1.397194535122992E-3</v>
      </c>
      <c r="D11" s="118">
        <f t="shared" si="0"/>
        <v>1.2920083979352848E-2</v>
      </c>
      <c r="E11" s="118">
        <f t="shared" si="0"/>
        <v>4.9571341072154107E-2</v>
      </c>
      <c r="F11" s="118">
        <f t="shared" si="0"/>
        <v>8.6159273831076799E-3</v>
      </c>
      <c r="G11" s="64"/>
      <c r="P11" s="89">
        <v>1.6E-2</v>
      </c>
      <c r="Q11" s="116">
        <v>0.02</v>
      </c>
      <c r="R11" s="89">
        <v>-4.0000000000000001E-3</v>
      </c>
      <c r="S11" s="89">
        <v>7.0000000000000001E-3</v>
      </c>
      <c r="T11" s="89">
        <v>1.0999999999999999E-2</v>
      </c>
    </row>
    <row r="12" spans="1:20">
      <c r="A12" s="64" t="s">
        <v>246</v>
      </c>
      <c r="B12" s="64"/>
      <c r="C12" s="64"/>
      <c r="D12" s="64"/>
      <c r="E12" s="64"/>
      <c r="F12" s="64"/>
      <c r="G12" s="64"/>
      <c r="I12" s="116"/>
      <c r="J12" s="117"/>
      <c r="K12" s="117"/>
      <c r="T12" s="116">
        <v>0.08</v>
      </c>
    </row>
    <row r="14" spans="1:20">
      <c r="A14" t="s">
        <v>410</v>
      </c>
    </row>
    <row r="15" spans="1:20">
      <c r="A15" t="s">
        <v>157</v>
      </c>
      <c r="B15" t="s">
        <v>541</v>
      </c>
      <c r="C15" t="s">
        <v>615</v>
      </c>
      <c r="D15" t="s">
        <v>280</v>
      </c>
      <c r="E15" t="s">
        <v>616</v>
      </c>
      <c r="F15" t="s">
        <v>617</v>
      </c>
    </row>
    <row r="16" spans="1:20">
      <c r="A16" s="64" t="s">
        <v>542</v>
      </c>
      <c r="B16" s="116">
        <v>0.03</v>
      </c>
      <c r="C16" s="89">
        <v>2.7E-2</v>
      </c>
      <c r="D16" s="89">
        <v>2.4E-2</v>
      </c>
      <c r="E16" s="89">
        <v>2.5999999999999999E-2</v>
      </c>
      <c r="F16" s="89">
        <v>3.2000000000000001E-2</v>
      </c>
    </row>
    <row r="17" spans="1:6">
      <c r="A17" s="64" t="s">
        <v>168</v>
      </c>
      <c r="B17" s="116">
        <v>0.02</v>
      </c>
      <c r="C17" s="89">
        <v>3.1E-2</v>
      </c>
      <c r="D17" s="89">
        <v>3.3000000000000002E-2</v>
      </c>
      <c r="E17" s="89">
        <v>3.7999999999999999E-2</v>
      </c>
      <c r="F17" s="89">
        <v>3.5000000000000003E-2</v>
      </c>
    </row>
    <row r="18" spans="1:6">
      <c r="A18" s="64" t="s">
        <v>150</v>
      </c>
      <c r="B18" s="116">
        <v>0.05</v>
      </c>
      <c r="C18" s="89">
        <v>6.5000000000000002E-2</v>
      </c>
      <c r="D18" s="89">
        <v>-5.0000000000000001E-3</v>
      </c>
      <c r="E18" s="89">
        <v>-2.1000000000000001E-2</v>
      </c>
      <c r="F18" s="89">
        <v>-2.1999999999999999E-2</v>
      </c>
    </row>
    <row r="19" spans="1:6">
      <c r="A19" s="64" t="s">
        <v>246</v>
      </c>
      <c r="B19" s="116">
        <v>-0.03</v>
      </c>
      <c r="C19" s="89">
        <v>-3.1E-2</v>
      </c>
      <c r="D19" s="89">
        <v>-7.0000000000000007E-2</v>
      </c>
      <c r="E19" s="89">
        <v>-5.8000000000000003E-2</v>
      </c>
      <c r="F19" s="89">
        <v>-4.7E-2</v>
      </c>
    </row>
    <row r="21" spans="1:6">
      <c r="B21" t="s">
        <v>541</v>
      </c>
      <c r="C21" t="s">
        <v>543</v>
      </c>
      <c r="D21" t="s">
        <v>543</v>
      </c>
      <c r="E21" t="s">
        <v>545</v>
      </c>
      <c r="F21" t="s">
        <v>618</v>
      </c>
    </row>
    <row r="22" spans="1:6">
      <c r="A22" s="64" t="s">
        <v>542</v>
      </c>
      <c r="B22" s="116">
        <v>0.03</v>
      </c>
      <c r="C22" s="77">
        <f>((1+C16)^(16)/(1+B16)^(6))^(1/10)-1</f>
        <v>2.5204195805225593E-2</v>
      </c>
      <c r="D22" s="77">
        <f>((1+D16)^(26)/(1+C16)^(16))^(1/10)-1</f>
        <v>1.9218217195807075E-2</v>
      </c>
      <c r="E22" s="89">
        <v>3.1E-2</v>
      </c>
      <c r="F22" s="89">
        <v>7.4999999999999997E-2</v>
      </c>
    </row>
    <row r="23" spans="1:6">
      <c r="A23" s="64" t="s">
        <v>168</v>
      </c>
      <c r="B23" s="116">
        <v>0.02</v>
      </c>
      <c r="C23" s="77">
        <f>((1+C17)^(16)/(1+B17)^(6))^(1/10)-1</f>
        <v>3.7656859607721582E-2</v>
      </c>
      <c r="D23" s="77">
        <f>((1+D17)^(26)/(1+C17)^(16))^(1/10)-1</f>
        <v>3.6208072965381088E-2</v>
      </c>
      <c r="E23" s="89">
        <v>5.8000000000000003E-2</v>
      </c>
      <c r="F23" s="89">
        <v>1.6E-2</v>
      </c>
    </row>
    <row r="24" spans="1:6">
      <c r="A24" s="64" t="s">
        <v>150</v>
      </c>
      <c r="B24" s="116">
        <v>0.05</v>
      </c>
      <c r="C24" s="77">
        <f>((1+C18)^(16)/(1+B18)^(6))^(1/10)-1</f>
        <v>7.4102662197418123E-2</v>
      </c>
      <c r="D24" s="77">
        <f>((1+D18)^(26)/(1+C18)^(16))^(1/10)-1</f>
        <v>-0.10755669164784654</v>
      </c>
      <c r="E24" s="116">
        <v>-0.08</v>
      </c>
      <c r="F24" s="116">
        <v>-0.03</v>
      </c>
    </row>
    <row r="25" spans="1:6">
      <c r="A25" s="64" t="s">
        <v>246</v>
      </c>
      <c r="B25" s="116">
        <v>-0.03</v>
      </c>
      <c r="C25" s="77">
        <f>((1+C19)^(16)/(1+B19)^(6))^(1/10)-1</f>
        <v>-3.1599505086594704E-2</v>
      </c>
      <c r="D25" s="77">
        <f>((1+D19)^(26)/(1+C19)^(16))^(1/10)-1</f>
        <v>-0.12916149620658612</v>
      </c>
      <c r="E25" s="89">
        <v>-4.0000000000000001E-3</v>
      </c>
      <c r="F25" s="116">
        <v>0.05</v>
      </c>
    </row>
  </sheetData>
  <mergeCells count="2">
    <mergeCell ref="B1:G1"/>
    <mergeCell ref="H1:L1"/>
  </mergeCells>
  <pageMargins left="0.7" right="0.7" top="0.75" bottom="0.75" header="0.3" footer="0.3"/>
  <pageSetup paperSize="0" orientation="portrait" r:id="rId1"/>
  <customProperties>
    <customPr name="Qube.Worksheet.Visibility" r:id="rId2"/>
  </customProperties>
  <drawing r:id="rId3"/>
  <legacy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K25"/>
  <sheetViews>
    <sheetView workbookViewId="0"/>
  </sheetViews>
  <sheetFormatPr defaultRowHeight="12.75"/>
  <cols>
    <col min="1" max="1" width="12.28515625" bestFit="1" customWidth="1"/>
    <col min="2" max="2" width="10.42578125" bestFit="1" customWidth="1"/>
    <col min="3" max="3" width="11.42578125" bestFit="1" customWidth="1"/>
    <col min="4" max="5" width="10.42578125" bestFit="1" customWidth="1"/>
    <col min="6" max="6" width="11.42578125" bestFit="1" customWidth="1"/>
    <col min="7" max="8" width="10.42578125" bestFit="1" customWidth="1"/>
    <col min="9" max="9" width="11.42578125" bestFit="1" customWidth="1"/>
    <col min="10" max="10" width="10.42578125" bestFit="1" customWidth="1"/>
  </cols>
  <sheetData>
    <row r="1" spans="1:11">
      <c r="A1" t="s">
        <v>97</v>
      </c>
      <c r="B1" t="s">
        <v>360</v>
      </c>
      <c r="C1" t="s">
        <v>361</v>
      </c>
      <c r="D1" t="s">
        <v>276</v>
      </c>
      <c r="E1" t="s">
        <v>277</v>
      </c>
      <c r="F1" t="s">
        <v>409</v>
      </c>
      <c r="G1" t="s">
        <v>278</v>
      </c>
      <c r="H1" t="s">
        <v>279</v>
      </c>
      <c r="I1" t="s">
        <v>410</v>
      </c>
    </row>
    <row r="2" spans="1:11">
      <c r="A2" t="s">
        <v>665</v>
      </c>
      <c r="B2" s="92">
        <f>Divisionals!E95</f>
        <v>25.945945945945944</v>
      </c>
      <c r="C2" s="92">
        <f>Divisionals!H95</f>
        <v>48</v>
      </c>
      <c r="D2" s="92">
        <f>Divisionals!I95</f>
        <v>30.000000000000004</v>
      </c>
      <c r="E2" s="92">
        <f>Divisionals!J95</f>
        <v>29.999999999999996</v>
      </c>
      <c r="F2" s="92">
        <f>Divisionals!K95</f>
        <v>60</v>
      </c>
      <c r="G2" s="92">
        <f>Divisionals!L95</f>
        <v>37.200000000000003</v>
      </c>
      <c r="H2" s="92">
        <f>Divisionals!M95</f>
        <v>45</v>
      </c>
      <c r="I2" s="92">
        <f>Divisionals!N95</f>
        <v>82.2</v>
      </c>
      <c r="J2" s="92"/>
    </row>
    <row r="3" spans="1:11">
      <c r="A3" t="s">
        <v>139</v>
      </c>
      <c r="B3" s="92">
        <f>Divisionals!E63</f>
        <v>955.9</v>
      </c>
      <c r="C3" s="92">
        <f>Divisionals!H63</f>
        <v>1006.4</v>
      </c>
      <c r="D3" s="92">
        <f>Divisionals!I63</f>
        <v>530.79999999999995</v>
      </c>
      <c r="E3" s="92">
        <f>Divisionals!J63</f>
        <v>509.79999999999995</v>
      </c>
      <c r="F3" s="92">
        <f>Divisionals!K63</f>
        <v>1040.5999999999999</v>
      </c>
      <c r="G3" s="92">
        <f>Divisionals!L63</f>
        <v>550.70000000000005</v>
      </c>
      <c r="H3" s="92">
        <f>Divisionals!M63</f>
        <v>569</v>
      </c>
      <c r="I3" s="92">
        <f>Divisionals!N63</f>
        <v>1119.7</v>
      </c>
      <c r="J3" s="92"/>
    </row>
    <row r="4" spans="1:11">
      <c r="A4" t="s">
        <v>666</v>
      </c>
      <c r="B4" s="92">
        <f>B3-B2</f>
        <v>929.95405405405404</v>
      </c>
      <c r="C4" s="92">
        <f t="shared" ref="C4:I4" si="0">C3-C2</f>
        <v>958.4</v>
      </c>
      <c r="D4" s="92">
        <f t="shared" si="0"/>
        <v>500.79999999999995</v>
      </c>
      <c r="E4" s="92">
        <f t="shared" si="0"/>
        <v>479.79999999999995</v>
      </c>
      <c r="F4" s="92">
        <f t="shared" si="0"/>
        <v>980.59999999999991</v>
      </c>
      <c r="G4" s="92">
        <f t="shared" si="0"/>
        <v>513.5</v>
      </c>
      <c r="H4" s="92">
        <f t="shared" si="0"/>
        <v>524</v>
      </c>
      <c r="I4" s="92">
        <f t="shared" si="0"/>
        <v>1037.5</v>
      </c>
      <c r="J4" s="92"/>
      <c r="K4" s="77">
        <f>1-(H2/H3)*2</f>
        <v>0.84182776801405979</v>
      </c>
    </row>
    <row r="5" spans="1:11">
      <c r="A5" t="s">
        <v>667</v>
      </c>
      <c r="F5" s="92">
        <f>F3*0.02</f>
        <v>20.811999999999998</v>
      </c>
      <c r="G5" s="92">
        <f>G3*0.02</f>
        <v>11.014000000000001</v>
      </c>
      <c r="H5" s="92">
        <f>I5-G5</f>
        <v>11.38</v>
      </c>
      <c r="I5" s="92">
        <f>I3*0.02</f>
        <v>22.394000000000002</v>
      </c>
      <c r="J5" s="92"/>
    </row>
    <row r="6" spans="1:11">
      <c r="A6" t="s">
        <v>668</v>
      </c>
      <c r="F6" s="92"/>
      <c r="G6" s="92"/>
      <c r="H6" s="92"/>
      <c r="I6" s="77">
        <f>(I3-I5)/(F3-F5)-1</f>
        <v>7.6013838170286618E-2</v>
      </c>
      <c r="J6" s="92"/>
    </row>
    <row r="8" spans="1:11">
      <c r="A8" t="s">
        <v>168</v>
      </c>
    </row>
    <row r="9" spans="1:11">
      <c r="A9" t="s">
        <v>665</v>
      </c>
      <c r="B9" s="92">
        <f>Divisionals!E381</f>
        <v>28.344671201814059</v>
      </c>
      <c r="C9" s="92">
        <f>Divisionals!H381</f>
        <v>71.428571428571431</v>
      </c>
      <c r="D9" s="92">
        <f>Divisionals!I381</f>
        <v>57.628999999999998</v>
      </c>
      <c r="E9" s="92">
        <f>Divisionals!J381</f>
        <v>37.371000000000002</v>
      </c>
      <c r="F9" s="92">
        <f>Divisionals!K381</f>
        <v>95</v>
      </c>
      <c r="G9" s="92">
        <f>Divisionals!L381</f>
        <v>59.3</v>
      </c>
      <c r="H9" s="92">
        <f>Divisionals!M381</f>
        <v>82.250000000000014</v>
      </c>
      <c r="I9" s="92">
        <f>Divisionals!N381</f>
        <v>141.55000000000001</v>
      </c>
      <c r="J9" s="92"/>
    </row>
    <row r="10" spans="1:11">
      <c r="A10" t="s">
        <v>139</v>
      </c>
      <c r="B10" s="92">
        <f>Divisionals!E350</f>
        <v>949.2</v>
      </c>
      <c r="C10" s="92">
        <f>Divisionals!H350</f>
        <v>979.2</v>
      </c>
      <c r="D10" s="92">
        <f>Divisionals!I350</f>
        <v>523.9</v>
      </c>
      <c r="E10" s="92">
        <f>Divisionals!J350</f>
        <v>492.5</v>
      </c>
      <c r="F10" s="92">
        <f>Divisionals!K350</f>
        <v>1016.4</v>
      </c>
      <c r="G10" s="92">
        <f>Divisionals!L350</f>
        <v>542.79999999999995</v>
      </c>
      <c r="H10" s="92">
        <f>Divisionals!M350</f>
        <v>495.79999999999995</v>
      </c>
      <c r="I10" s="92">
        <f>Divisionals!N350</f>
        <v>1038.5999999999999</v>
      </c>
      <c r="J10" s="92"/>
    </row>
    <row r="11" spans="1:11">
      <c r="A11" t="s">
        <v>666</v>
      </c>
      <c r="B11" s="92">
        <f t="shared" ref="B11:I11" si="1">B10-B9</f>
        <v>920.85532879818595</v>
      </c>
      <c r="C11" s="92">
        <f t="shared" si="1"/>
        <v>907.7714285714286</v>
      </c>
      <c r="D11" s="92">
        <f t="shared" si="1"/>
        <v>466.27099999999996</v>
      </c>
      <c r="E11" s="92">
        <f t="shared" si="1"/>
        <v>455.12900000000002</v>
      </c>
      <c r="F11" s="92">
        <f t="shared" si="1"/>
        <v>921.4</v>
      </c>
      <c r="G11" s="92">
        <f t="shared" si="1"/>
        <v>483.49999999999994</v>
      </c>
      <c r="H11" s="92">
        <f t="shared" si="1"/>
        <v>413.54999999999995</v>
      </c>
      <c r="I11" s="92">
        <f t="shared" si="1"/>
        <v>897.05</v>
      </c>
      <c r="J11" s="92"/>
      <c r="K11" s="77">
        <f>1-(H9/H10)*2</f>
        <v>0.66821298910851135</v>
      </c>
    </row>
    <row r="12" spans="1:11">
      <c r="A12" t="s">
        <v>667</v>
      </c>
      <c r="B12" s="92"/>
      <c r="C12" s="92"/>
      <c r="D12" s="92"/>
      <c r="E12" s="92"/>
      <c r="F12" s="92">
        <f>F10*0.07</f>
        <v>71.14800000000001</v>
      </c>
      <c r="G12" s="92">
        <f>G10*0.07</f>
        <v>37.996000000000002</v>
      </c>
      <c r="H12" s="92">
        <f>I12-G12</f>
        <v>65.864000000000004</v>
      </c>
      <c r="I12" s="92">
        <f>I10*0.1</f>
        <v>103.86</v>
      </c>
      <c r="J12" s="92"/>
    </row>
    <row r="13" spans="1:11">
      <c r="B13" s="92"/>
      <c r="C13" s="92"/>
      <c r="D13" s="92"/>
      <c r="E13" s="92"/>
      <c r="F13" s="92"/>
      <c r="G13" s="92"/>
      <c r="H13" s="92"/>
      <c r="I13" s="77">
        <f>(I10-I12)/(F10-F12)-1</f>
        <v>-1.1120843965418792E-2</v>
      </c>
      <c r="J13" s="92"/>
    </row>
    <row r="14" spans="1:11">
      <c r="A14" t="s">
        <v>150</v>
      </c>
      <c r="B14" s="92"/>
      <c r="C14" s="92"/>
      <c r="D14" s="92"/>
      <c r="E14" s="92"/>
      <c r="F14" s="92"/>
      <c r="G14" s="92"/>
      <c r="H14" s="92"/>
      <c r="I14" s="92"/>
      <c r="J14" s="92"/>
    </row>
    <row r="15" spans="1:11">
      <c r="A15" t="s">
        <v>665</v>
      </c>
      <c r="B15" s="92">
        <f>Divisionals!E180</f>
        <v>18.224699828473412</v>
      </c>
      <c r="C15" s="92">
        <f>Divisionals!H180</f>
        <v>32.075471698113205</v>
      </c>
      <c r="D15" s="92">
        <f>Divisionals!I180</f>
        <v>19.698</v>
      </c>
      <c r="E15" s="92">
        <f>Divisionals!J180</f>
        <v>14.302</v>
      </c>
      <c r="F15" s="92">
        <f>Divisionals!K180</f>
        <v>34</v>
      </c>
      <c r="G15" s="92">
        <f>Divisionals!L180</f>
        <v>23.7</v>
      </c>
      <c r="H15" s="92">
        <f>Divisionals!M180</f>
        <v>21.52</v>
      </c>
      <c r="I15" s="92">
        <f>Divisionals!N180</f>
        <v>45.22</v>
      </c>
      <c r="J15" s="92"/>
    </row>
    <row r="16" spans="1:11">
      <c r="A16" t="s">
        <v>139</v>
      </c>
      <c r="B16" s="92">
        <f>Divisionals!E152</f>
        <v>479.86289999999997</v>
      </c>
      <c r="C16" s="92">
        <f>Divisionals!H152</f>
        <v>498.3</v>
      </c>
      <c r="D16" s="92">
        <f>Divisionals!I152</f>
        <v>281.39999999999998</v>
      </c>
      <c r="E16" s="92">
        <f>Divisionals!J152</f>
        <v>233.20000000000005</v>
      </c>
      <c r="F16" s="92">
        <f>Divisionals!K152</f>
        <v>514.6</v>
      </c>
      <c r="G16" s="92">
        <f>Divisionals!L152</f>
        <v>283.5</v>
      </c>
      <c r="H16" s="92">
        <f>Divisionals!M152</f>
        <v>251.5</v>
      </c>
      <c r="I16" s="92">
        <f>Divisionals!N152</f>
        <v>535</v>
      </c>
      <c r="J16" s="92"/>
    </row>
    <row r="17" spans="1:11">
      <c r="A17" t="s">
        <v>666</v>
      </c>
      <c r="B17" s="92">
        <f t="shared" ref="B17:I17" si="2">B16-B15</f>
        <v>461.63820017152653</v>
      </c>
      <c r="C17" s="92">
        <f t="shared" si="2"/>
        <v>466.22452830188683</v>
      </c>
      <c r="D17" s="92">
        <f t="shared" si="2"/>
        <v>261.702</v>
      </c>
      <c r="E17" s="92">
        <f t="shared" si="2"/>
        <v>218.89800000000005</v>
      </c>
      <c r="F17" s="92">
        <f t="shared" si="2"/>
        <v>480.6</v>
      </c>
      <c r="G17" s="92">
        <f t="shared" si="2"/>
        <v>259.8</v>
      </c>
      <c r="H17" s="92">
        <f t="shared" si="2"/>
        <v>229.98</v>
      </c>
      <c r="I17" s="92">
        <f t="shared" si="2"/>
        <v>489.78</v>
      </c>
      <c r="J17" s="92"/>
      <c r="K17" s="77">
        <f>1-(H15/H16)*2</f>
        <v>0.82886679920477135</v>
      </c>
    </row>
    <row r="18" spans="1:11">
      <c r="A18" t="s">
        <v>667</v>
      </c>
      <c r="F18" s="92">
        <f>F16*0.02</f>
        <v>10.292</v>
      </c>
      <c r="G18" s="92">
        <f>G16*0.02</f>
        <v>5.67</v>
      </c>
      <c r="H18" s="92">
        <f>I18-G18</f>
        <v>10.38</v>
      </c>
      <c r="I18" s="92">
        <f>I16*0.03</f>
        <v>16.05</v>
      </c>
      <c r="J18" s="92"/>
    </row>
    <row r="19" spans="1:11">
      <c r="I19" s="77">
        <f>(I16-I18)/(F16-F18)-1</f>
        <v>2.9033844396678221E-2</v>
      </c>
    </row>
    <row r="20" spans="1:11">
      <c r="A20" t="s">
        <v>246</v>
      </c>
    </row>
    <row r="21" spans="1:11">
      <c r="A21" t="s">
        <v>665</v>
      </c>
      <c r="B21" s="92">
        <f>Divisionals!E235</f>
        <v>5.3618421052631584</v>
      </c>
      <c r="C21" s="92">
        <f>Divisionals!H235</f>
        <v>8.15</v>
      </c>
      <c r="D21" s="92">
        <f>Divisionals!I235</f>
        <v>5.1968503937007871</v>
      </c>
      <c r="E21" s="92">
        <f>Divisionals!J235</f>
        <v>6.8250075297964798</v>
      </c>
      <c r="F21" s="92">
        <f>Divisionals!K235</f>
        <v>12.021857923497267</v>
      </c>
      <c r="G21" s="92">
        <f>Divisionals!L235</f>
        <v>6.6</v>
      </c>
      <c r="H21" s="92">
        <f>Divisionals!M235</f>
        <v>15.4</v>
      </c>
      <c r="I21" s="92">
        <f>Divisionals!N235</f>
        <v>22</v>
      </c>
      <c r="J21" s="92"/>
    </row>
    <row r="22" spans="1:11">
      <c r="A22" t="s">
        <v>139</v>
      </c>
      <c r="B22" s="92">
        <f>Divisionals!E205</f>
        <v>73.099999999999994</v>
      </c>
      <c r="C22" s="92">
        <f>Divisionals!H205</f>
        <v>81.5</v>
      </c>
      <c r="D22" s="92">
        <f>Divisionals!I205</f>
        <v>67.099999999999994</v>
      </c>
      <c r="E22" s="92">
        <f>Divisionals!J205</f>
        <v>71.700000000000017</v>
      </c>
      <c r="F22" s="92">
        <f>Divisionals!K205</f>
        <v>138.80000000000001</v>
      </c>
      <c r="G22" s="92">
        <f>Divisionals!L205</f>
        <v>66.5</v>
      </c>
      <c r="H22" s="92">
        <f>Divisionals!M205</f>
        <v>65.400000000000006</v>
      </c>
      <c r="I22" s="92">
        <f>Divisionals!N205</f>
        <v>131.9</v>
      </c>
      <c r="J22" s="92"/>
    </row>
    <row r="23" spans="1:11">
      <c r="A23" t="s">
        <v>666</v>
      </c>
      <c r="B23" s="92">
        <f t="shared" ref="B23:I23" si="3">B22-B21</f>
        <v>67.73815789473683</v>
      </c>
      <c r="C23" s="92">
        <f t="shared" si="3"/>
        <v>73.349999999999994</v>
      </c>
      <c r="D23" s="92">
        <f t="shared" si="3"/>
        <v>61.903149606299209</v>
      </c>
      <c r="E23" s="92">
        <f t="shared" si="3"/>
        <v>64.874992470203537</v>
      </c>
      <c r="F23" s="92">
        <f t="shared" si="3"/>
        <v>126.77814207650275</v>
      </c>
      <c r="G23" s="92">
        <f t="shared" si="3"/>
        <v>59.9</v>
      </c>
      <c r="H23" s="92">
        <f t="shared" si="3"/>
        <v>50.000000000000007</v>
      </c>
      <c r="I23" s="92">
        <f t="shared" si="3"/>
        <v>109.9</v>
      </c>
      <c r="J23" s="92"/>
      <c r="K23" s="77">
        <f>1-(H21/H22)*2</f>
        <v>0.52905198776758411</v>
      </c>
    </row>
    <row r="24" spans="1:11">
      <c r="A24" t="s">
        <v>667</v>
      </c>
      <c r="F24" s="92">
        <f>F22*0.1</f>
        <v>13.880000000000003</v>
      </c>
      <c r="G24" s="92">
        <f>G22*0.1</f>
        <v>6.65</v>
      </c>
      <c r="H24" s="92">
        <f>I24-G24</f>
        <v>14.454000000000002</v>
      </c>
      <c r="I24" s="92">
        <f>I22*0.16</f>
        <v>21.104000000000003</v>
      </c>
      <c r="J24" s="92"/>
    </row>
    <row r="25" spans="1:11">
      <c r="I25" s="77">
        <f>(I22-I24)/(F22-F24)-1</f>
        <v>-0.11306436119116237</v>
      </c>
    </row>
  </sheetData>
  <pageMargins left="0.7" right="0.7" top="0.75" bottom="0.75" header="0.3" footer="0.3"/>
  <pageSetup paperSize="0" orientation="portrait" r:id="rId1"/>
  <customProperties>
    <customPr name="Qube.Worksheet.Visibility" r:id="rId2"/>
  </customPropertie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L52"/>
  <sheetViews>
    <sheetView workbookViewId="0"/>
  </sheetViews>
  <sheetFormatPr defaultRowHeight="12.75"/>
  <cols>
    <col min="1" max="1" width="20" bestFit="1" customWidth="1"/>
  </cols>
  <sheetData>
    <row r="1" spans="1:12">
      <c r="B1" t="str">
        <f>Divisionals!L3</f>
        <v>1HFY</v>
      </c>
      <c r="C1" t="str">
        <f>Divisionals!M3</f>
        <v>2HFY</v>
      </c>
      <c r="D1" t="str">
        <f>Divisionals!N3</f>
        <v>FY20</v>
      </c>
      <c r="E1" t="str">
        <f>Divisionals!O3</f>
        <v>1H21</v>
      </c>
      <c r="F1" t="str">
        <f>Divisionals!P3</f>
        <v>2H21</v>
      </c>
      <c r="G1" t="str">
        <f>Divisionals!Q3</f>
        <v>FY21</v>
      </c>
      <c r="H1" t="str">
        <f>Divisionals!R3</f>
        <v>1H22</v>
      </c>
      <c r="I1" t="str">
        <f>Divisionals!S3</f>
        <v>2H22</v>
      </c>
      <c r="J1" t="str">
        <f>Divisionals!T3</f>
        <v>FY22</v>
      </c>
      <c r="K1" t="str">
        <f>Divisionals!W3</f>
        <v>FY23</v>
      </c>
      <c r="L1" t="str">
        <f>Divisionals!Z3</f>
        <v>FY24</v>
      </c>
    </row>
    <row r="2" spans="1:12">
      <c r="A2" t="s">
        <v>65</v>
      </c>
      <c r="B2">
        <f>MODEL!L6</f>
        <v>1443.6</v>
      </c>
      <c r="C2">
        <f>MODEL!M6</f>
        <v>1381.7999999999997</v>
      </c>
      <c r="D2">
        <f>MODEL!N6</f>
        <v>2825.3999999999996</v>
      </c>
      <c r="E2">
        <f>MODEL!O6</f>
        <v>1776.7</v>
      </c>
      <c r="F2">
        <f>MODEL!P6</f>
        <v>1676.3999999999999</v>
      </c>
      <c r="G2">
        <f>MODEL!Q6</f>
        <v>3453.1</v>
      </c>
      <c r="H2">
        <f>MODEL!R6</f>
        <v>1705.1999999999998</v>
      </c>
      <c r="I2">
        <f>MODEL!S6</f>
        <v>1845.8000000000002</v>
      </c>
      <c r="J2">
        <f>MODEL!T6</f>
        <v>3551</v>
      </c>
      <c r="K2">
        <f>MODEL!W6</f>
        <v>3802.8</v>
      </c>
      <c r="L2">
        <f>MODEL!Z6</f>
        <v>3882.8</v>
      </c>
    </row>
    <row r="3" spans="1:12">
      <c r="A3" t="s">
        <v>681</v>
      </c>
      <c r="E3" s="145">
        <f>(Divisionals!O57*Divisionals!L63+Divisionals!O148*Divisionals!L152+Divisionals!O199*Divisionals!L205+Divisionals!O334*Divisionals!L340)/MODEL!L6</f>
        <v>0.23379434374129901</v>
      </c>
      <c r="F3" s="145">
        <f>(Divisionals!P57*Divisionals!M63+Divisionals!P148*Divisionals!M152+Divisionals!P199*Divisionals!M205+Divisionals!P334*Divisionals!M340)/MODEL!M6</f>
        <v>0.21594735345172095</v>
      </c>
      <c r="G3" s="145">
        <f>(Divisionals!Q57*Divisionals!N63+Divisionals!Q148*Divisionals!N152+Divisionals!Q199*Divisionals!N205+Divisionals!Q334*Divisionals!N340)/MODEL!N6</f>
        <v>0.22082836531885913</v>
      </c>
      <c r="H3" s="145">
        <f>(Divisionals!R57*Divisionals!O63+Divisionals!R148*Divisionals!O152+Divisionals!R199*Divisionals!O205+Divisionals!R334*Divisionals!O340)/MODEL!O6</f>
        <v>-4.1231829688342582E-2</v>
      </c>
      <c r="I3" s="145">
        <f>(Divisionals!S57*Divisionals!P63+Divisionals!S148*Divisionals!P152+Divisionals!S199*Divisionals!P205+Divisionals!S334*Divisionals!P340)/MODEL!P6</f>
        <v>8.8622628214673524E-2</v>
      </c>
      <c r="J3" s="145">
        <f>(Divisionals!T57*Divisionals!Q63+Divisionals!T148*Divisionals!Q152+Divisionals!T199*Divisionals!Q205+Divisionals!T334*Divisionals!Q340)/MODEL!Q6</f>
        <v>2.2532380602834613E-2</v>
      </c>
      <c r="K3" s="145">
        <f>(Divisionals!W57*Divisionals!T63+Divisionals!W148*Divisionals!T152+Divisionals!W199*Divisionals!T205+Divisionals!W334*Divisionals!T340)/MODEL!T6</f>
        <v>4.623468491530125E-2</v>
      </c>
      <c r="L3" s="145">
        <f>(Divisionals!Z57*Divisionals!W63+Divisionals!Z148*Divisionals!W152+Divisionals!Z199*Divisionals!W205+Divisionals!Z334*Divisionals!W340)/MODEL!W6</f>
        <v>-5.4489637884052944E-3</v>
      </c>
    </row>
    <row r="4" spans="1:12">
      <c r="A4" t="s">
        <v>682</v>
      </c>
      <c r="E4" s="145">
        <f t="shared" ref="E4:L4" si="0">(1+E5)/(1+E3)-1</f>
        <v>-2.4734720030704649E-3</v>
      </c>
      <c r="F4" s="145">
        <f t="shared" si="0"/>
        <v>-2.2592917015910041E-3</v>
      </c>
      <c r="G4" s="145">
        <f>(1+G5)/(1+G3)-1</f>
        <v>1.0934118533927339E-3</v>
      </c>
      <c r="H4" s="145">
        <f t="shared" si="0"/>
        <v>1.0312005663526413E-3</v>
      </c>
      <c r="I4" s="145">
        <f t="shared" si="0"/>
        <v>1.1415563327129563E-2</v>
      </c>
      <c r="J4" s="145">
        <f t="shared" si="0"/>
        <v>5.6907301791253584E-3</v>
      </c>
      <c r="K4" s="145">
        <f t="shared" si="0"/>
        <v>2.3584496259984933E-2</v>
      </c>
      <c r="L4" s="145">
        <f t="shared" si="0"/>
        <v>2.6631206805324048E-2</v>
      </c>
    </row>
    <row r="5" spans="1:12">
      <c r="A5" t="s">
        <v>683</v>
      </c>
      <c r="E5" s="77">
        <f t="shared" ref="E5:J5" si="1">E2/B2-1</f>
        <v>0.2307425879745082</v>
      </c>
      <c r="F5" s="77">
        <f t="shared" si="1"/>
        <v>0.21320017368649591</v>
      </c>
      <c r="G5" s="77">
        <f t="shared" si="1"/>
        <v>0.22216323352445677</v>
      </c>
      <c r="H5" s="77">
        <f t="shared" si="1"/>
        <v>-4.0243147408116298E-2</v>
      </c>
      <c r="I5" s="77">
        <f t="shared" si="1"/>
        <v>0.10104986876640432</v>
      </c>
      <c r="J5" s="77">
        <f t="shared" si="1"/>
        <v>2.8351336480264111E-2</v>
      </c>
      <c r="K5" s="77">
        <f>K2/J2-1</f>
        <v>7.0909602928752591E-2</v>
      </c>
      <c r="L5" s="77">
        <f>L2/K2-1</f>
        <v>2.103713053539491E-2</v>
      </c>
    </row>
    <row r="7" spans="1:12">
      <c r="A7" t="s">
        <v>684</v>
      </c>
      <c r="B7" s="166">
        <f>MODEL!L10</f>
        <v>649.59999999999991</v>
      </c>
      <c r="C7" s="166">
        <f>MODEL!M10</f>
        <v>620.69999999999982</v>
      </c>
      <c r="D7" s="166">
        <f>MODEL!N10</f>
        <v>1270.2999999999997</v>
      </c>
      <c r="E7" s="166">
        <f>E8*E2</f>
        <v>847.46128514824056</v>
      </c>
      <c r="F7" s="166">
        <f t="shared" ref="F7:L7" si="2">F8*F2</f>
        <v>786.56134780720788</v>
      </c>
      <c r="G7" s="166">
        <f t="shared" si="2"/>
        <v>1621.5759555461173</v>
      </c>
      <c r="H7" s="166">
        <f t="shared" si="2"/>
        <v>813.35677572734824</v>
      </c>
      <c r="I7" s="166">
        <f t="shared" si="2"/>
        <v>866.04326877985238</v>
      </c>
      <c r="J7" s="166">
        <f t="shared" si="2"/>
        <v>1667.549801090111</v>
      </c>
      <c r="K7" s="166">
        <f t="shared" si="2"/>
        <v>1785.7950953493312</v>
      </c>
      <c r="L7" s="166">
        <f t="shared" si="2"/>
        <v>1823.363099879663</v>
      </c>
    </row>
    <row r="8" spans="1:12" ht="15">
      <c r="A8" s="164" t="s">
        <v>685</v>
      </c>
      <c r="B8" s="77">
        <f>B7/B2</f>
        <v>0.44998614574674423</v>
      </c>
      <c r="C8" s="77">
        <f>C7/C2</f>
        <v>0.44919669995657835</v>
      </c>
      <c r="D8" s="77">
        <f>D7/D2</f>
        <v>0.44960005662914981</v>
      </c>
      <c r="E8" s="167">
        <f>B8+2.7%</f>
        <v>0.47698614574674425</v>
      </c>
      <c r="F8" s="167">
        <f>C8+2%</f>
        <v>0.46919669995657837</v>
      </c>
      <c r="G8" s="167">
        <f>D8+2%</f>
        <v>0.46960005662914983</v>
      </c>
      <c r="H8" s="168">
        <f>E8</f>
        <v>0.47698614574674425</v>
      </c>
      <c r="I8" s="168">
        <f>F8</f>
        <v>0.46919669995657837</v>
      </c>
      <c r="J8" s="168">
        <f>G8</f>
        <v>0.46960005662914983</v>
      </c>
      <c r="K8" s="168">
        <f>J8</f>
        <v>0.46960005662914983</v>
      </c>
      <c r="L8" s="168">
        <f>K8</f>
        <v>0.46960005662914983</v>
      </c>
    </row>
    <row r="10" spans="1:12">
      <c r="A10" t="s">
        <v>82</v>
      </c>
      <c r="B10" t="e">
        <f>Divisionals!#REF!+MODEL!L219</f>
        <v>#REF!</v>
      </c>
      <c r="C10" t="e">
        <f>Divisionals!#REF!+MODEL!M219</f>
        <v>#REF!</v>
      </c>
      <c r="D10" t="e">
        <f>Divisionals!#REF!+MODEL!N219</f>
        <v>#REF!</v>
      </c>
      <c r="E10" s="92" t="e">
        <f t="shared" ref="E10:J10" si="3">B10*(1+E13)+E15</f>
        <v>#REF!</v>
      </c>
      <c r="F10" s="92" t="e">
        <f t="shared" si="3"/>
        <v>#REF!</v>
      </c>
      <c r="G10" s="92" t="e">
        <f t="shared" si="3"/>
        <v>#REF!</v>
      </c>
      <c r="H10" s="92" t="e">
        <f t="shared" si="3"/>
        <v>#REF!</v>
      </c>
      <c r="I10" s="92" t="e">
        <f t="shared" si="3"/>
        <v>#REF!</v>
      </c>
      <c r="J10" s="92" t="e">
        <f t="shared" si="3"/>
        <v>#REF!</v>
      </c>
      <c r="K10" s="92" t="e">
        <f>J10*(1+K13)+K15</f>
        <v>#REF!</v>
      </c>
      <c r="L10" s="92" t="e">
        <f>K10*(1+L13)+L15</f>
        <v>#REF!</v>
      </c>
    </row>
    <row r="11" spans="1:12">
      <c r="A11" t="s">
        <v>686</v>
      </c>
      <c r="E11" s="89">
        <v>0.02</v>
      </c>
      <c r="F11" s="89">
        <f>E11</f>
        <v>0.02</v>
      </c>
      <c r="G11" s="89">
        <f t="shared" ref="G11:L11" si="4">F11</f>
        <v>0.02</v>
      </c>
      <c r="H11" s="89">
        <f t="shared" si="4"/>
        <v>0.02</v>
      </c>
      <c r="I11" s="89">
        <f t="shared" si="4"/>
        <v>0.02</v>
      </c>
      <c r="J11" s="89">
        <f t="shared" si="4"/>
        <v>0.02</v>
      </c>
      <c r="K11" s="89">
        <f t="shared" si="4"/>
        <v>0.02</v>
      </c>
      <c r="L11" s="89">
        <f t="shared" si="4"/>
        <v>0.02</v>
      </c>
    </row>
    <row r="12" spans="1:12">
      <c r="A12" t="s">
        <v>687</v>
      </c>
      <c r="E12" s="117">
        <f>E4</f>
        <v>-2.4734720030704649E-3</v>
      </c>
      <c r="F12" s="117">
        <f t="shared" ref="F12:L12" si="5">F4</f>
        <v>-2.2592917015910041E-3</v>
      </c>
      <c r="G12" s="117">
        <f t="shared" si="5"/>
        <v>1.0934118533927339E-3</v>
      </c>
      <c r="H12" s="117">
        <f t="shared" si="5"/>
        <v>1.0312005663526413E-3</v>
      </c>
      <c r="I12" s="117">
        <f t="shared" si="5"/>
        <v>1.1415563327129563E-2</v>
      </c>
      <c r="J12" s="117">
        <f t="shared" si="5"/>
        <v>5.6907301791253584E-3</v>
      </c>
      <c r="K12" s="117">
        <f t="shared" si="5"/>
        <v>2.3584496259984933E-2</v>
      </c>
      <c r="L12" s="117">
        <f t="shared" si="5"/>
        <v>2.6631206805324048E-2</v>
      </c>
    </row>
    <row r="13" spans="1:12">
      <c r="A13" t="s">
        <v>688</v>
      </c>
      <c r="E13" s="77">
        <f>(1+E11)*(1+E12)-1</f>
        <v>1.7477058556868208E-2</v>
      </c>
      <c r="F13" s="77">
        <f t="shared" ref="F13:L13" si="6">(1+F11)*(1+F12)-1</f>
        <v>1.7695522464377111E-2</v>
      </c>
      <c r="G13" s="77">
        <f t="shared" si="6"/>
        <v>2.1115280090460598E-2</v>
      </c>
      <c r="H13" s="77">
        <f t="shared" si="6"/>
        <v>2.1051824577679623E-2</v>
      </c>
      <c r="I13" s="77">
        <f t="shared" si="6"/>
        <v>3.1643874593672239E-2</v>
      </c>
      <c r="J13" s="77">
        <f t="shared" si="6"/>
        <v>2.5804544782707994E-2</v>
      </c>
      <c r="K13" s="77">
        <f t="shared" si="6"/>
        <v>4.4056186185184698E-2</v>
      </c>
      <c r="L13" s="77">
        <f t="shared" si="6"/>
        <v>4.7163830941430618E-2</v>
      </c>
    </row>
    <row r="14" spans="1:12" ht="15">
      <c r="A14" s="164" t="s">
        <v>496</v>
      </c>
      <c r="B14" s="77" t="e">
        <f>B10/B2</f>
        <v>#REF!</v>
      </c>
      <c r="C14" s="77" t="e">
        <f t="shared" ref="C14:L14" si="7">C10/C2</f>
        <v>#REF!</v>
      </c>
      <c r="D14" s="77" t="e">
        <f t="shared" si="7"/>
        <v>#REF!</v>
      </c>
      <c r="E14" s="77" t="e">
        <f t="shared" si="7"/>
        <v>#REF!</v>
      </c>
      <c r="F14" s="77" t="e">
        <f t="shared" si="7"/>
        <v>#REF!</v>
      </c>
      <c r="G14" s="77" t="e">
        <f t="shared" si="7"/>
        <v>#REF!</v>
      </c>
      <c r="H14" s="77" t="e">
        <f t="shared" si="7"/>
        <v>#REF!</v>
      </c>
      <c r="I14" s="77" t="e">
        <f t="shared" si="7"/>
        <v>#REF!</v>
      </c>
      <c r="J14" s="77" t="e">
        <f t="shared" si="7"/>
        <v>#REF!</v>
      </c>
      <c r="K14" s="77" t="e">
        <f t="shared" si="7"/>
        <v>#REF!</v>
      </c>
      <c r="L14" s="77" t="e">
        <f t="shared" si="7"/>
        <v>#REF!</v>
      </c>
    </row>
    <row r="15" spans="1:12">
      <c r="A15" t="s">
        <v>690</v>
      </c>
    </row>
    <row r="17" spans="1:12">
      <c r="A17" t="s">
        <v>66</v>
      </c>
      <c r="B17" s="92" t="e">
        <f>B7-B10</f>
        <v>#REF!</v>
      </c>
      <c r="C17" s="92" t="e">
        <f>C7-C10</f>
        <v>#REF!</v>
      </c>
      <c r="D17" s="92" t="e">
        <f>D7-D10</f>
        <v>#REF!</v>
      </c>
      <c r="E17" s="92" t="e">
        <f t="shared" ref="E17:L17" si="8">E7-E10</f>
        <v>#REF!</v>
      </c>
      <c r="F17" s="92" t="e">
        <f t="shared" si="8"/>
        <v>#REF!</v>
      </c>
      <c r="G17" s="92" t="e">
        <f t="shared" si="8"/>
        <v>#REF!</v>
      </c>
      <c r="H17" s="92" t="e">
        <f t="shared" si="8"/>
        <v>#REF!</v>
      </c>
      <c r="I17" s="92" t="e">
        <f t="shared" si="8"/>
        <v>#REF!</v>
      </c>
      <c r="J17" s="92" t="e">
        <f t="shared" si="8"/>
        <v>#REF!</v>
      </c>
      <c r="K17" s="92" t="e">
        <f t="shared" si="8"/>
        <v>#REF!</v>
      </c>
      <c r="L17" s="92" t="e">
        <f t="shared" si="8"/>
        <v>#REF!</v>
      </c>
    </row>
    <row r="18" spans="1:12" ht="15">
      <c r="A18" s="164" t="s">
        <v>496</v>
      </c>
      <c r="B18" s="77" t="e">
        <f>B17/B2</f>
        <v>#REF!</v>
      </c>
      <c r="C18" s="77" t="e">
        <f t="shared" ref="C18:L18" si="9">C17/C2</f>
        <v>#REF!</v>
      </c>
      <c r="D18" s="77" t="e">
        <f t="shared" si="9"/>
        <v>#REF!</v>
      </c>
      <c r="E18" s="77" t="e">
        <f t="shared" si="9"/>
        <v>#REF!</v>
      </c>
      <c r="F18" s="77" t="e">
        <f t="shared" si="9"/>
        <v>#REF!</v>
      </c>
      <c r="G18" s="77" t="e">
        <f t="shared" si="9"/>
        <v>#REF!</v>
      </c>
      <c r="H18" s="77" t="e">
        <f t="shared" si="9"/>
        <v>#REF!</v>
      </c>
      <c r="I18" s="77" t="e">
        <f t="shared" si="9"/>
        <v>#REF!</v>
      </c>
      <c r="J18" s="77" t="e">
        <f t="shared" si="9"/>
        <v>#REF!</v>
      </c>
      <c r="K18" s="77" t="e">
        <f t="shared" si="9"/>
        <v>#REF!</v>
      </c>
      <c r="L18" s="77" t="e">
        <f t="shared" si="9"/>
        <v>#REF!</v>
      </c>
    </row>
    <row r="20" spans="1:12">
      <c r="A20" t="s">
        <v>39</v>
      </c>
      <c r="B20" s="92">
        <f>MODEL!L29-MODEL!L220</f>
        <v>-44.400000000000006</v>
      </c>
      <c r="C20" s="92">
        <f>MODEL!M29-MODEL!M220</f>
        <v>-47.599999999999994</v>
      </c>
      <c r="D20" s="92">
        <f>MODEL!N29-MODEL!N220</f>
        <v>-92</v>
      </c>
      <c r="E20" s="92">
        <f>MODEL!O29-MODEL!O220</f>
        <v>-55.400000000000006</v>
      </c>
      <c r="F20" s="92">
        <f>MODEL!P29-MODEL!P220</f>
        <v>-58.699999999999989</v>
      </c>
      <c r="G20" s="92">
        <f>MODEL!Q29-MODEL!Q220</f>
        <v>-114.1</v>
      </c>
      <c r="H20" s="92">
        <f>MODEL!R29</f>
        <v>-146.59999999999997</v>
      </c>
      <c r="I20" s="92">
        <f>MODEL!S29</f>
        <v>-158.59999999999997</v>
      </c>
      <c r="J20" s="92">
        <f>MODEL!T29</f>
        <v>-305.19999999999993</v>
      </c>
      <c r="K20" s="92">
        <f>MODEL!W29</f>
        <v>-329.59999999999997</v>
      </c>
      <c r="L20" s="92">
        <f>MODEL!Z29</f>
        <v>-338.20000000000005</v>
      </c>
    </row>
    <row r="21" spans="1:12" ht="15">
      <c r="A21" s="164" t="s">
        <v>689</v>
      </c>
      <c r="B21" s="77">
        <f>B20/B2</f>
        <v>-3.0756442227763928E-2</v>
      </c>
      <c r="C21" s="77">
        <f t="shared" ref="C21:L21" si="10">C20/C2</f>
        <v>-3.4447821681864235E-2</v>
      </c>
      <c r="D21" s="77">
        <f t="shared" si="10"/>
        <v>-3.2561761166560489E-2</v>
      </c>
      <c r="E21" s="77">
        <f t="shared" si="10"/>
        <v>-3.1181403726008895E-2</v>
      </c>
      <c r="F21" s="77">
        <f t="shared" si="10"/>
        <v>-3.5015509424958242E-2</v>
      </c>
      <c r="G21" s="77">
        <f t="shared" si="10"/>
        <v>-3.3042773160348669E-2</v>
      </c>
      <c r="H21" s="77">
        <f t="shared" si="10"/>
        <v>-8.5972319962467736E-2</v>
      </c>
      <c r="I21" s="77">
        <f t="shared" si="10"/>
        <v>-8.5924802253765281E-2</v>
      </c>
      <c r="J21" s="77">
        <f t="shared" si="10"/>
        <v>-8.59476203886229E-2</v>
      </c>
      <c r="K21" s="77">
        <f t="shared" si="10"/>
        <v>-8.6672977805827278E-2</v>
      </c>
      <c r="L21" s="77">
        <f t="shared" si="10"/>
        <v>-8.7102091274338114E-2</v>
      </c>
    </row>
    <row r="22" spans="1:12">
      <c r="A22" t="s">
        <v>70</v>
      </c>
      <c r="B22" s="165" t="e">
        <f>B17-B20</f>
        <v>#REF!</v>
      </c>
      <c r="C22" s="165" t="e">
        <f>C17-C20</f>
        <v>#REF!</v>
      </c>
      <c r="D22" s="165" t="e">
        <f>D17-D20</f>
        <v>#REF!</v>
      </c>
      <c r="E22" s="165" t="e">
        <f t="shared" ref="E22:L22" si="11">E17-E20</f>
        <v>#REF!</v>
      </c>
      <c r="F22" s="165" t="e">
        <f t="shared" si="11"/>
        <v>#REF!</v>
      </c>
      <c r="G22" s="165" t="e">
        <f t="shared" si="11"/>
        <v>#REF!</v>
      </c>
      <c r="H22" s="165" t="e">
        <f t="shared" si="11"/>
        <v>#REF!</v>
      </c>
      <c r="I22" s="165" t="e">
        <f t="shared" si="11"/>
        <v>#REF!</v>
      </c>
      <c r="J22" s="165" t="e">
        <f t="shared" si="11"/>
        <v>#REF!</v>
      </c>
      <c r="K22" s="165" t="e">
        <f t="shared" si="11"/>
        <v>#REF!</v>
      </c>
      <c r="L22" s="165" t="e">
        <f t="shared" si="11"/>
        <v>#REF!</v>
      </c>
    </row>
    <row r="23" spans="1:12" ht="15">
      <c r="A23" s="164" t="s">
        <v>689</v>
      </c>
      <c r="B23" s="77" t="e">
        <f>B22/B2</f>
        <v>#REF!</v>
      </c>
      <c r="C23" s="77" t="e">
        <f t="shared" ref="C23:L23" si="12">C22/C2</f>
        <v>#REF!</v>
      </c>
      <c r="D23" s="77" t="e">
        <f t="shared" si="12"/>
        <v>#REF!</v>
      </c>
      <c r="E23" s="77" t="e">
        <f t="shared" si="12"/>
        <v>#REF!</v>
      </c>
      <c r="F23" s="77" t="e">
        <f t="shared" si="12"/>
        <v>#REF!</v>
      </c>
      <c r="G23" s="77" t="e">
        <f t="shared" si="12"/>
        <v>#REF!</v>
      </c>
      <c r="H23" s="77" t="e">
        <f t="shared" si="12"/>
        <v>#REF!</v>
      </c>
      <c r="I23" s="77" t="e">
        <f t="shared" si="12"/>
        <v>#REF!</v>
      </c>
      <c r="J23" s="77" t="e">
        <f t="shared" si="12"/>
        <v>#REF!</v>
      </c>
      <c r="K23" s="77" t="e">
        <f t="shared" si="12"/>
        <v>#REF!</v>
      </c>
      <c r="L23" s="77" t="e">
        <f t="shared" si="12"/>
        <v>#REF!</v>
      </c>
    </row>
    <row r="25" spans="1:12" ht="15">
      <c r="A25" s="169" t="s">
        <v>141</v>
      </c>
      <c r="B25" s="92">
        <f>MODEL!L37</f>
        <v>-27.9</v>
      </c>
      <c r="C25" s="92">
        <f>MODEL!M37</f>
        <v>-27.200000000000003</v>
      </c>
      <c r="D25" s="92">
        <f>MODEL!N37</f>
        <v>-55.1</v>
      </c>
      <c r="E25" s="92">
        <f>MODEL!O37</f>
        <v>-21.1</v>
      </c>
      <c r="F25" s="92">
        <f>MODEL!P37</f>
        <v>-19.899999999999999</v>
      </c>
      <c r="G25" s="92">
        <f>MODEL!Q37</f>
        <v>-41</v>
      </c>
      <c r="H25" s="92">
        <f>MODEL!R37</f>
        <v>-21.8</v>
      </c>
      <c r="I25" s="92">
        <f>MODEL!S37</f>
        <v>-25.2</v>
      </c>
      <c r="J25" s="92">
        <f>MODEL!T37</f>
        <v>-47</v>
      </c>
      <c r="K25" s="92">
        <f>MODEL!W37</f>
        <v>-43.2</v>
      </c>
      <c r="L25" s="92">
        <f>MODEL!Z37</f>
        <v>-49.599999999999994</v>
      </c>
    </row>
    <row r="26" spans="1:12" ht="15">
      <c r="A26" s="169" t="s">
        <v>127</v>
      </c>
      <c r="B26" s="92">
        <f>MODEL!L41</f>
        <v>-30.099999999999994</v>
      </c>
      <c r="C26" s="92">
        <f>MODEL!M41</f>
        <v>-31.600000000000023</v>
      </c>
      <c r="D26" s="92">
        <f>MODEL!N41</f>
        <v>-61.700000000000017</v>
      </c>
      <c r="E26" s="92" t="e">
        <f>(E22-E25)*0.3</f>
        <v>#REF!</v>
      </c>
      <c r="F26" s="92" t="e">
        <f t="shared" ref="F26:L26" si="13">(F22-F25)*0.3</f>
        <v>#REF!</v>
      </c>
      <c r="G26" s="92" t="e">
        <f t="shared" si="13"/>
        <v>#REF!</v>
      </c>
      <c r="H26" s="92" t="e">
        <f t="shared" si="13"/>
        <v>#REF!</v>
      </c>
      <c r="I26" s="92" t="e">
        <f t="shared" si="13"/>
        <v>#REF!</v>
      </c>
      <c r="J26" s="92" t="e">
        <f t="shared" si="13"/>
        <v>#REF!</v>
      </c>
      <c r="K26" s="92" t="e">
        <f t="shared" si="13"/>
        <v>#REF!</v>
      </c>
      <c r="L26" s="92" t="e">
        <f t="shared" si="13"/>
        <v>#REF!</v>
      </c>
    </row>
    <row r="28" spans="1:12">
      <c r="A28" t="s">
        <v>691</v>
      </c>
      <c r="B28" s="92" t="e">
        <f>B22-B25-B26</f>
        <v>#REF!</v>
      </c>
      <c r="C28" s="92" t="e">
        <f t="shared" ref="C28:L28" si="14">C22-C25-C26</f>
        <v>#REF!</v>
      </c>
      <c r="D28" s="92" t="e">
        <f t="shared" si="14"/>
        <v>#REF!</v>
      </c>
      <c r="E28" s="92" t="e">
        <f t="shared" si="14"/>
        <v>#REF!</v>
      </c>
      <c r="F28" s="92" t="e">
        <f t="shared" si="14"/>
        <v>#REF!</v>
      </c>
      <c r="G28" s="92" t="e">
        <f t="shared" si="14"/>
        <v>#REF!</v>
      </c>
      <c r="H28" s="92" t="e">
        <f t="shared" si="14"/>
        <v>#REF!</v>
      </c>
      <c r="I28" s="92" t="e">
        <f t="shared" si="14"/>
        <v>#REF!</v>
      </c>
      <c r="J28" s="92" t="e">
        <f t="shared" si="14"/>
        <v>#REF!</v>
      </c>
      <c r="K28" s="92" t="e">
        <f t="shared" si="14"/>
        <v>#REF!</v>
      </c>
      <c r="L28" s="92" t="e">
        <f t="shared" si="14"/>
        <v>#REF!</v>
      </c>
    </row>
    <row r="30" spans="1:12">
      <c r="A30" s="144" t="s">
        <v>612</v>
      </c>
    </row>
    <row r="31" spans="1:12">
      <c r="A31" t="s">
        <v>65</v>
      </c>
      <c r="B31">
        <f>Divisionals!L63</f>
        <v>550.70000000000005</v>
      </c>
      <c r="C31">
        <f>Divisionals!M63</f>
        <v>569</v>
      </c>
      <c r="D31">
        <f>Divisionals!N63</f>
        <v>1119.7</v>
      </c>
      <c r="E31" s="92">
        <f>Divisionals!O63</f>
        <v>661.9</v>
      </c>
      <c r="F31" s="92">
        <f>Divisionals!P63</f>
        <v>646.9</v>
      </c>
      <c r="G31" s="92">
        <f>Divisionals!Q63</f>
        <v>1308.8</v>
      </c>
      <c r="H31" s="92">
        <f>Divisionals!R63</f>
        <v>616.1</v>
      </c>
      <c r="I31" s="92">
        <f>Divisionals!S63</f>
        <v>723.69999999999993</v>
      </c>
      <c r="J31" s="92">
        <f>Divisionals!T63</f>
        <v>1339.8</v>
      </c>
    </row>
    <row r="32" spans="1:12">
      <c r="A32" t="s">
        <v>681</v>
      </c>
      <c r="E32" s="77">
        <f>Divisionals!O57</f>
        <v>0.19272172323627634</v>
      </c>
      <c r="F32" s="77">
        <f>Divisionals!P57</f>
        <v>0.12990250282125415</v>
      </c>
      <c r="G32" s="77">
        <f>Divisionals!Q57</f>
        <v>0.16172443368048284</v>
      </c>
      <c r="H32" s="77">
        <f>Divisionals!R57</f>
        <v>-7.3451473769156839E-2</v>
      </c>
      <c r="I32" s="77">
        <f>Divisionals!S57</f>
        <v>0.11191931968269508</v>
      </c>
      <c r="J32" s="77">
        <f>Divisionals!T57</f>
        <v>1.9004329044665758E-2</v>
      </c>
    </row>
    <row r="33" spans="1:10">
      <c r="A33" t="s">
        <v>682</v>
      </c>
      <c r="E33" s="77">
        <f t="shared" ref="E33:J33" si="15">(1+E34)/(1+E32)-1</f>
        <v>7.7160493827159726E-3</v>
      </c>
      <c r="F33" s="77">
        <f t="shared" si="15"/>
        <v>6.1990758417733716E-3</v>
      </c>
      <c r="G33" s="77">
        <f t="shared" si="15"/>
        <v>6.1633281972266474E-3</v>
      </c>
      <c r="H33" s="77">
        <f t="shared" si="15"/>
        <v>4.5941807044411753E-3</v>
      </c>
      <c r="I33" s="77">
        <f t="shared" si="15"/>
        <v>6.1162079510703737E-3</v>
      </c>
      <c r="J33" s="77">
        <f t="shared" si="15"/>
        <v>4.5941807044409533E-3</v>
      </c>
    </row>
    <row r="34" spans="1:10">
      <c r="A34" t="s">
        <v>683</v>
      </c>
      <c r="E34" s="77">
        <f t="shared" ref="E34:J34" si="16">E31/B31-1</f>
        <v>0.20192482295260561</v>
      </c>
      <c r="F34" s="77">
        <f t="shared" si="16"/>
        <v>0.13690685413005266</v>
      </c>
      <c r="G34" s="77">
        <f t="shared" si="16"/>
        <v>0.16888452263999287</v>
      </c>
      <c r="H34" s="77">
        <f t="shared" si="16"/>
        <v>-6.9194742408218657E-2</v>
      </c>
      <c r="I34" s="77">
        <f t="shared" si="16"/>
        <v>0.11872004946668713</v>
      </c>
      <c r="J34" s="77">
        <f t="shared" si="16"/>
        <v>2.3685819070904612E-2</v>
      </c>
    </row>
    <row r="36" spans="1:10">
      <c r="A36" t="s">
        <v>684</v>
      </c>
      <c r="B36" s="92">
        <f>B31*B37</f>
        <v>254.01349999999991</v>
      </c>
      <c r="C36" s="92">
        <f t="shared" ref="C36:J36" si="17">C31*C37</f>
        <v>288.39889999999986</v>
      </c>
      <c r="D36" s="92">
        <f t="shared" si="17"/>
        <v>542.41239999999982</v>
      </c>
      <c r="E36" s="92">
        <f t="shared" si="17"/>
        <v>328.20417901234572</v>
      </c>
      <c r="F36" s="92">
        <f t="shared" si="17"/>
        <v>360.60992098765411</v>
      </c>
      <c r="G36" s="92">
        <f t="shared" si="17"/>
        <v>688.81409999999994</v>
      </c>
      <c r="H36" s="92">
        <f t="shared" si="17"/>
        <v>307.05526190476166</v>
      </c>
      <c r="I36" s="92">
        <f t="shared" si="17"/>
        <v>392.17593809523839</v>
      </c>
      <c r="J36" s="92">
        <f t="shared" si="17"/>
        <v>699.23120000000006</v>
      </c>
    </row>
    <row r="37" spans="1:10" ht="15">
      <c r="A37" s="164" t="s">
        <v>685</v>
      </c>
      <c r="B37" s="77">
        <f>Divisionals!L76</f>
        <v>0.46125567459596856</v>
      </c>
      <c r="C37" s="77">
        <f>Divisionals!M76</f>
        <v>0.50685219683655514</v>
      </c>
      <c r="D37" s="77">
        <f>Divisionals!N76</f>
        <v>0.48442654282397052</v>
      </c>
      <c r="E37" s="167">
        <f>Divisionals!O76</f>
        <v>0.49585160751223106</v>
      </c>
      <c r="F37" s="167">
        <f>Divisionals!P76</f>
        <v>0.55744306846136049</v>
      </c>
      <c r="G37" s="167">
        <f>Divisionals!Q76</f>
        <v>0.52629439180929094</v>
      </c>
      <c r="H37" s="167">
        <f>Divisionals!R76</f>
        <v>0.4983854275357274</v>
      </c>
      <c r="I37" s="167">
        <f>Divisionals!S76</f>
        <v>0.54190401837120139</v>
      </c>
      <c r="J37" s="167">
        <f>Divisionals!T76</f>
        <v>0.52189222271980895</v>
      </c>
    </row>
    <row r="39" spans="1:10">
      <c r="A39" t="s">
        <v>82</v>
      </c>
      <c r="B39" s="92">
        <f>B36-B46</f>
        <v>145.6134999999999</v>
      </c>
      <c r="C39" s="92">
        <f t="shared" ref="C39:J39" si="18">C36-C46</f>
        <v>154.79889999999986</v>
      </c>
      <c r="D39" s="92">
        <f t="shared" si="18"/>
        <v>300.41239999999982</v>
      </c>
      <c r="E39" s="92">
        <f t="shared" si="18"/>
        <v>163.70417901234572</v>
      </c>
      <c r="F39" s="92">
        <f t="shared" si="18"/>
        <v>209.40992098765412</v>
      </c>
      <c r="G39" s="92">
        <f t="shared" si="18"/>
        <v>373.11409999999995</v>
      </c>
      <c r="H39" s="92">
        <f t="shared" si="18"/>
        <v>170.25526190476165</v>
      </c>
      <c r="I39" s="92">
        <f t="shared" si="18"/>
        <v>227.4759380952384</v>
      </c>
      <c r="J39" s="92">
        <f t="shared" si="18"/>
        <v>397.73120000000006</v>
      </c>
    </row>
    <row r="40" spans="1:10">
      <c r="A40" t="s">
        <v>686</v>
      </c>
    </row>
    <row r="41" spans="1:10">
      <c r="A41" t="s">
        <v>687</v>
      </c>
    </row>
    <row r="42" spans="1:10">
      <c r="A42" t="s">
        <v>688</v>
      </c>
    </row>
    <row r="43" spans="1:10" ht="15">
      <c r="A43" s="164" t="s">
        <v>496</v>
      </c>
    </row>
    <row r="44" spans="1:10">
      <c r="A44" t="s">
        <v>690</v>
      </c>
    </row>
    <row r="46" spans="1:10">
      <c r="A46" t="s">
        <v>66</v>
      </c>
      <c r="B46" s="92">
        <f>Divisionals!L82</f>
        <v>108.4</v>
      </c>
      <c r="C46" s="92">
        <f>Divisionals!M82</f>
        <v>133.6</v>
      </c>
      <c r="D46" s="92">
        <f>Divisionals!N82</f>
        <v>242</v>
      </c>
      <c r="E46" s="92">
        <f>Divisionals!O82</f>
        <v>164.5</v>
      </c>
      <c r="F46" s="92">
        <f>Divisionals!P82</f>
        <v>151.19999999999999</v>
      </c>
      <c r="G46" s="92">
        <f>Divisionals!Q82</f>
        <v>315.7</v>
      </c>
      <c r="H46" s="92">
        <f>Divisionals!R82</f>
        <v>136.80000000000001</v>
      </c>
      <c r="I46" s="92">
        <f>Divisionals!S82</f>
        <v>164.7</v>
      </c>
      <c r="J46" s="92">
        <f>Divisionals!T82</f>
        <v>301.5</v>
      </c>
    </row>
    <row r="47" spans="1:10" ht="15">
      <c r="A47" s="164" t="s">
        <v>496</v>
      </c>
    </row>
    <row r="49" spans="1:1">
      <c r="A49" t="s">
        <v>39</v>
      </c>
    </row>
    <row r="50" spans="1:1" ht="15">
      <c r="A50" s="164" t="s">
        <v>689</v>
      </c>
    </row>
    <row r="51" spans="1:1">
      <c r="A51" t="s">
        <v>70</v>
      </c>
    </row>
    <row r="52" spans="1:1" ht="15">
      <c r="A52" s="164" t="s">
        <v>689</v>
      </c>
    </row>
  </sheetData>
  <pageMargins left="0.7" right="0.7" top="0.75" bottom="0.75" header="0.3" footer="0.3"/>
  <pageSetup paperSize="9" orientation="portrait" r:id="rId1"/>
  <customProperties>
    <customPr name="Qube.Worksheet.Visibility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FdsFormulaCache xmlns="urn:fdsformulacache" version="2" timestamp="1761253642"><![CDATA[{"SUL-AU^FE_ESTIMATE(EBIT_ADJ,MEAN,ANN_ROLL,+1,NOW,,,'')":395.96948,"SUL-AU^FE_ESTIMATE(DPS,MEAN,ANN_ROLL,+1,NOW,,,'')":0.84225094,"SUL-AU^FE_ESTIMATE(SALES,MEAN,ANN_ROLL,+2,NOW,,,'')":4031.7625,"SUL-AU^FE_ESTIMATE(DEP_AMORT_EXP,MEAN,ANN_ROLL,+2,NOW,,,'')":359.96536,"SUL-AU^FE_ESTIMATE(EBITDA,MEAN,ANN_ROLL,+2,NOW,,,'')":753.602,"SUL-AU^FE_ESTIMATE(EBIT_ADJ,MEAN,ANN_ROLL,+2,NOW,,,'')":396.88986,"SUL-AU^FE_ESTIMATE(DEP_AMORT_EXP,MEAN,ANN_ROLL,+3,NOW,,,'')":374.32648,"SUL-AU^FE_ESTIMATE(NET_DEBT,MEAN,ANN_ROLL,+1,NOW,,,'')":-160.01144,"SUL-AU^FE_ESTIMATE(EPS,MEAN,ANN_ROLL,+1,NOW,,,'')":1.0638378,"SUL-AU^FE_ESTIMATE(EBIT,MEAN,ANN_ROLL,+2,NOW,,,'')":396.7212,"SUL-AU^FE_ESTIMATE(PTX_INC,MEAN,ANN_ROLL,+1,NOW,,,'')":344.835,"SUL-AU^FE_ESTIMATE(PTX_INC,MEAN,ANN_ROLL,+2,NOW,,,'')":341.7287,"SUL-AU^FE_ESTIMATE(GROSS_INC,MEAN,ANN_ROLL,+3,NOW,,,'')":null,"SUL-AU^FE_ESTIMATE(INT_EXP,MEAN,ANN_ROLL,+2,NOW,,,'')":35.333332,"SUL-AU^FE_ESTIMATE(EPS,MEAN,ANN_ROLL,+3,NOW,,,'')":1.121349,"SUL-AU^FE_ESTIMATE(INT_EXP,MEAN,ANN_ROLL,+1,NOW,,,'')":36.0,"SUL-AU^FE_ESTIMATE(NET_INC_ADJ,MEAN,ANN_ROLL,+3,NOW,,,'')":256.55862,"SUL-AU^FE_ESTIMATE(DEP_AMORT_EXP,MEAN,ANN_ROLL,+1,NOW,,,'')":342.42523,"SUL-AU^FE_ESTIMATE(INT_EXP,MEAN,ANN_ROLL,+3,NOW,,,'')":37.7,"SUL-AU^FE_ESTIMATE(NET_INC_ADJ,MEAN,ANN_ROLL,+2,NOW,,,'')":239.76144,"SUL-AU^FE_ESTIMATE(NET_INC_ADJ,MEAN,ANN_ROLL,+1,NOW,,,'')":242.17337,"SUL-AU^FE_ESTIMATE(NET_DEBT,MEAN,ANN_ROLL,+3,NOW,,,'')":264.58157,"SUL-AU^FE_ESTIMATE(EPS,MEAN,ANN_ROLL,+2,NOW,,,'')":1.0524791,"SUL-AU^FE_ESTIMATE(EBIT,MEAN,ANN_ROLL,+1,NOW,,,'')":389.75748,"SUL-AU^FE_ESTIMATE(EBITDA,MEAN,ANN_ROLL,+3,NOW,,,'')":790.54755,"SUL-AU^FE_ESTIMATE(SALES,MEAN,ANN_ROLL,+1,NOW,,,'')":3890.988,"SUL-AU^FE_ESTIMATE(EBIT,MEAN,ANN_ROLL,+3,NOW,,,'')":423.61896,"SUL-AU^FE_ESTIMATE(EBIT_ADJ,MEAN,ANN_ROLL,+3,NOW,,,'')":425.5069,"SUL-AU^FE_ESTIMATE(CF_OP,MEAN,ANN_ROLL,+3,NOW,,,'')":619.85266,"SUL-AU^FE_ESTIMATE(EBITDA,MEAN,ANN_ROLL,+1,NOW,,,'')":741.10126,"SUL-AU^FE_ESTIMATE(PTX_INC,MEAN,ANN_ROLL,+3,NOW,,,'')":365.6126,"SUL-AU^FE_ESTIMATE(CF_OP,MEAN,ANN_ROLL,+1,NOW,,,'')":584.6219,"SUL-AU^FE_ESTIMATE(GROSS_INC,MEAN,ANN_ROLL,+2,NOW,,,'')":1502.3899,"SUL-AU^FE_ESTIMATE(SALES,MEAN,ANN_ROLL,+1,-90D,,,'')":3565.5586,"SUL-AU^FE_ESTIMATE(CF_OP,MEAN,ANN_ROLL,+2,NOW,,,'')":590.0633,"SUL-AU^FE_ESTIMATE(SALES,MEAN,ANN_ROLL,+3,NOW,,,'')":4210.591,"SUL-AU^FE_ESTIMATE(GROSS_INC,MEAN,ANN_ROLL,+1,NOW,,,'')":1784.7849,"SUL-AU^FE_ESTIMATE(NET_DEBT,MEAN,ANN_ROLL,+2,NOW,,,'')":-127.46048}]]></FdsFormulaCache>
</file>

<file path=customXml/itemProps1.xml><?xml version="1.0" encoding="utf-8"?>
<ds:datastoreItem xmlns:ds="http://schemas.openxmlformats.org/officeDocument/2006/customXml" ds:itemID="{E2941D46-16DE-4F7A-9D11-2E444A6F613E}">
  <ds:schemaRefs>
    <ds:schemaRef ds:uri="http://www.w3.org/2001/XMLSchema"/>
    <ds:schemaRef ds:uri="Exchange-SubmissionSheetWrapper"/>
  </ds:schemaRefs>
</ds:datastoreItem>
</file>

<file path=customXml/itemProps2.xml><?xml version="1.0" encoding="utf-8"?>
<ds:datastoreItem xmlns:ds="http://schemas.openxmlformats.org/officeDocument/2006/customXml" ds:itemID="{4E27BE31-E1E4-4C9D-BF72-542CB3EA4149}">
  <ds:schemaRefs>
    <ds:schemaRef ds:uri="urn:fdsformulacache"/>
  </ds:schemaRefs>
</ds:datastoreItem>
</file>

<file path=docMetadata/LabelInfo.xml><?xml version="1.0" encoding="utf-8"?>
<clbl:labelList xmlns:clbl="http://schemas.microsoft.com/office/2020/mipLabelMetadata">
  <clbl:label id="{a64882d5-5c68-43ae-b974-91da18426e9b}" enabled="1" method="Standard" siteId="{38651f6f-836b-4bdf-9615-4e255c290fe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174</vt:i4>
      </vt:variant>
    </vt:vector>
  </HeadingPairs>
  <TitlesOfParts>
    <vt:vector size="199" baseType="lpstr">
      <vt:lpstr>Cover Page</vt:lpstr>
      <vt:lpstr>Valuation</vt:lpstr>
      <vt:lpstr>Summary Valuation</vt:lpstr>
      <vt:lpstr>DCF</vt:lpstr>
      <vt:lpstr>Summary</vt:lpstr>
      <vt:lpstr>MODEL</vt:lpstr>
      <vt:lpstr>Divisionals</vt:lpstr>
      <vt:lpstr>PPE &amp; Leases</vt:lpstr>
      <vt:lpstr>Debt</vt:lpstr>
      <vt:lpstr>Tables &amp; Charts</vt:lpstr>
      <vt:lpstr>Results table</vt:lpstr>
      <vt:lpstr>Vs. Consensus</vt:lpstr>
      <vt:lpstr>COVID19 assumptions</vt:lpstr>
      <vt:lpstr>Charts</vt:lpstr>
      <vt:lpstr>Cost analysis</vt:lpstr>
      <vt:lpstr>Additional Detail</vt:lpstr>
      <vt:lpstr>Summary sheet</vt:lpstr>
      <vt:lpstr>Ratio analysis</vt:lpstr>
      <vt:lpstr>Metrics</vt:lpstr>
      <vt:lpstr>Macpac</vt:lpstr>
      <vt:lpstr>Autos peers</vt:lpstr>
      <vt:lpstr>Outdoor peers</vt:lpstr>
      <vt:lpstr>Sales momentum</vt:lpstr>
      <vt:lpstr>Pure offline sales</vt:lpstr>
      <vt:lpstr>Simple model</vt:lpstr>
      <vt:lpstr>_2017</vt:lpstr>
      <vt:lpstr>_2017H1</vt:lpstr>
      <vt:lpstr>_2017H2</vt:lpstr>
      <vt:lpstr>_2018</vt:lpstr>
      <vt:lpstr>_2018H1</vt:lpstr>
      <vt:lpstr>_2018H2</vt:lpstr>
      <vt:lpstr>_2019</vt:lpstr>
      <vt:lpstr>_2019H1</vt:lpstr>
      <vt:lpstr>_2019H2</vt:lpstr>
      <vt:lpstr>_2020</vt:lpstr>
      <vt:lpstr>_2021</vt:lpstr>
      <vt:lpstr>_2022</vt:lpstr>
      <vt:lpstr>_2023</vt:lpstr>
      <vt:lpstr>_2024</vt:lpstr>
      <vt:lpstr>Abnormal_Items_after_tax</vt:lpstr>
      <vt:lpstr>Acquisitions</vt:lpstr>
      <vt:lpstr>Asset_sales</vt:lpstr>
      <vt:lpstr>Auto_EBIT_Margin</vt:lpstr>
      <vt:lpstr>Auto_Gross_Margin</vt:lpstr>
      <vt:lpstr>Auto_Total_Stores</vt:lpstr>
      <vt:lpstr>BCF_Avg_Sales_Store</vt:lpstr>
      <vt:lpstr>BCF_EBIT</vt:lpstr>
      <vt:lpstr>BCF_GP</vt:lpstr>
      <vt:lpstr>BCF_Sales</vt:lpstr>
      <vt:lpstr>BCF_Stores</vt:lpstr>
      <vt:lpstr>Borrowings_current</vt:lpstr>
      <vt:lpstr>Borrowings_incurred</vt:lpstr>
      <vt:lpstr>Borrowings_non_current</vt:lpstr>
      <vt:lpstr>Cap_Leases</vt:lpstr>
      <vt:lpstr>capex</vt:lpstr>
      <vt:lpstr>Cash</vt:lpstr>
      <vt:lpstr>Cash_deposits</vt:lpstr>
      <vt:lpstr>CashFlowFX</vt:lpstr>
      <vt:lpstr>Change_in_working_capital</vt:lpstr>
      <vt:lpstr>COGS_ROW</vt:lpstr>
      <vt:lpstr>COGS_US</vt:lpstr>
      <vt:lpstr>COS</vt:lpstr>
      <vt:lpstr>Deferred_income_tax_provision</vt:lpstr>
      <vt:lpstr>Depreciation</vt:lpstr>
      <vt:lpstr>Depreciation_amortisation</vt:lpstr>
      <vt:lpstr>Dividend_payout</vt:lpstr>
      <vt:lpstr>Dividends_paid</vt:lpstr>
      <vt:lpstr>divisionals</vt:lpstr>
      <vt:lpstr>Divisions</vt:lpstr>
      <vt:lpstr>DPS</vt:lpstr>
      <vt:lpstr>EBITDA</vt:lpstr>
      <vt:lpstr>EBITDA_Margin</vt:lpstr>
      <vt:lpstr>EFPO</vt:lpstr>
      <vt:lpstr>EFPOWA</vt:lpstr>
      <vt:lpstr>EPS</vt:lpstr>
      <vt:lpstr>Equity_raised</vt:lpstr>
      <vt:lpstr>Expense_Margin</vt:lpstr>
      <vt:lpstr>FCF</vt:lpstr>
      <vt:lpstr>FCO_Sales</vt:lpstr>
      <vt:lpstr>FCO_Stores</vt:lpstr>
      <vt:lpstr>Final_dividend</vt:lpstr>
      <vt:lpstr>FITB</vt:lpstr>
      <vt:lpstr>Franking</vt:lpstr>
      <vt:lpstr>FrankingCredits</vt:lpstr>
      <vt:lpstr>GeoAus</vt:lpstr>
      <vt:lpstr>GeoNZ</vt:lpstr>
      <vt:lpstr>Goldcross_Avg_Sales_Store</vt:lpstr>
      <vt:lpstr>Goldcross_EBIT</vt:lpstr>
      <vt:lpstr>Goldcross_Expenses</vt:lpstr>
      <vt:lpstr>Goldcross_GP</vt:lpstr>
      <vt:lpstr>Goldcross_GrossMargin</vt:lpstr>
      <vt:lpstr>Goldcross_Sales</vt:lpstr>
      <vt:lpstr>Goldcross_Stores</vt:lpstr>
      <vt:lpstr>Goodwill</vt:lpstr>
      <vt:lpstr>gross_operating_cashflow</vt:lpstr>
      <vt:lpstr>Gross_Profit</vt:lpstr>
      <vt:lpstr>Interest_Cover</vt:lpstr>
      <vt:lpstr>Interest_Rev</vt:lpstr>
      <vt:lpstr>Interim_dividend</vt:lpstr>
      <vt:lpstr>Inventories</vt:lpstr>
      <vt:lpstr>Lease_Exp</vt:lpstr>
      <vt:lpstr>Leisure_EBIT_Margin</vt:lpstr>
      <vt:lpstr>Leisure_EBITDA_Margin</vt:lpstr>
      <vt:lpstr>Leisure_Gross_Margin</vt:lpstr>
      <vt:lpstr>Leisure_LFLSales</vt:lpstr>
      <vt:lpstr>Leisure_Total_EBITDA</vt:lpstr>
      <vt:lpstr>Leisure_Total_Sales</vt:lpstr>
      <vt:lpstr>LFL_Sales_Growth_Auto</vt:lpstr>
      <vt:lpstr>Local_debt</vt:lpstr>
      <vt:lpstr>Local_Debt_Hedged</vt:lpstr>
      <vt:lpstr>maintenance</vt:lpstr>
      <vt:lpstr>Minorities</vt:lpstr>
      <vt:lpstr>Minority_interests</vt:lpstr>
      <vt:lpstr>Model</vt:lpstr>
      <vt:lpstr>Model_Interest_expense</vt:lpstr>
      <vt:lpstr>Net_debt</vt:lpstr>
      <vt:lpstr>Net_debt_at_year_end</vt:lpstr>
      <vt:lpstr>Net_interest_expense</vt:lpstr>
      <vt:lpstr>Net_Op_CF</vt:lpstr>
      <vt:lpstr>Net_plant___equipment</vt:lpstr>
      <vt:lpstr>NetFinCF</vt:lpstr>
      <vt:lpstr>NetInvCF</vt:lpstr>
      <vt:lpstr>New_Stores</vt:lpstr>
      <vt:lpstr>NPAT</vt:lpstr>
      <vt:lpstr>NPAT_post_NRIs</vt:lpstr>
      <vt:lpstr>Other_current</vt:lpstr>
      <vt:lpstr>Other_financing</vt:lpstr>
      <vt:lpstr>Other_Intangibles</vt:lpstr>
      <vt:lpstr>Other_investing</vt:lpstr>
      <vt:lpstr>Other_Liabilities_current</vt:lpstr>
      <vt:lpstr>Other_Liabilities_non_current</vt:lpstr>
      <vt:lpstr>Other_non_current</vt:lpstr>
      <vt:lpstr>Payout_ratio</vt:lpstr>
      <vt:lpstr>PL_2017</vt:lpstr>
      <vt:lpstr>PL_2018</vt:lpstr>
      <vt:lpstr>PL_2019</vt:lpstr>
      <vt:lpstr>PL_2020</vt:lpstr>
      <vt:lpstr>PL_2021</vt:lpstr>
      <vt:lpstr>PL_2022</vt:lpstr>
      <vt:lpstr>PL_2023</vt:lpstr>
      <vt:lpstr>PL_2024</vt:lpstr>
      <vt:lpstr>PPE_LEASE</vt:lpstr>
      <vt:lpstr>Pre_tax_profit</vt:lpstr>
      <vt:lpstr>PreTaxNRIs</vt:lpstr>
      <vt:lpstr>Divisionals!Print_Area</vt:lpstr>
      <vt:lpstr>MODEL!Print_Area</vt:lpstr>
      <vt:lpstr>Divisionals!Print_Titles</vt:lpstr>
      <vt:lpstr>MODEL!Print_Titles</vt:lpstr>
      <vt:lpstr>Profit_loss_on_asset_sales</vt:lpstr>
      <vt:lpstr>Provisions</vt:lpstr>
      <vt:lpstr>Provisions_current</vt:lpstr>
      <vt:lpstr>Provisions_non_current</vt:lpstr>
      <vt:lpstr>Rays_Sales</vt:lpstr>
      <vt:lpstr>Rays_Stores</vt:lpstr>
      <vt:lpstr>Reserves</vt:lpstr>
      <vt:lpstr>Retained_Profits</vt:lpstr>
      <vt:lpstr>Sales_Growth</vt:lpstr>
      <vt:lpstr>SCA_Avg_Sales_Store</vt:lpstr>
      <vt:lpstr>SCA_EBIT</vt:lpstr>
      <vt:lpstr>SCA_Expenses</vt:lpstr>
      <vt:lpstr>SCA_Sales</vt:lpstr>
      <vt:lpstr>SGA</vt:lpstr>
      <vt:lpstr>SGA_ROW</vt:lpstr>
      <vt:lpstr>SGA_US</vt:lpstr>
      <vt:lpstr>Share_Capital</vt:lpstr>
      <vt:lpstr>Sporting_EBIT_Margin</vt:lpstr>
      <vt:lpstr>Sports_EBIT</vt:lpstr>
      <vt:lpstr>Sports_EBITDA_Margin</vt:lpstr>
      <vt:lpstr>Sports_Gross_Margin</vt:lpstr>
      <vt:lpstr>Sports_LFL_Sales_Growth</vt:lpstr>
      <vt:lpstr>Sports_Stores</vt:lpstr>
      <vt:lpstr>Sports_Total_EBITDA</vt:lpstr>
      <vt:lpstr>SSS_BCF</vt:lpstr>
      <vt:lpstr>SSS_Goldcross</vt:lpstr>
      <vt:lpstr>Stores_Total_Amart</vt:lpstr>
      <vt:lpstr>Stores_Total_Rebel</vt:lpstr>
      <vt:lpstr>Stores_Total_WorkoutWorld</vt:lpstr>
      <vt:lpstr>tax_expense</vt:lpstr>
      <vt:lpstr>Tax_paid</vt:lpstr>
      <vt:lpstr>TaxOnNRIs</vt:lpstr>
      <vt:lpstr>Total_Assets</vt:lpstr>
      <vt:lpstr>Total_EBIT</vt:lpstr>
      <vt:lpstr>Total_EBITDA</vt:lpstr>
      <vt:lpstr>Total_equity</vt:lpstr>
      <vt:lpstr>Total_Liabilities</vt:lpstr>
      <vt:lpstr>Total_Sales</vt:lpstr>
      <vt:lpstr>Total_Sports_Division_Sales</vt:lpstr>
      <vt:lpstr>Total_Stores</vt:lpstr>
      <vt:lpstr>TotCF</vt:lpstr>
      <vt:lpstr>TotCurrAssets</vt:lpstr>
      <vt:lpstr>TotCurrLiabs</vt:lpstr>
      <vt:lpstr>TotNCAssets</vt:lpstr>
      <vt:lpstr>TotNCLiabs</vt:lpstr>
      <vt:lpstr>Trade_Creditors</vt:lpstr>
      <vt:lpstr>Trade_Debtors</vt:lpstr>
      <vt:lpstr>Unallocated_Sales</vt:lpstr>
      <vt:lpstr>USD_Debt</vt:lpstr>
      <vt:lpstr>USD_Debt_Hedged</vt:lpstr>
      <vt:lpstr>working_capital_adjustment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Research 2</dc:creator>
  <cp:lastModifiedBy>Leigh, James [GIR]</cp:lastModifiedBy>
  <cp:lastPrinted>2025-10-23T05:24:48Z</cp:lastPrinted>
  <dcterms:created xsi:type="dcterms:W3CDTF">1997-01-27T23:41:15Z</dcterms:created>
  <dcterms:modified xsi:type="dcterms:W3CDTF">2025-10-23T21:07:23Z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efda4986-a435-45f6-a949-1de5b4e2302b</vt:lpwstr>
  </property>
  <property fmtid="{D5CDD505-2E9C-101B-9397-08002B2CF9AE}" pid="3" name="Classification">
    <vt:lpwstr>I</vt:lpwstr>
  </property>
  <property fmtid="{D5CDD505-2E9C-101B-9397-08002B2CF9AE}" pid="4" name="=fdsSearchOrder">
    <vt:i4>0</vt:i4>
  </property>
  <property fmtid="{D5CDD505-2E9C-101B-9397-08002B2CF9AE}" pid="5" name="DocNoClass">
    <vt:lpwstr>Not In Use</vt:lpwstr>
  </property>
</Properties>
</file>